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1.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2.xml"/>
  <Override ContentType="application/vnd.openxmlformats-officedocument.spreadsheetml.worksheet+xml" PartName="/xl/worksheets/sheet17.xml"/>
  <Override ContentType="application/vnd.openxmlformats-officedocument.spreadsheetml.worksheet+xml" PartName="/xl/worksheets/sheet15.xml"/>
  <Override ContentType="application/vnd.openxmlformats-officedocument.spreadsheetml.worksheet+xml" PartName="/xl/worksheets/sheet2.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16.xml"/>
  <Override ContentType="application/vnd.openxmlformats-officedocument.spreadsheetml.worksheet+xml" PartName="/xl/worksheets/sheet5.xml"/>
  <Override ContentType="application/vnd.openxmlformats-officedocument.spreadsheetml.worksheet+xml" PartName="/xl/worksheets/sheet11.xml"/>
  <Override ContentType="application/vnd.openxmlformats-officedocument.spreadsheetml.worksheet+xml" PartName="/xl/worksheets/sheet14.xml"/>
  <Override ContentType="application/vnd.openxmlformats-officedocument.spreadsheetml.worksheet+xml" PartName="/xl/worksheets/sheet13.xml"/>
  <Override ContentType="application/vnd.openxmlformats-officedocument.spreadsheetml.worksheet+xml" PartName="/xl/worksheets/sheet1.xml"/>
  <Override ContentType="application/vnd.openxmlformats-officedocument.spreadsheetml.worksheet+xml" PartName="/xl/worksheets/sheet3.xml"/>
  <Override ContentType="application/vnd.openxmlformats-officedocument.spreadsheetml.worksheet+xml" PartName="/xl/worksheets/sheet9.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13.xml"/>
  <Override ContentType="application/vnd.openxmlformats-officedocument.drawing+xml" PartName="/xl/drawings/drawing6.xml"/>
  <Override ContentType="application/vnd.openxmlformats-officedocument.drawing+xml" PartName="/xl/drawings/drawing1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17.xml"/>
  <Override ContentType="application/vnd.openxmlformats-officedocument.drawing+xml" PartName="/xl/drawings/drawing8.xml"/>
  <Override ContentType="application/vnd.openxmlformats-officedocument.drawing+xml" PartName="/xl/drawings/drawing16.xml"/>
  <Override ContentType="application/vnd.openxmlformats-officedocument.drawing+xml" PartName="/xl/drawings/drawing3.xml"/>
  <Override ContentType="application/vnd.openxmlformats-officedocument.drawing+xml" PartName="/xl/drawings/drawing14.xml"/>
  <Override ContentType="application/vnd.openxmlformats-officedocument.drawing+xml" PartName="/xl/drawings/drawing5.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drawingml.chart+xml" PartName="/xl/charts/chart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Jours feriés" sheetId="1" r:id="rId4"/>
    <sheet state="visible" name="Constellation" sheetId="2" r:id="rId5"/>
    <sheet state="visible" name="Type_Patient" sheetId="3" r:id="rId6"/>
    <sheet state="visible" name="Type_Service" sheetId="4" r:id="rId7"/>
    <sheet state="visible" name="Type_Recette" sheetId="5" r:id="rId8"/>
    <sheet state="visible" name="Mois" sheetId="6" r:id="rId9"/>
    <sheet state="visible" name="Annee" sheetId="7" r:id="rId10"/>
    <sheet state="visible" name="Patients" sheetId="8" r:id="rId11"/>
    <sheet state="visible" name="Recettes" sheetId="9" r:id="rId12"/>
    <sheet state="visible" name="2017" sheetId="10" r:id="rId13"/>
    <sheet state="visible" name="2018" sheetId="11" r:id="rId14"/>
    <sheet state="visible" name="2019" sheetId="12" r:id="rId15"/>
    <sheet state="visible" name="2020" sheetId="13" r:id="rId16"/>
    <sheet state="visible" name="2021" sheetId="14" r:id="rId17"/>
    <sheet state="visible" name="2022" sheetId="15" r:id="rId18"/>
    <sheet state="visible" name="2023" sheetId="16" r:id="rId19"/>
    <sheet state="visible" name="old2019" sheetId="17" r:id="rId20"/>
  </sheets>
  <definedNames>
    <definedName name="MOIS_VERS_ANNEE">LAMBDA(num_mois,  quotient (num_mois - 1, 12) + 2017)</definedName>
    <definedName name="ZONE">LAMBDA(annee, portee,  indirect (concatenate ("'", annee, "'!", portee)))</definedName>
  </definedNames>
  <calcPr/>
</workbook>
</file>

<file path=xl/sharedStrings.xml><?xml version="1.0" encoding="utf-8"?>
<sst xmlns="http://schemas.openxmlformats.org/spreadsheetml/2006/main" count="914" uniqueCount="199">
  <si>
    <t>Nom du jour \ Année</t>
  </si>
  <si>
    <t>Jour de l'an</t>
  </si>
  <si>
    <t>Pâques</t>
  </si>
  <si>
    <t>Lundi de pâques</t>
  </si>
  <si>
    <t>Fête du travail</t>
  </si>
  <si>
    <t>Libération 1945</t>
  </si>
  <si>
    <t>Ascension</t>
  </si>
  <si>
    <t>Pentecôte</t>
  </si>
  <si>
    <t>Lundi de pentecote</t>
  </si>
  <si>
    <t>Fête nationale</t>
  </si>
  <si>
    <t>Assomption</t>
  </si>
  <si>
    <t>Toussaint</t>
  </si>
  <si>
    <t>Armistice 1918</t>
  </si>
  <si>
    <t>Noël</t>
  </si>
  <si>
    <t>Modèle en flocons de neige du cas médical</t>
  </si>
  <si>
    <t>Dim : TYPE_PATIENT</t>
  </si>
  <si>
    <t>Fait : PATIENTS</t>
  </si>
  <si>
    <t>idPatient</t>
  </si>
  <si>
    <t>#numMois</t>
  </si>
  <si>
    <t>estCmu</t>
  </si>
  <si>
    <t>#idService</t>
  </si>
  <si>
    <t>#idPatient</t>
  </si>
  <si>
    <t>Dim : MOIS</t>
  </si>
  <si>
    <t>Niv : ANNEE</t>
  </si>
  <si>
    <t>nbPatients</t>
  </si>
  <si>
    <t>numMois</t>
  </si>
  <si>
    <t>annee</t>
  </si>
  <si>
    <t>#annee</t>
  </si>
  <si>
    <t>covid</t>
  </si>
  <si>
    <t>Dim : TYPE_SERVICE</t>
  </si>
  <si>
    <t>nomMois</t>
  </si>
  <si>
    <t>idService</t>
  </si>
  <si>
    <t>nbJoursTravail</t>
  </si>
  <si>
    <t>estRadio</t>
  </si>
  <si>
    <t>nbJoursManquants</t>
  </si>
  <si>
    <t>Fait : RECETTES</t>
  </si>
  <si>
    <t>#idRecette</t>
  </si>
  <si>
    <t>Dim : TYPE_RECETTE</t>
  </si>
  <si>
    <t>montant</t>
  </si>
  <si>
    <t>idRecette</t>
  </si>
  <si>
    <t>typePaiement</t>
  </si>
  <si>
    <t>non</t>
  </si>
  <si>
    <t>oui</t>
  </si>
  <si>
    <t>Chèque</t>
  </si>
  <si>
    <t>Virement</t>
  </si>
  <si>
    <t>CB</t>
  </si>
  <si>
    <t>Espèces</t>
  </si>
  <si>
    <t>Tout</t>
  </si>
  <si>
    <t>Janvier</t>
  </si>
  <si>
    <t>Février</t>
  </si>
  <si>
    <t>Mars</t>
  </si>
  <si>
    <t>Avril</t>
  </si>
  <si>
    <t>Mai</t>
  </si>
  <si>
    <t>Juin</t>
  </si>
  <si>
    <t>Juillet</t>
  </si>
  <si>
    <t>Aout</t>
  </si>
  <si>
    <t>Septembre</t>
  </si>
  <si>
    <t>Octobre</t>
  </si>
  <si>
    <t>Novembre</t>
  </si>
  <si>
    <t>Décembre</t>
  </si>
  <si>
    <t>null</t>
  </si>
  <si>
    <t>Date</t>
  </si>
  <si>
    <t>Chèques</t>
  </si>
  <si>
    <t>Virements</t>
  </si>
  <si>
    <t>Montant</t>
  </si>
  <si>
    <t>Nb patients</t>
  </si>
  <si>
    <t>Nb CMU</t>
  </si>
  <si>
    <t>Montant perçu</t>
  </si>
  <si>
    <t>Suivi recettes  Radio Panoramique 2017</t>
  </si>
  <si>
    <t>Nbre Janvier</t>
  </si>
  <si>
    <t>Semaine 1</t>
  </si>
  <si>
    <t>Semaine 2</t>
  </si>
  <si>
    <t>Semaine 3</t>
  </si>
  <si>
    <t>Semaine 4</t>
  </si>
  <si>
    <t>Semaine 5</t>
  </si>
  <si>
    <t>Nbre Février</t>
  </si>
  <si>
    <t>Nbre Mars</t>
  </si>
  <si>
    <t>Nbre Avril</t>
  </si>
  <si>
    <t>Nbre Mai</t>
  </si>
  <si>
    <t>Nbre Juin</t>
  </si>
  <si>
    <t>Nbre Juillet</t>
  </si>
  <si>
    <t>Nbre Aout</t>
  </si>
  <si>
    <t>Nbre Septembre</t>
  </si>
  <si>
    <t>Nbre Octobre</t>
  </si>
  <si>
    <t>Nbre Novembre</t>
  </si>
  <si>
    <t>Nbre Décembre</t>
  </si>
  <si>
    <t>Suivi recettes  Radio Panoramique 2018</t>
  </si>
  <si>
    <t xml:space="preserve"> </t>
  </si>
  <si>
    <t>Commentaire</t>
  </si>
  <si>
    <t>Arrière-plan Rouge = Données inconnues</t>
  </si>
  <si>
    <t>- €</t>
  </si>
  <si>
    <t>Suivi recettes  Radio Panoramique 2019</t>
  </si>
  <si>
    <t>3 727,44 €</t>
  </si>
  <si>
    <t>4 970,00 €</t>
  </si>
  <si>
    <t>2 020,00 €</t>
  </si>
  <si>
    <t>4 190,00 €</t>
  </si>
  <si>
    <t>1 270,00 €</t>
  </si>
  <si>
    <t>1 260,00 €</t>
  </si>
  <si>
    <t>1 020,00 €</t>
  </si>
  <si>
    <t>3 856,47 €</t>
  </si>
  <si>
    <t>Le jour n'existe pas dans le fichier csv, ni dans les recettes.</t>
  </si>
  <si>
    <t>1 296,67 €</t>
  </si>
  <si>
    <t>5 057,84 €</t>
  </si>
  <si>
    <t>1 044,48 €</t>
  </si>
  <si>
    <t>3 830,00 €</t>
  </si>
  <si>
    <t>2 070,00 €</t>
  </si>
  <si>
    <t>1 251,53 €</t>
  </si>
  <si>
    <t>4 531,67 €</t>
  </si>
  <si>
    <t>3 071,57 €</t>
  </si>
  <si>
    <t>Les valeurs du mois de mars n'étaient pas présentes dans le livre de recettes. Les valeurs du mois de mars proviennent des fichiers csv (table des faits avec la version 2020 et 2021).</t>
  </si>
  <si>
    <t>1 300,00 €</t>
  </si>
  <si>
    <t>1 410,00 €</t>
  </si>
  <si>
    <t>1 061,56 €</t>
  </si>
  <si>
    <t>3 980,00 €</t>
  </si>
  <si>
    <t>1 007,91 €</t>
  </si>
  <si>
    <t>3 880,00 €</t>
  </si>
  <si>
    <t>1 370,00 €</t>
  </si>
  <si>
    <t>1 271,50 €</t>
  </si>
  <si>
    <t>4 690,00 €</t>
  </si>
  <si>
    <t>1 750,00 €</t>
  </si>
  <si>
    <t>1 097,68 €</t>
  </si>
  <si>
    <t>3 550,00 €</t>
  </si>
  <si>
    <t>1 520,00 €</t>
  </si>
  <si>
    <t>1 538,05 €</t>
  </si>
  <si>
    <t>4 600,00 €</t>
  </si>
  <si>
    <t>3 032,20 €</t>
  </si>
  <si>
    <t>1 610,00 €</t>
  </si>
  <si>
    <t>1 890,00 €</t>
  </si>
  <si>
    <t>3 170,00 €</t>
  </si>
  <si>
    <t>1 620,00 €</t>
  </si>
  <si>
    <t>1 104,07 €</t>
  </si>
  <si>
    <t>3 902,62 €</t>
  </si>
  <si>
    <t>1 180,00 €</t>
  </si>
  <si>
    <t>1 163,45 €</t>
  </si>
  <si>
    <t>4 020,00 €</t>
  </si>
  <si>
    <t>2 220,00 €</t>
  </si>
  <si>
    <t>1 810,00 €</t>
  </si>
  <si>
    <t>4 000,00 €</t>
  </si>
  <si>
    <t>3 900,00 €</t>
  </si>
  <si>
    <t>1 130,00 €</t>
  </si>
  <si>
    <t>1 490,00 €</t>
  </si>
  <si>
    <t>4 480,00 €</t>
  </si>
  <si>
    <t>1 086,50 €</t>
  </si>
  <si>
    <t>4 568,84 €</t>
  </si>
  <si>
    <t>3 720,00 €</t>
  </si>
  <si>
    <t>1 420,00 €</t>
  </si>
  <si>
    <t>3 770,00 €</t>
  </si>
  <si>
    <t>2 110,00 €</t>
  </si>
  <si>
    <t>1 140,00 €</t>
  </si>
  <si>
    <t>4 180,00 €</t>
  </si>
  <si>
    <t>1 260,00€</t>
  </si>
  <si>
    <t>5 260,00€</t>
  </si>
  <si>
    <t>1 172,20€</t>
  </si>
  <si>
    <t>4 200,00€</t>
  </si>
  <si>
    <t>1 290,00€</t>
  </si>
  <si>
    <t>3 760,00€</t>
  </si>
  <si>
    <t>1 460,00€</t>
  </si>
  <si>
    <t>1 352,13€</t>
  </si>
  <si>
    <t>2 800,00€</t>
  </si>
  <si>
    <t>1 210,00€</t>
  </si>
  <si>
    <t>Les valeurs du mois d'octobre n'étaient pas présentes dans le livre de recettes. Les valeurs du mois de mars proviennent des fichiers csv (table des faits avec la version 2020 et 2021).</t>
  </si>
  <si>
    <t>3 250,00 €</t>
  </si>
  <si>
    <t>4 270,00 €</t>
  </si>
  <si>
    <t>1 302,50 €</t>
  </si>
  <si>
    <t>4 160,00 €</t>
  </si>
  <si>
    <t>1 630,00 €</t>
  </si>
  <si>
    <t>1 048,11 €</t>
  </si>
  <si>
    <t>2 910,00 €</t>
  </si>
  <si>
    <t>1 450,00 €</t>
  </si>
  <si>
    <t>1 104,47 €</t>
  </si>
  <si>
    <t>3 100,00 €</t>
  </si>
  <si>
    <t>Les données du mois de novembre avaient les dates d'octobre.</t>
  </si>
  <si>
    <t>12 905,00€</t>
  </si>
  <si>
    <t>9 358,68€</t>
  </si>
  <si>
    <t>37 800,00€</t>
  </si>
  <si>
    <t>6 300,00€</t>
  </si>
  <si>
    <t>1 270,00€</t>
  </si>
  <si>
    <t>1 219,74€</t>
  </si>
  <si>
    <t>3 460,00€</t>
  </si>
  <si>
    <t>3 580,00€</t>
  </si>
  <si>
    <t>1 300,00€</t>
  </si>
  <si>
    <t>3 750,38€</t>
  </si>
  <si>
    <t>1 020,00€</t>
  </si>
  <si>
    <t>2 562,67€</t>
  </si>
  <si>
    <t>4 380,00 €</t>
  </si>
  <si>
    <t>1 780,00 €</t>
  </si>
  <si>
    <t>3 140,00 €</t>
  </si>
  <si>
    <t>Suivi recettes  Radio Panoramique 2020</t>
  </si>
  <si>
    <t>Suivi recettes  Radio Panoramique 2021</t>
  </si>
  <si>
    <t>Suivi recettes  Radio Panoramique 2022</t>
  </si>
  <si>
    <t xml:space="preserve">     </t>
  </si>
  <si>
    <t>Espèces perçues</t>
  </si>
  <si>
    <t>Suivi recettes  Radio Panoramique 2023</t>
  </si>
  <si>
    <t xml:space="preserve">           </t>
  </si>
  <si>
    <t xml:space="preserve">Nbre Janvier </t>
  </si>
  <si>
    <t xml:space="preserve">Nbre Juin </t>
  </si>
  <si>
    <t xml:space="preserve">Nbre Juillet </t>
  </si>
  <si>
    <t xml:space="preserve">Nbre Septembre </t>
  </si>
  <si>
    <t>sdfsdgfgdfg</t>
  </si>
</sst>
</file>

<file path=xl/styles.xml><?xml version="1.0" encoding="utf-8"?>
<styleSheet xmlns="http://schemas.openxmlformats.org/spreadsheetml/2006/main" xmlns:x14ac="http://schemas.microsoft.com/office/spreadsheetml/2009/9/ac" xmlns:mc="http://schemas.openxmlformats.org/markup-compatibility/2006">
  <numFmts count="9">
    <numFmt numFmtId="164" formatCode="dddd\ dd/mm"/>
    <numFmt numFmtId="165" formatCode="_-* #,##0.00&quot; €&quot;_-;\-* #,##0.00&quot; €&quot;_-;_-* \-??&quot; €&quot;_-;_-@"/>
    <numFmt numFmtId="166" formatCode="#,##0.00\€;[Red]#,##0.00\€"/>
    <numFmt numFmtId="167" formatCode="#,##0.00\€"/>
    <numFmt numFmtId="168" formatCode="[$€]#,##0.00"/>
    <numFmt numFmtId="169" formatCode="dd/mm/yy"/>
    <numFmt numFmtId="170" formatCode="#,##0.00&quot; €&quot;;[Red]\-#,##0.00&quot; €&quot;"/>
    <numFmt numFmtId="171" formatCode="_ * #,##0.00_)&quot; €&quot;_ ;_ * \(#,##0.00&quot;) €&quot;_ ;_ * \-??_)&quot; €&quot;_ ;_ @_ "/>
    <numFmt numFmtId="172" formatCode="dddd\ dd/mm/yyyy"/>
  </numFmts>
  <fonts count="42">
    <font>
      <sz val="10.0"/>
      <color rgb="FF000000"/>
      <name val="Arial"/>
      <scheme val="minor"/>
    </font>
    <font>
      <b/>
      <sz val="14.0"/>
      <color rgb="FF990000"/>
      <name val="Nunito"/>
    </font>
    <font>
      <b/>
      <sz val="14.0"/>
      <color theme="1"/>
      <name val="Nunito"/>
    </font>
    <font>
      <sz val="12.0"/>
      <color rgb="FF274E13"/>
      <name val="Nunito"/>
    </font>
    <font>
      <sz val="12.0"/>
      <color rgb="FF0B5394"/>
      <name val="Nunito"/>
    </font>
    <font>
      <sz val="12.0"/>
      <color theme="1"/>
      <name val="Nunito"/>
    </font>
    <font>
      <u/>
      <sz val="22.0"/>
      <color theme="1"/>
      <name val="Arial"/>
    </font>
    <font>
      <sz val="12.0"/>
      <color theme="1"/>
      <name val="Arial"/>
    </font>
    <font>
      <b/>
      <sz val="12.0"/>
      <color theme="1"/>
      <name val="Calibri"/>
    </font>
    <font>
      <u/>
      <sz val="12.0"/>
      <color theme="1"/>
      <name val="Calibri"/>
    </font>
    <font>
      <u/>
      <sz val="12.0"/>
      <color theme="1"/>
      <name val="Calibri"/>
    </font>
    <font>
      <u/>
      <sz val="12.0"/>
      <color theme="1"/>
      <name val="Calibri"/>
    </font>
    <font>
      <b/>
      <sz val="12.0"/>
      <color theme="0"/>
      <name val="Calibri"/>
    </font>
    <font>
      <b/>
      <i/>
      <sz val="12.0"/>
      <color theme="1"/>
      <name val="Arial"/>
    </font>
    <font>
      <u/>
      <sz val="12.0"/>
      <color theme="1"/>
      <name val="Calibri"/>
    </font>
    <font>
      <u/>
      <sz val="12.0"/>
      <color theme="1"/>
      <name val="Calibri"/>
    </font>
    <font>
      <sz val="12.0"/>
      <color theme="1"/>
      <name val="Calibri"/>
    </font>
    <font>
      <color theme="1"/>
      <name val="Arial"/>
    </font>
    <font>
      <sz val="10.0"/>
      <color theme="1"/>
      <name val="Arial"/>
    </font>
    <font>
      <color theme="1"/>
      <name val="Arial"/>
      <scheme val="minor"/>
    </font>
    <font>
      <sz val="11.0"/>
      <color theme="1"/>
      <name val="Nunito"/>
    </font>
    <font>
      <sz val="11.0"/>
      <color rgb="FF000000"/>
      <name val="Nunito"/>
    </font>
    <font>
      <sz val="11.0"/>
      <color rgb="FFB3261E"/>
      <name val="Google Sans Mono"/>
    </font>
    <font>
      <b/>
      <sz val="11.0"/>
      <color theme="1"/>
      <name val="Calibri"/>
    </font>
    <font>
      <b/>
      <sz val="10.0"/>
      <color theme="1"/>
      <name val="Calibri"/>
    </font>
    <font>
      <sz val="11.0"/>
      <color theme="1"/>
      <name val="Calibri"/>
    </font>
    <font>
      <b/>
      <u/>
      <sz val="16.0"/>
      <color theme="1"/>
      <name val="Calibri"/>
    </font>
    <font>
      <b/>
      <i/>
      <sz val="16.0"/>
      <color rgb="FFFF0000"/>
      <name val="Calibri"/>
    </font>
    <font>
      <b/>
      <i/>
      <sz val="11.0"/>
      <color rgb="FF993366"/>
      <name val="Calibri"/>
    </font>
    <font>
      <b/>
      <i/>
      <sz val="11.0"/>
      <color theme="1"/>
      <name val="Calibri"/>
    </font>
    <font/>
    <font>
      <i/>
      <sz val="11.0"/>
      <color theme="1"/>
      <name val="Calibri"/>
    </font>
    <font>
      <b/>
      <i/>
      <sz val="9.0"/>
      <color rgb="FF993366"/>
      <name val="Calibri"/>
    </font>
    <font>
      <sz val="10.0"/>
      <color theme="1"/>
      <name val="Calibri"/>
    </font>
    <font>
      <b/>
      <i/>
      <sz val="11.0"/>
      <color rgb="FF993366"/>
      <name val="Arial"/>
    </font>
    <font>
      <b/>
      <i/>
      <sz val="11.0"/>
      <color rgb="FFFFFFFF"/>
      <name val="Calibri"/>
    </font>
    <font>
      <b/>
      <i/>
      <sz val="14.0"/>
      <color rgb="FF0432FF"/>
      <name val="Calibri"/>
    </font>
    <font>
      <sz val="11.0"/>
      <color rgb="FF0432FF"/>
      <name val="Calibri"/>
    </font>
    <font>
      <b/>
      <i/>
      <sz val="11.0"/>
      <color rgb="FFFF0000"/>
      <name val="Calibri"/>
    </font>
    <font>
      <b/>
      <i/>
      <sz val="10.0"/>
      <color theme="1"/>
      <name val="Arial"/>
    </font>
    <font>
      <b/>
      <sz val="9.0"/>
      <color theme="1"/>
      <name val="Calibri"/>
    </font>
    <font>
      <b/>
      <u/>
      <sz val="16.0"/>
      <color theme="1"/>
      <name val="Calibri"/>
    </font>
  </fonts>
  <fills count="19">
    <fill>
      <patternFill patternType="none"/>
    </fill>
    <fill>
      <patternFill patternType="lightGray"/>
    </fill>
    <fill>
      <patternFill patternType="solid">
        <fgColor rgb="FFE5B8B7"/>
        <bgColor rgb="FFE5B8B7"/>
      </patternFill>
    </fill>
    <fill>
      <patternFill patternType="solid">
        <fgColor rgb="FFFBD4B4"/>
        <bgColor rgb="FFFBD4B4"/>
      </patternFill>
    </fill>
    <fill>
      <patternFill patternType="solid">
        <fgColor rgb="FF000000"/>
        <bgColor rgb="FF000000"/>
      </patternFill>
    </fill>
    <fill>
      <patternFill patternType="solid">
        <fgColor rgb="FFFDE9D9"/>
        <bgColor rgb="FFFDE9D9"/>
      </patternFill>
    </fill>
    <fill>
      <patternFill patternType="solid">
        <fgColor rgb="FF953734"/>
        <bgColor rgb="FF953734"/>
      </patternFill>
    </fill>
    <fill>
      <patternFill patternType="solid">
        <fgColor rgb="FFFFFFFF"/>
        <bgColor rgb="FFFFFFFF"/>
      </patternFill>
    </fill>
    <fill>
      <patternFill patternType="solid">
        <fgColor rgb="FFFFCC99"/>
        <bgColor rgb="FFFFCC99"/>
      </patternFill>
    </fill>
    <fill>
      <patternFill patternType="solid">
        <fgColor rgb="FFCCFFCC"/>
        <bgColor rgb="FFCCFFCC"/>
      </patternFill>
    </fill>
    <fill>
      <patternFill patternType="solid">
        <fgColor rgb="FFC0C0C0"/>
        <bgColor rgb="FFC0C0C0"/>
      </patternFill>
    </fill>
    <fill>
      <patternFill patternType="solid">
        <fgColor rgb="FFEAF1DD"/>
        <bgColor rgb="FFEAF1DD"/>
      </patternFill>
    </fill>
    <fill>
      <patternFill patternType="solid">
        <fgColor rgb="FFDDD9C3"/>
        <bgColor rgb="FFDDD9C3"/>
      </patternFill>
    </fill>
    <fill>
      <patternFill patternType="solid">
        <fgColor rgb="FFFFFF00"/>
        <bgColor rgb="FFFFFF00"/>
      </patternFill>
    </fill>
    <fill>
      <patternFill patternType="solid">
        <fgColor rgb="FFDBE5F1"/>
        <bgColor rgb="FFDBE5F1"/>
      </patternFill>
    </fill>
    <fill>
      <patternFill patternType="solid">
        <fgColor rgb="FFDDD9C4"/>
        <bgColor rgb="FFDDD9C4"/>
      </patternFill>
    </fill>
    <fill>
      <patternFill patternType="solid">
        <fgColor rgb="FFC0504D"/>
        <bgColor rgb="FFC0504D"/>
      </patternFill>
    </fill>
    <fill>
      <patternFill patternType="solid">
        <fgColor rgb="FFD5FC79"/>
        <bgColor rgb="FFD5FC79"/>
      </patternFill>
    </fill>
    <fill>
      <patternFill patternType="solid">
        <fgColor rgb="FFFFFFD5"/>
        <bgColor rgb="FFFFFFD5"/>
      </patternFill>
    </fill>
  </fills>
  <borders count="175">
    <border/>
    <border>
      <left style="thick">
        <color rgb="FF000000"/>
      </left>
      <right style="thin">
        <color rgb="FF000000"/>
      </right>
      <top style="thick">
        <color rgb="FF000000"/>
      </top>
      <bottom style="medium">
        <color rgb="FF000000"/>
      </bottom>
    </border>
    <border>
      <left style="thin">
        <color rgb="FF000000"/>
      </left>
      <right style="thin">
        <color rgb="FF000000"/>
      </right>
      <top style="thick">
        <color rgb="FF000000"/>
      </top>
      <bottom style="medium">
        <color rgb="FF000000"/>
      </bottom>
    </border>
    <border>
      <left style="thin">
        <color rgb="FF000000"/>
      </left>
      <right style="thick">
        <color rgb="FF000000"/>
      </right>
      <top style="thick">
        <color rgb="FF000000"/>
      </top>
      <bottom style="medium">
        <color rgb="FF000000"/>
      </bottom>
    </border>
    <border>
      <bottom style="medium">
        <color rgb="FF000000"/>
      </bottom>
    </border>
    <border>
      <left style="thick">
        <color rgb="FF000000"/>
      </left>
      <right style="thin">
        <color rgb="FF000000"/>
      </right>
    </border>
    <border>
      <left style="thin">
        <color rgb="FF000000"/>
      </left>
      <right style="thin">
        <color rgb="FF000000"/>
      </right>
    </border>
    <border>
      <left style="thin">
        <color rgb="FF000000"/>
      </left>
      <right style="thick">
        <color rgb="FF000000"/>
      </right>
    </border>
    <border>
      <left style="thick">
        <color rgb="FF000000"/>
      </left>
      <right style="thin">
        <color rgb="FF000000"/>
      </right>
      <bottom style="thick">
        <color rgb="FF000000"/>
      </bottom>
    </border>
    <border>
      <left style="thin">
        <color rgb="FF000000"/>
      </left>
      <right style="thin">
        <color rgb="FF000000"/>
      </right>
      <bottom style="thick">
        <color rgb="FF000000"/>
      </bottom>
    </border>
    <border>
      <left style="thin">
        <color rgb="FF000000"/>
      </left>
      <right style="thick">
        <color rgb="FF000000"/>
      </right>
      <bottom style="thick">
        <color rgb="FF000000"/>
      </bottom>
    </border>
    <border>
      <left style="medium">
        <color rgb="FF000000"/>
      </left>
      <right style="medium">
        <color rgb="FF000000"/>
      </right>
      <top style="medium">
        <color rgb="FF000000"/>
      </top>
      <bottom style="medium">
        <color rgb="FF000000"/>
      </bottom>
    </border>
    <border>
      <left style="medium">
        <color rgb="FF000000"/>
      </left>
      <right style="medium">
        <color rgb="FF000000"/>
      </right>
      <top style="medium">
        <color rgb="FF000000"/>
      </top>
    </border>
    <border>
      <left style="medium">
        <color rgb="FF000000"/>
      </left>
      <right style="medium">
        <color rgb="FF000000"/>
      </right>
      <top style="medium">
        <color rgb="FF000000"/>
      </top>
      <bottom/>
    </border>
    <border>
      <left style="medium">
        <color rgb="FF000000"/>
      </left>
      <right style="medium">
        <color rgb="FF000000"/>
      </right>
    </border>
    <border>
      <left style="medium">
        <color rgb="FF000000"/>
      </left>
      <right style="medium">
        <color rgb="FF000000"/>
      </right>
      <top/>
      <bottom/>
    </border>
    <border>
      <left style="medium">
        <color rgb="FF000000"/>
      </left>
      <right style="medium">
        <color rgb="FF000000"/>
      </right>
      <bottom style="medium">
        <color rgb="FF000000"/>
      </bottom>
    </border>
    <border>
      <left style="medium">
        <color rgb="FF000000"/>
      </left>
      <right style="medium">
        <color rgb="FF000000"/>
      </right>
      <top/>
      <bottom style="medium">
        <color rgb="FF000000"/>
      </bottom>
    </border>
    <border>
      <top style="thick">
        <color rgb="FF000000"/>
      </top>
    </border>
    <border>
      <left style="thin">
        <color rgb="FF000000"/>
      </left>
      <right style="thin">
        <color rgb="FF000000"/>
      </right>
      <top style="medium">
        <color rgb="FF000000"/>
      </top>
      <bottom style="medium">
        <color rgb="FF000000"/>
      </bottom>
    </border>
    <border>
      <left style="thin">
        <color rgb="FF000000"/>
      </left>
      <right style="medium">
        <color rgb="FF000000"/>
      </right>
      <top style="medium">
        <color rgb="FF000000"/>
      </top>
      <bottom style="medium">
        <color rgb="FF000000"/>
      </bottom>
    </border>
    <border>
      <right style="thin">
        <color rgb="FF000000"/>
      </right>
      <top style="thin">
        <color rgb="FF000000"/>
      </top>
      <bottom style="thin">
        <color rgb="FF000000"/>
      </bottom>
    </border>
    <border>
      <left style="thin">
        <color rgb="FF000000"/>
      </left>
      <right style="thin">
        <color rgb="FF000000"/>
      </right>
      <bottom style="thin">
        <color rgb="FF000000"/>
      </bottom>
    </border>
    <border>
      <left style="thin">
        <color rgb="FF000000"/>
      </left>
      <right style="thin">
        <color rgb="FF000000"/>
      </right>
      <top/>
      <bottom style="thin">
        <color rgb="FF000000"/>
      </bottom>
    </border>
    <border>
      <left style="thin">
        <color rgb="FF000000"/>
      </left>
      <right style="medium">
        <color rgb="FF000000"/>
      </right>
      <bottom style="thin">
        <color rgb="FF000000"/>
      </bottom>
    </border>
    <border>
      <left style="medium">
        <color rgb="FF000000"/>
      </left>
      <right style="thin">
        <color rgb="FF000000"/>
      </right>
      <top style="medium">
        <color rgb="FF000000"/>
      </top>
    </border>
    <border>
      <right style="thin">
        <color rgb="FF000000"/>
      </right>
      <top style="medium">
        <color rgb="FF000000"/>
      </top>
    </border>
    <border>
      <right style="medium">
        <color rgb="FF000000"/>
      </right>
      <top style="medium">
        <color rgb="FF000000"/>
      </top>
    </border>
    <border>
      <left/>
      <right/>
      <top/>
      <bottom/>
    </border>
    <border>
      <left style="medium">
        <color rgb="FF000000"/>
      </left>
      <right style="thin">
        <color rgb="FF000000"/>
      </right>
      <bottom style="medium">
        <color rgb="FF000000"/>
      </bottom>
    </border>
    <border>
      <right style="thin">
        <color rgb="FF000000"/>
      </right>
      <bottom style="medium">
        <color rgb="FF000000"/>
      </bottom>
    </border>
    <border>
      <right style="medium">
        <color rgb="FF000000"/>
      </right>
      <bottom style="medium">
        <color rgb="FF000000"/>
      </bottom>
    </border>
    <border>
      <left style="medium">
        <color rgb="FF000000"/>
      </left>
      <right style="thin">
        <color rgb="FF000000"/>
      </right>
      <top style="medium">
        <color rgb="FF000000"/>
      </top>
      <bottom/>
    </border>
    <border>
      <right style="thin">
        <color rgb="FF000000"/>
      </right>
      <bottom style="thin">
        <color rgb="FF000000"/>
      </bottom>
    </border>
    <border>
      <left style="thin">
        <color rgb="FF000000"/>
      </left>
      <right style="thin">
        <color rgb="FF000000"/>
      </right>
      <top style="thin">
        <color rgb="FF000000"/>
      </top>
      <bottom style="thin">
        <color rgb="FF000000"/>
      </bottom>
    </border>
    <border>
      <left style="thin">
        <color rgb="FF000000"/>
      </left>
      <right style="medium">
        <color rgb="FF000000"/>
      </right>
      <top style="thin">
        <color rgb="FF000000"/>
      </top>
      <bottom style="thin">
        <color rgb="FF000000"/>
      </bottom>
    </border>
    <border>
      <left style="thin">
        <color rgb="FF000000"/>
      </left>
      <right style="thin">
        <color rgb="FF000000"/>
      </right>
      <top style="thin">
        <color rgb="FF000000"/>
      </top>
      <bottom/>
    </border>
    <border>
      <left style="thin">
        <color rgb="FF000000"/>
      </left>
      <right style="medium">
        <color rgb="FF000000"/>
      </right>
      <top style="thin">
        <color rgb="FF000000"/>
      </top>
      <bottom/>
    </border>
    <border>
      <left style="thin">
        <color rgb="FF000000"/>
      </left>
      <right style="thin">
        <color rgb="FF000000"/>
      </right>
      <top style="thin">
        <color rgb="FF000000"/>
      </top>
    </border>
    <border>
      <left style="thin">
        <color rgb="FF000000"/>
      </left>
      <right style="medium">
        <color rgb="FF000000"/>
      </right>
      <top style="thin">
        <color rgb="FF000000"/>
      </top>
    </border>
    <border>
      <left style="medium">
        <color rgb="FF000000"/>
      </left>
      <right style="thin">
        <color rgb="FF000000"/>
      </right>
    </border>
    <border>
      <right style="thin">
        <color rgb="FF000000"/>
      </right>
    </border>
    <border>
      <top style="thin">
        <color rgb="FF000000"/>
      </top>
      <bottom style="thin">
        <color rgb="FF000000"/>
      </bottom>
    </border>
    <border>
      <left style="medium">
        <color rgb="FF000000"/>
      </left>
      <right style="thin">
        <color rgb="FF000000"/>
      </right>
      <top style="medium">
        <color rgb="FF000000"/>
      </top>
      <bottom style="thin">
        <color rgb="FF000000"/>
      </bottom>
    </border>
    <border>
      <left style="thin">
        <color rgb="FF000000"/>
      </left>
      <right style="thin">
        <color rgb="FF000000"/>
      </right>
      <top style="medium">
        <color rgb="FF000000"/>
      </top>
      <bottom style="thin">
        <color rgb="FF000000"/>
      </bottom>
    </border>
    <border>
      <left style="thin">
        <color rgb="FF000000"/>
      </left>
      <right style="medium">
        <color rgb="FF000000"/>
      </right>
      <top style="medium">
        <color rgb="FF000000"/>
      </top>
      <bottom style="thin">
        <color rgb="FF000000"/>
      </bottom>
    </border>
    <border>
      <top style="thin">
        <color rgb="FF000000"/>
      </top>
      <bottom style="medium">
        <color rgb="FF000000"/>
      </bottom>
    </border>
    <border>
      <left style="medium">
        <color rgb="FF000000"/>
      </left>
      <right style="thin">
        <color rgb="FF000000"/>
      </right>
      <top style="thin">
        <color rgb="FF000000"/>
      </top>
      <bottom style="thin">
        <color rgb="FF000000"/>
      </bottom>
    </border>
    <border>
      <left style="medium">
        <color rgb="FF000000"/>
      </left>
      <right style="thin">
        <color rgb="FF000000"/>
      </right>
      <top style="thin">
        <color rgb="FF000000"/>
      </top>
      <bottom style="medium">
        <color rgb="FF000000"/>
      </bottom>
    </border>
    <border>
      <left style="thin">
        <color rgb="FF000000"/>
      </left>
      <right style="thin">
        <color rgb="FF000000"/>
      </right>
      <top style="thin">
        <color rgb="FF000000"/>
      </top>
      <bottom style="medium">
        <color rgb="FF000000"/>
      </bottom>
    </border>
    <border>
      <left style="thin">
        <color rgb="FF000000"/>
      </left>
      <right style="medium">
        <color rgb="FF000000"/>
      </right>
      <top style="thin">
        <color rgb="FF000000"/>
      </top>
      <bottom style="medium">
        <color rgb="FF000000"/>
      </bottom>
    </border>
    <border>
      <left style="medium">
        <color rgb="FF000000"/>
      </left>
      <right style="medium">
        <color rgb="FF000000"/>
      </right>
      <top style="medium">
        <color rgb="FF000000"/>
      </top>
      <bottom style="thin">
        <color rgb="FF000000"/>
      </bottom>
    </border>
    <border>
      <left style="medium">
        <color rgb="FF000000"/>
      </left>
      <right style="medium">
        <color rgb="FF000000"/>
      </right>
      <top style="thin">
        <color rgb="FF000000"/>
      </top>
      <bottom/>
    </border>
    <border>
      <left style="medium">
        <color rgb="FF000000"/>
      </left>
      <right style="thin">
        <color rgb="FF000000"/>
      </right>
      <bottom style="thin">
        <color rgb="FF000000"/>
      </bottom>
    </border>
    <border>
      <left style="medium">
        <color rgb="FF000000"/>
      </left>
      <right style="medium">
        <color rgb="FF000000"/>
      </right>
      <top style="thin">
        <color rgb="FF000000"/>
      </top>
      <bottom style="thin">
        <color rgb="FF000000"/>
      </bottom>
    </border>
    <border>
      <left style="medium">
        <color rgb="FF000000"/>
      </left>
      <right style="medium">
        <color rgb="FF000000"/>
      </right>
      <top style="thin">
        <color rgb="FF000000"/>
      </top>
    </border>
    <border>
      <left/>
      <right style="thin">
        <color rgb="FF000000"/>
      </right>
      <top/>
      <bottom style="thin">
        <color rgb="FF000000"/>
      </bottom>
    </border>
    <border>
      <left style="thin">
        <color rgb="FF000000"/>
      </left>
      <top style="thin">
        <color rgb="FF000000"/>
      </top>
      <bottom style="thin">
        <color rgb="FF000000"/>
      </bottom>
    </border>
    <border>
      <left style="thin">
        <color rgb="FF000000"/>
      </left>
      <right style="thin">
        <color rgb="FF000000"/>
      </right>
      <bottom style="medium">
        <color rgb="FF000000"/>
      </bottom>
    </border>
    <border>
      <left style="thin">
        <color rgb="FF000000"/>
      </left>
      <right style="thin">
        <color rgb="FF000000"/>
      </right>
      <top/>
      <bottom style="medium">
        <color rgb="FF000000"/>
      </bottom>
    </border>
    <border>
      <left style="medium">
        <color rgb="FF000000"/>
      </left>
      <right/>
      <top style="medium">
        <color rgb="FF000000"/>
      </top>
    </border>
    <border>
      <left style="thin">
        <color rgb="FF000000"/>
      </left>
      <right style="thin">
        <color rgb="FF000000"/>
      </right>
      <top style="medium">
        <color rgb="FF000000"/>
      </top>
    </border>
    <border>
      <left style="thin">
        <color rgb="FF000000"/>
      </left>
      <right style="medium">
        <color rgb="FF000000"/>
      </right>
      <top style="medium">
        <color rgb="FF000000"/>
      </top>
    </border>
    <border>
      <left style="medium">
        <color rgb="FF000000"/>
      </left>
      <right/>
    </border>
    <border>
      <left style="thin">
        <color rgb="FF000000"/>
      </left>
      <right style="medium">
        <color rgb="FF000000"/>
      </right>
      <bottom style="medium">
        <color rgb="FF000000"/>
      </bottom>
    </border>
    <border>
      <left/>
      <right style="thin">
        <color rgb="FF000000"/>
      </right>
      <top style="thin">
        <color rgb="FF000000"/>
      </top>
      <bottom style="thin">
        <color rgb="FF000000"/>
      </bottom>
    </border>
    <border>
      <top style="thin">
        <color rgb="FF000000"/>
      </top>
    </border>
    <border>
      <left/>
      <right style="thin">
        <color rgb="FF000000"/>
      </right>
      <top/>
      <bottom/>
    </border>
    <border>
      <left style="thin">
        <color rgb="FF000000"/>
      </left>
      <right style="medium">
        <color rgb="FF000000"/>
      </right>
      <top/>
      <bottom style="thin">
        <color rgb="FF000000"/>
      </bottom>
    </border>
    <border>
      <left style="medium">
        <color rgb="FF000000"/>
      </left>
      <right/>
      <bottom style="medium">
        <color rgb="FF000000"/>
      </bottom>
    </border>
    <border>
      <right style="medium">
        <color rgb="FF000000"/>
      </right>
      <bottom style="thin">
        <color rgb="FF000000"/>
      </bottom>
    </border>
    <border>
      <left style="medium">
        <color rgb="FF000000"/>
      </left>
      <right style="thin">
        <color rgb="FF000000"/>
      </right>
      <top/>
      <bottom style="thin">
        <color rgb="FF000000"/>
      </bottom>
    </border>
    <border>
      <left/>
      <right style="medium">
        <color rgb="FF000000"/>
      </right>
      <top/>
      <bottom style="thin">
        <color rgb="FF000000"/>
      </bottom>
    </border>
    <border>
      <left style="thin">
        <color rgb="FF000000"/>
      </left>
      <bottom style="thin">
        <color rgb="FF000000"/>
      </bottom>
    </border>
    <border>
      <left style="medium">
        <color rgb="FF000000"/>
      </left>
      <right style="thin">
        <color rgb="FF000000"/>
      </right>
      <top/>
      <bottom style="medium">
        <color rgb="FF000000"/>
      </bottom>
    </border>
    <border>
      <left/>
      <right style="thin">
        <color rgb="FF000000"/>
      </right>
      <top/>
      <bottom style="medium">
        <color rgb="FF000000"/>
      </bottom>
    </border>
    <border>
      <left/>
      <right style="thin">
        <color rgb="FF000000"/>
      </right>
      <top style="medium">
        <color rgb="FF000000"/>
      </top>
      <bottom style="thin">
        <color rgb="FF000000"/>
      </bottom>
    </border>
    <border>
      <left style="thin">
        <color rgb="FF000000"/>
      </left>
      <bottom style="medium">
        <color rgb="FF000000"/>
      </bottom>
    </border>
    <border>
      <left style="thin">
        <color rgb="FF000000"/>
      </left>
      <top style="thin">
        <color rgb="FF000000"/>
      </top>
      <bottom style="medium">
        <color rgb="FF000000"/>
      </bottom>
    </border>
    <border>
      <right style="thin">
        <color rgb="FF000000"/>
      </right>
      <top style="medium">
        <color rgb="FF000000"/>
      </top>
      <bottom style="thin">
        <color rgb="FF000000"/>
      </bottom>
    </border>
    <border>
      <right style="thin">
        <color rgb="FF000000"/>
      </right>
      <top style="thin">
        <color rgb="FF000000"/>
      </top>
      <bottom style="medium">
        <color rgb="FF000000"/>
      </bottom>
    </border>
    <border>
      <left style="medium">
        <color rgb="FF000000"/>
      </left>
      <right/>
      <top/>
    </border>
    <border>
      <left style="thin">
        <color rgb="FF000000"/>
      </left>
      <right style="medium">
        <color rgb="FF000000"/>
      </right>
    </border>
    <border>
      <bottom style="thin">
        <color rgb="FF000000"/>
      </bottom>
    </border>
    <border>
      <left/>
      <right/>
      <top/>
      <bottom style="thin">
        <color rgb="FF000000"/>
      </bottom>
    </border>
    <border>
      <left style="medium">
        <color rgb="FF000000"/>
      </left>
      <top style="medium">
        <color rgb="FF000000"/>
      </top>
    </border>
    <border>
      <left style="medium">
        <color rgb="FF000000"/>
      </left>
    </border>
    <border>
      <left style="medium">
        <color rgb="FF000000"/>
      </left>
      <bottom style="medium">
        <color rgb="FF000000"/>
      </bottom>
    </border>
    <border>
      <right style="medium">
        <color rgb="FF000000"/>
      </right>
    </border>
    <border>
      <left style="medium">
        <color rgb="FF000000"/>
      </left>
      <right style="thin">
        <color rgb="FF000000"/>
      </right>
      <top style="thin">
        <color rgb="FF000000"/>
      </top>
    </border>
    <border>
      <left/>
      <right style="thin">
        <color rgb="FF000000"/>
      </right>
      <top style="medium">
        <color rgb="FF000000"/>
      </top>
    </border>
    <border>
      <left/>
      <right style="thin">
        <color rgb="FF000000"/>
      </right>
      <bottom style="medium">
        <color rgb="FF000000"/>
      </bottom>
    </border>
    <border>
      <left style="medium">
        <color rgb="FF000000"/>
      </left>
      <right style="thin">
        <color rgb="FF000000"/>
      </right>
      <top/>
      <bottom/>
    </border>
    <border>
      <left style="medium">
        <color rgb="FF000000"/>
      </left>
      <right style="medium">
        <color rgb="FF000000"/>
      </right>
      <bottom style="thin">
        <color rgb="FF000000"/>
      </bottom>
    </border>
    <border>
      <left style="medium">
        <color rgb="FF000000"/>
      </left>
      <right style="medium">
        <color rgb="FF000000"/>
      </right>
      <top style="medium">
        <color rgb="FFCCCCCC"/>
      </top>
      <bottom style="thick">
        <color rgb="FF000000"/>
      </bottom>
    </border>
    <border>
      <left style="medium">
        <color rgb="FFCCCCCC"/>
      </left>
      <right style="medium">
        <color rgb="FF000000"/>
      </right>
      <top style="medium">
        <color rgb="FFCCCCCC"/>
      </top>
      <bottom style="thick">
        <color rgb="FF000000"/>
      </bottom>
    </border>
    <border>
      <left style="medium">
        <color rgb="FFCCCCCC"/>
      </left>
      <right style="thick">
        <color rgb="FF000000"/>
      </right>
      <top style="medium">
        <color rgb="FFCCCCCC"/>
      </top>
      <bottom style="thick">
        <color rgb="FF000000"/>
      </bottom>
    </border>
    <border>
      <left style="medium">
        <color rgb="FFCCCCCC"/>
      </left>
      <right style="medium">
        <color rgb="FF000000"/>
      </right>
      <top style="medium">
        <color rgb="FFCCCCCC"/>
      </top>
      <bottom style="medium">
        <color rgb="FF000000"/>
      </bottom>
    </border>
    <border>
      <left style="medium">
        <color rgb="FFCCCCCC"/>
      </left>
      <right style="thick">
        <color rgb="FF000000"/>
      </right>
      <top style="medium">
        <color rgb="FFCCCCCC"/>
      </top>
      <bottom style="medium">
        <color rgb="FF000000"/>
      </bottom>
    </border>
    <border>
      <left style="medium">
        <color rgb="FFCCCCCC"/>
      </left>
      <right style="medium">
        <color rgb="FFCCCCCC"/>
      </right>
      <top style="medium">
        <color rgb="FFCCCCCC"/>
      </top>
      <bottom style="medium">
        <color rgb="FFCCCCCC"/>
      </bottom>
    </border>
    <border>
      <left style="medium">
        <color rgb="FFCCCCCC"/>
      </left>
      <right style="medium">
        <color rgb="FF000000"/>
      </right>
      <top style="medium">
        <color rgb="FFCCCCCC"/>
      </top>
    </border>
    <border>
      <left style="thick">
        <color rgb="FF000000"/>
      </left>
      <right style="thick">
        <color rgb="FF000000"/>
      </right>
      <top style="thick">
        <color rgb="FF000000"/>
      </top>
    </border>
    <border>
      <left style="thick">
        <color rgb="FF000000"/>
      </left>
      <top style="thick">
        <color rgb="FF000000"/>
      </top>
    </border>
    <border>
      <right style="medium">
        <color rgb="FF000000"/>
      </right>
      <top style="thick">
        <color rgb="FF000000"/>
      </top>
    </border>
    <border>
      <left style="medium">
        <color rgb="FF000000"/>
      </left>
      <right style="medium">
        <color rgb="FF000000"/>
      </right>
      <top style="thick">
        <color rgb="FF000000"/>
      </top>
    </border>
    <border>
      <left style="medium">
        <color rgb="FF000000"/>
      </left>
      <right style="thick">
        <color rgb="FF000000"/>
      </right>
      <top style="thick">
        <color rgb="FF000000"/>
      </top>
    </border>
    <border>
      <left style="thick">
        <color rgb="FF000000"/>
      </left>
      <right style="thick">
        <color rgb="FF000000"/>
      </right>
      <bottom style="thick">
        <color rgb="FF000000"/>
      </bottom>
    </border>
    <border>
      <left style="thick">
        <color rgb="FF000000"/>
      </left>
      <bottom style="thick">
        <color rgb="FF000000"/>
      </bottom>
    </border>
    <border>
      <right style="medium">
        <color rgb="FF000000"/>
      </right>
      <bottom style="thick">
        <color rgb="FF000000"/>
      </bottom>
    </border>
    <border>
      <left style="medium">
        <color rgb="FF000000"/>
      </left>
      <right style="medium">
        <color rgb="FF000000"/>
      </right>
      <bottom style="thick">
        <color rgb="FF000000"/>
      </bottom>
    </border>
    <border>
      <left style="medium">
        <color rgb="FF000000"/>
      </left>
      <right style="thick">
        <color rgb="FF000000"/>
      </right>
      <bottom style="thick">
        <color rgb="FF000000"/>
      </bottom>
    </border>
    <border>
      <left style="medium">
        <color rgb="FFCCCCCC"/>
      </left>
      <right style="medium">
        <color rgb="FF000000"/>
      </right>
      <bottom style="medium">
        <color rgb="FF000000"/>
      </bottom>
    </border>
    <border>
      <left style="medium">
        <color rgb="FFCCCCCC"/>
      </left>
      <right style="medium">
        <color rgb="FF000000"/>
      </right>
    </border>
    <border>
      <left style="thick">
        <color rgb="FF000000"/>
      </left>
      <right style="thick">
        <color rgb="FF000000"/>
      </right>
      <top style="medium">
        <color rgb="FF000000"/>
      </top>
    </border>
    <border>
      <left style="thick">
        <color rgb="FF000000"/>
      </left>
      <right style="medium">
        <color rgb="FF000000"/>
      </right>
      <top style="medium">
        <color rgb="FF000000"/>
      </top>
    </border>
    <border>
      <left style="medium">
        <color rgb="FF000000"/>
      </left>
      <right style="thick">
        <color rgb="FF000000"/>
      </right>
      <top style="medium">
        <color rgb="FF000000"/>
      </top>
    </border>
    <border>
      <left style="thick">
        <color rgb="FF000000"/>
      </left>
      <right style="medium">
        <color rgb="FF000000"/>
      </right>
      <bottom style="thick">
        <color rgb="FF000000"/>
      </bottom>
    </border>
    <border>
      <left style="medium">
        <color rgb="FF000000"/>
      </left>
      <bottom style="thick">
        <color rgb="FF000000"/>
      </bottom>
    </border>
    <border>
      <left style="medium">
        <color rgb="FF000000"/>
      </left>
      <right style="medium">
        <color rgb="FF000000"/>
      </right>
      <top style="medium">
        <color rgb="FFCCCCCC"/>
      </top>
      <bottom style="medium">
        <color rgb="FF000000"/>
      </bottom>
    </border>
    <border>
      <left style="thick">
        <color rgb="FF000000"/>
      </left>
      <right style="thick">
        <color rgb="FF000000"/>
      </right>
      <top style="medium">
        <color rgb="FFCCCCCC"/>
      </top>
      <bottom style="medium">
        <color rgb="FF000000"/>
      </bottom>
    </border>
    <border>
      <left style="thick">
        <color rgb="FF000000"/>
      </left>
      <right style="medium">
        <color rgb="FF000000"/>
      </right>
      <top style="thick">
        <color rgb="FF000000"/>
      </top>
    </border>
    <border>
      <left style="thick">
        <color rgb="FF000000"/>
      </left>
      <right style="thick">
        <color rgb="FF000000"/>
      </right>
      <top style="medium">
        <color rgb="FFCCCCCC"/>
      </top>
      <bottom style="thick">
        <color rgb="FF000000"/>
      </bottom>
    </border>
    <border>
      <left style="medium">
        <color rgb="FFCCCCCC"/>
      </left>
      <right style="medium">
        <color rgb="FF000000"/>
      </right>
      <top style="medium">
        <color rgb="FFCCCCCC"/>
      </top>
      <bottom style="medium">
        <color rgb="FFCCCCCC"/>
      </bottom>
    </border>
    <border>
      <left style="thick">
        <color rgb="FF000000"/>
      </left>
      <right style="medium">
        <color rgb="FFCCCCCC"/>
      </right>
      <top style="thick">
        <color rgb="FF000000"/>
      </top>
    </border>
    <border>
      <left style="medium">
        <color rgb="FFCCCCCC"/>
      </left>
      <right style="medium">
        <color rgb="FF000000"/>
      </right>
      <top style="thick">
        <color rgb="FF000000"/>
      </top>
    </border>
    <border>
      <left style="medium">
        <color rgb="FF000000"/>
      </left>
      <top style="thick">
        <color rgb="FF000000"/>
      </top>
    </border>
    <border>
      <left style="thick">
        <color rgb="FF000000"/>
      </left>
      <right style="medium">
        <color rgb="FFCCCCCC"/>
      </right>
      <bottom style="thick">
        <color rgb="FF000000"/>
      </bottom>
    </border>
    <border>
      <left style="medium">
        <color rgb="FFCCCCCC"/>
      </left>
      <right style="medium">
        <color rgb="FF000000"/>
      </right>
      <bottom style="thick">
        <color rgb="FF000000"/>
      </bottom>
    </border>
    <border>
      <left style="medium">
        <color rgb="FF000000"/>
      </left>
      <right style="thick">
        <color rgb="FF000000"/>
      </right>
      <bottom style="medium">
        <color rgb="FF000000"/>
      </bottom>
    </border>
    <border>
      <left style="medium">
        <color rgb="FFCCCCCC"/>
      </left>
      <right style="thick">
        <color rgb="FF000000"/>
      </right>
      <top style="medium">
        <color rgb="FFCCCCCC"/>
      </top>
      <bottom style="medium">
        <color rgb="FFCCCCCC"/>
      </bottom>
    </border>
    <border>
      <left style="medium">
        <color rgb="FF000000"/>
      </left>
      <right style="thick">
        <color rgb="FF000000"/>
      </right>
      <top style="medium">
        <color rgb="FFCCCCCC"/>
      </top>
    </border>
    <border>
      <right style="thick">
        <color rgb="FF000000"/>
      </right>
      <top style="thick">
        <color rgb="FF000000"/>
      </top>
    </border>
    <border>
      <right style="thick">
        <color rgb="FF000000"/>
      </right>
      <bottom style="thick">
        <color rgb="FF000000"/>
      </bottom>
    </border>
    <border>
      <left style="thick">
        <color rgb="FF000000"/>
      </left>
      <right style="thick">
        <color rgb="FF000000"/>
      </right>
      <top style="medium">
        <color rgb="FFCCCCCC"/>
      </top>
      <bottom style="medium">
        <color rgb="FFCCCCCC"/>
      </bottom>
    </border>
    <border>
      <right style="thick">
        <color rgb="FF000000"/>
      </right>
      <top style="medium">
        <color rgb="FF000000"/>
      </top>
    </border>
    <border>
      <left style="thick">
        <color rgb="FF000000"/>
      </left>
      <right style="thick">
        <color rgb="FF000000"/>
      </right>
      <bottom style="medium">
        <color rgb="FF000000"/>
      </bottom>
    </border>
    <border>
      <right style="thick">
        <color rgb="FF000000"/>
      </right>
      <bottom style="medium">
        <color rgb="FF000000"/>
      </bottom>
    </border>
    <border>
      <left style="thick">
        <color rgb="FF000000"/>
      </left>
      <right style="medium">
        <color rgb="FF000000"/>
      </right>
      <top style="medium">
        <color rgb="FFCCCCCC"/>
      </top>
      <bottom style="medium">
        <color rgb="FF000000"/>
      </bottom>
    </border>
    <border>
      <left style="thick">
        <color rgb="FF000000"/>
      </left>
      <right style="medium">
        <color rgb="FF000000"/>
      </right>
      <top style="medium">
        <color rgb="FFCCCCCC"/>
      </top>
      <bottom style="thick">
        <color rgb="FF000000"/>
      </bottom>
    </border>
    <border>
      <left style="thick">
        <color rgb="FF000000"/>
      </left>
      <right style="medium">
        <color rgb="FF000000"/>
      </right>
      <top style="medium">
        <color rgb="FFCCCCCC"/>
      </top>
      <bottom style="medium">
        <color rgb="FFCCCCCC"/>
      </bottom>
    </border>
    <border>
      <left style="thick">
        <color rgb="FF000000"/>
      </left>
      <right style="medium">
        <color rgb="FFCCCCCC"/>
      </right>
      <top style="medium">
        <color rgb="FFCCCCCC"/>
      </top>
    </border>
    <border>
      <left style="medium">
        <color rgb="FF000000"/>
      </left>
      <right style="thick">
        <color rgb="FF000000"/>
      </right>
      <top style="medium">
        <color rgb="FFCCCCCC"/>
      </top>
      <bottom style="medium">
        <color rgb="FF000000"/>
      </bottom>
    </border>
    <border>
      <left style="medium">
        <color rgb="FFCCCCCC"/>
      </left>
      <right style="thick">
        <color rgb="FF000000"/>
      </right>
      <top style="thick">
        <color rgb="FF000000"/>
      </top>
    </border>
    <border>
      <left style="medium">
        <color rgb="FFCCCCCC"/>
      </left>
      <right style="thick">
        <color rgb="FF000000"/>
      </right>
      <bottom style="thick">
        <color rgb="FF000000"/>
      </bottom>
    </border>
    <border>
      <left style="thin">
        <color rgb="FF000000"/>
      </left>
      <right/>
      <top style="medium">
        <color rgb="FF000000"/>
      </top>
    </border>
    <border>
      <left style="thin">
        <color rgb="FF000000"/>
      </left>
      <right/>
    </border>
    <border>
      <left/>
      <right/>
      <top style="thin">
        <color rgb="FF000000"/>
      </top>
      <bottom/>
    </border>
    <border>
      <left style="thin">
        <color rgb="FF000000"/>
      </left>
      <top style="thin">
        <color rgb="FF000000"/>
      </top>
    </border>
    <border>
      <left style="thin">
        <color rgb="FF000000"/>
      </left>
    </border>
    <border>
      <left style="thin">
        <color rgb="FF000000"/>
      </left>
      <right/>
      <bottom style="medium">
        <color rgb="FF000000"/>
      </bottom>
    </border>
    <border>
      <right style="thin">
        <color rgb="FF000000"/>
      </right>
      <top style="thin">
        <color rgb="FF000000"/>
      </top>
    </border>
    <border>
      <left style="thin">
        <color rgb="FF000000"/>
      </left>
      <right/>
      <top/>
    </border>
    <border>
      <left style="thin">
        <color rgb="FF000000"/>
      </left>
      <right style="thin">
        <color rgb="FF000000"/>
      </right>
      <top/>
      <bottom/>
    </border>
    <border>
      <left style="medium">
        <color rgb="FF000000"/>
      </left>
      <right style="thin">
        <color rgb="FF000000"/>
      </right>
      <top style="medium">
        <color rgb="FF000000"/>
      </top>
      <bottom style="medium">
        <color rgb="FF000000"/>
      </bottom>
    </border>
    <border>
      <left style="medium">
        <color rgb="FF000000"/>
      </left>
      <top style="thin">
        <color rgb="FF000000"/>
      </top>
      <bottom style="thin">
        <color rgb="FF000000"/>
      </bottom>
    </border>
    <border>
      <left style="medium">
        <color rgb="FF000000"/>
      </left>
      <top style="thin">
        <color rgb="FF000000"/>
      </top>
      <bottom style="medium">
        <color rgb="FF000000"/>
      </bottom>
    </border>
    <border>
      <right/>
      <top/>
      <bottom/>
    </border>
    <border>
      <left style="medium">
        <color rgb="FF000000"/>
      </left>
      <right style="thin">
        <color rgb="FF000000"/>
      </right>
      <bottom/>
    </border>
    <border>
      <right style="medium">
        <color rgb="FF000000"/>
      </right>
      <top style="thin">
        <color rgb="FF000000"/>
      </top>
    </border>
    <border>
      <left style="medium">
        <color rgb="FF000000"/>
      </left>
      <top style="thin">
        <color rgb="FF000000"/>
      </top>
    </border>
    <border>
      <left style="medium">
        <color rgb="FF000000"/>
      </left>
      <right style="medium">
        <color rgb="FF000000"/>
      </right>
      <top/>
      <bottom style="thin">
        <color rgb="FF000000"/>
      </bottom>
    </border>
    <border>
      <left/>
      <right style="medium">
        <color rgb="FF000000"/>
      </right>
      <top/>
      <bottom/>
    </border>
    <border>
      <left style="medium">
        <color rgb="FF000000"/>
      </left>
      <bottom style="thin">
        <color rgb="FF000000"/>
      </bottom>
    </border>
    <border>
      <right style="medium">
        <color rgb="FF000000"/>
      </right>
      <top style="medium">
        <color rgb="FF000000"/>
      </top>
      <bottom style="thin">
        <color rgb="FF000000"/>
      </bottom>
    </border>
    <border>
      <right style="medium">
        <color rgb="FF000000"/>
      </right>
      <top style="thin">
        <color rgb="FF000000"/>
      </top>
      <bottom style="medium">
        <color rgb="FF000000"/>
      </bottom>
    </border>
    <border>
      <right style="medium">
        <color rgb="FF000000"/>
      </right>
      <top style="thin">
        <color rgb="FF000000"/>
      </top>
      <bottom style="thin">
        <color rgb="FF000000"/>
      </bottom>
    </border>
    <border>
      <left style="medium">
        <color rgb="FF000000"/>
      </left>
      <right/>
      <top style="medium">
        <color rgb="FF000000"/>
      </top>
      <bottom/>
    </border>
    <border>
      <left style="medium">
        <color rgb="FF000000"/>
      </left>
      <top style="medium">
        <color rgb="FF000000"/>
      </top>
      <bottom style="medium">
        <color rgb="FF000000"/>
      </bottom>
    </border>
    <border>
      <right style="medium">
        <color rgb="FF000000"/>
      </right>
      <top style="medium">
        <color rgb="FF000000"/>
      </top>
      <bottom style="medium">
        <color rgb="FF000000"/>
      </bottom>
    </border>
    <border>
      <left/>
      <right/>
      <bottom/>
    </border>
    <border>
      <left style="medium">
        <color rgb="FF000000"/>
      </left>
      <right/>
      <top style="medium">
        <color rgb="FF000000"/>
      </top>
      <bottom style="thin">
        <color rgb="FF000000"/>
      </bottom>
    </border>
    <border>
      <left style="medium">
        <color rgb="FF000000"/>
      </left>
      <right/>
      <top style="thin">
        <color rgb="FF000000"/>
      </top>
      <bottom style="medium">
        <color rgb="FF000000"/>
      </bottom>
    </border>
    <border>
      <left style="medium">
        <color rgb="FF000000"/>
      </left>
      <right style="medium">
        <color rgb="FF000000"/>
      </right>
      <top style="thin">
        <color rgb="FF000000"/>
      </top>
      <bottom style="medium">
        <color rgb="FF000000"/>
      </bottom>
    </border>
    <border>
      <left style="medium">
        <color rgb="FF000000"/>
      </left>
      <top style="medium">
        <color rgb="FF000000"/>
      </top>
      <bottom style="thin">
        <color rgb="FF000000"/>
      </bottom>
    </border>
    <border>
      <left style="thin">
        <color rgb="FF000000"/>
      </left>
      <right/>
      <top/>
      <bottom style="thin">
        <color rgb="FF000000"/>
      </bottom>
    </border>
  </borders>
  <cellStyleXfs count="1">
    <xf borderId="0" fillId="0" fontId="0" numFmtId="0" applyAlignment="1" applyFont="1"/>
  </cellStyleXfs>
  <cellXfs count="519">
    <xf borderId="0" fillId="0" fontId="0" numFmtId="0" xfId="0" applyAlignment="1" applyFont="1">
      <alignment readingOrder="0" shrinkToFit="0" vertical="bottom" wrapText="0"/>
    </xf>
    <xf borderId="1" fillId="0" fontId="1" numFmtId="0" xfId="0" applyAlignment="1" applyBorder="1" applyFont="1">
      <alignment horizontal="center" shrinkToFit="0" vertical="center" wrapText="0"/>
    </xf>
    <xf borderId="2" fillId="0" fontId="2" numFmtId="0" xfId="0" applyAlignment="1" applyBorder="1" applyFont="1">
      <alignment horizontal="center" shrinkToFit="0" vertical="center" wrapText="0"/>
    </xf>
    <xf borderId="3" fillId="0" fontId="2" numFmtId="0" xfId="0" applyAlignment="1" applyBorder="1" applyFont="1">
      <alignment horizontal="center" shrinkToFit="0" vertical="center" wrapText="0"/>
    </xf>
    <xf borderId="4" fillId="0" fontId="2" numFmtId="0" xfId="0" applyAlignment="1" applyBorder="1" applyFont="1">
      <alignment horizontal="center" shrinkToFit="0" vertical="center" wrapText="0"/>
    </xf>
    <xf borderId="5" fillId="0" fontId="3" numFmtId="0" xfId="0" applyAlignment="1" applyBorder="1" applyFont="1">
      <alignment shrinkToFit="0" vertical="center" wrapText="0"/>
    </xf>
    <xf borderId="6" fillId="0" fontId="4" numFmtId="14" xfId="0" applyAlignment="1" applyBorder="1" applyFont="1" applyNumberFormat="1">
      <alignment horizontal="left" shrinkToFit="0" vertical="center" wrapText="0"/>
    </xf>
    <xf borderId="7" fillId="0" fontId="4" numFmtId="14" xfId="0" applyAlignment="1" applyBorder="1" applyFont="1" applyNumberFormat="1">
      <alignment horizontal="left" shrinkToFit="0" vertical="center" wrapText="0"/>
    </xf>
    <xf borderId="0" fillId="0" fontId="5" numFmtId="0" xfId="0" applyAlignment="1" applyFont="1">
      <alignment shrinkToFit="0" vertical="center" wrapText="0"/>
    </xf>
    <xf borderId="6" fillId="0" fontId="4" numFmtId="0" xfId="0" applyAlignment="1" applyBorder="1" applyFont="1">
      <alignment horizontal="left" shrinkToFit="0" vertical="center" wrapText="0"/>
    </xf>
    <xf borderId="7" fillId="0" fontId="4" numFmtId="0" xfId="0" applyAlignment="1" applyBorder="1" applyFont="1">
      <alignment horizontal="left" shrinkToFit="0" vertical="center" wrapText="0"/>
    </xf>
    <xf borderId="8" fillId="0" fontId="3" numFmtId="0" xfId="0" applyAlignment="1" applyBorder="1" applyFont="1">
      <alignment shrinkToFit="0" vertical="center" wrapText="0"/>
    </xf>
    <xf borderId="9" fillId="0" fontId="4" numFmtId="14" xfId="0" applyAlignment="1" applyBorder="1" applyFont="1" applyNumberFormat="1">
      <alignment horizontal="left" shrinkToFit="0" vertical="center" wrapText="0"/>
    </xf>
    <xf borderId="10" fillId="0" fontId="4" numFmtId="14" xfId="0" applyAlignment="1" applyBorder="1" applyFont="1" applyNumberFormat="1">
      <alignment horizontal="left" shrinkToFit="0" vertical="center" wrapText="0"/>
    </xf>
    <xf borderId="0" fillId="0" fontId="6" numFmtId="0" xfId="0" applyAlignment="1" applyFont="1">
      <alignment horizontal="center" vertical="center"/>
    </xf>
    <xf borderId="0" fillId="0" fontId="7" numFmtId="0" xfId="0" applyAlignment="1" applyFont="1">
      <alignment vertical="center"/>
    </xf>
    <xf borderId="0" fillId="0" fontId="7" numFmtId="0" xfId="0" applyFont="1"/>
    <xf borderId="11" fillId="2" fontId="8" numFmtId="0" xfId="0" applyAlignment="1" applyBorder="1" applyFill="1" applyFont="1">
      <alignment horizontal="center" vertical="center"/>
    </xf>
    <xf borderId="11" fillId="3" fontId="8" numFmtId="0" xfId="0" applyAlignment="1" applyBorder="1" applyFill="1" applyFont="1">
      <alignment horizontal="center" vertical="center"/>
    </xf>
    <xf borderId="12" fillId="0" fontId="9" numFmtId="0" xfId="0" applyAlignment="1" applyBorder="1" applyFont="1">
      <alignment vertical="center"/>
    </xf>
    <xf borderId="0" fillId="4" fontId="7" numFmtId="0" xfId="0" applyAlignment="1" applyFill="1" applyFont="1">
      <alignment vertical="center"/>
    </xf>
    <xf borderId="13" fillId="5" fontId="10" numFmtId="0" xfId="0" applyAlignment="1" applyBorder="1" applyFill="1" applyFont="1">
      <alignment vertical="center"/>
    </xf>
    <xf borderId="14" fillId="0" fontId="7" numFmtId="0" xfId="0" applyAlignment="1" applyBorder="1" applyFont="1">
      <alignment vertical="center"/>
    </xf>
    <xf borderId="15" fillId="5" fontId="11" numFmtId="0" xfId="0" applyAlignment="1" applyBorder="1" applyFont="1">
      <alignment vertical="center"/>
    </xf>
    <xf borderId="16" fillId="0" fontId="7" numFmtId="0" xfId="0" applyAlignment="1" applyBorder="1" applyFont="1">
      <alignment vertical="center"/>
    </xf>
    <xf borderId="11" fillId="6" fontId="12" numFmtId="0" xfId="0" applyAlignment="1" applyBorder="1" applyFill="1" applyFont="1">
      <alignment horizontal="center" vertical="center"/>
    </xf>
    <xf borderId="15" fillId="5" fontId="13" numFmtId="0" xfId="0" applyAlignment="1" applyBorder="1" applyFont="1">
      <alignment readingOrder="0" vertical="center"/>
    </xf>
    <xf borderId="17" fillId="5" fontId="7" numFmtId="0" xfId="0" applyAlignment="1" applyBorder="1" applyFont="1">
      <alignment vertical="center"/>
    </xf>
    <xf borderId="14" fillId="0" fontId="7" numFmtId="0" xfId="0" applyAlignment="1" applyBorder="1" applyFont="1">
      <alignment readingOrder="0" vertical="center"/>
    </xf>
    <xf borderId="0" fillId="0" fontId="12" numFmtId="0" xfId="0" applyAlignment="1" applyFont="1">
      <alignment horizontal="center" vertical="center"/>
    </xf>
    <xf borderId="0" fillId="0" fontId="14" numFmtId="0" xfId="0" applyAlignment="1" applyFont="1">
      <alignment vertical="center"/>
    </xf>
    <xf borderId="15" fillId="5" fontId="13" numFmtId="0" xfId="0" applyBorder="1" applyFont="1"/>
    <xf borderId="14" fillId="0" fontId="15" numFmtId="0" xfId="0" applyAlignment="1" applyBorder="1" applyFont="1">
      <alignment vertical="center"/>
    </xf>
    <xf borderId="17" fillId="5" fontId="7" numFmtId="0" xfId="0" applyBorder="1" applyFont="1"/>
    <xf borderId="14" fillId="0" fontId="16" numFmtId="0" xfId="0" applyAlignment="1" applyBorder="1" applyFont="1">
      <alignment readingOrder="0" vertical="center"/>
    </xf>
    <xf borderId="0" fillId="0" fontId="17" numFmtId="0" xfId="0" applyAlignment="1" applyFont="1">
      <alignment readingOrder="0"/>
    </xf>
    <xf borderId="0" fillId="0" fontId="17" numFmtId="0" xfId="0" applyFont="1"/>
    <xf borderId="0" fillId="0" fontId="18" numFmtId="0" xfId="0" applyAlignment="1" applyFont="1">
      <alignment readingOrder="0"/>
    </xf>
    <xf borderId="0" fillId="0" fontId="18" numFmtId="0" xfId="0" applyFont="1"/>
    <xf borderId="0" fillId="0" fontId="19" numFmtId="0" xfId="0" applyAlignment="1" applyFont="1">
      <alignment readingOrder="0"/>
    </xf>
    <xf borderId="0" fillId="0" fontId="19" numFmtId="0" xfId="0" applyFont="1"/>
    <xf borderId="18" fillId="0" fontId="17" numFmtId="0" xfId="0" applyBorder="1" applyFont="1"/>
    <xf borderId="18" fillId="0" fontId="19" numFmtId="0" xfId="0" applyBorder="1" applyFont="1"/>
    <xf borderId="18" fillId="0" fontId="19" numFmtId="0" xfId="0" applyAlignment="1" applyBorder="1" applyFont="1">
      <alignment readingOrder="0"/>
    </xf>
    <xf borderId="0" fillId="0" fontId="19" numFmtId="3" xfId="0" applyAlignment="1" applyFont="1" applyNumberFormat="1">
      <alignment readingOrder="0"/>
    </xf>
    <xf borderId="0" fillId="0" fontId="19" numFmtId="3" xfId="0" applyFont="1" applyNumberFormat="1"/>
    <xf borderId="0" fillId="0" fontId="20" numFmtId="0" xfId="0" applyFont="1"/>
    <xf borderId="0" fillId="7" fontId="21" numFmtId="0" xfId="0" applyFill="1" applyFont="1"/>
    <xf borderId="0" fillId="0" fontId="19" numFmtId="0" xfId="0" applyFont="1"/>
    <xf borderId="0" fillId="0" fontId="22" numFmtId="0" xfId="0" applyAlignment="1" applyFont="1">
      <alignment readingOrder="0"/>
    </xf>
    <xf borderId="0" fillId="0" fontId="19" numFmtId="4" xfId="0" applyFont="1" applyNumberFormat="1"/>
    <xf borderId="18" fillId="0" fontId="19" numFmtId="3" xfId="0" applyBorder="1" applyFont="1" applyNumberFormat="1"/>
    <xf borderId="0" fillId="0" fontId="19" numFmtId="4" xfId="0" applyAlignment="1" applyFont="1" applyNumberFormat="1">
      <alignment readingOrder="0"/>
    </xf>
    <xf borderId="18" fillId="0" fontId="17" numFmtId="0" xfId="0" applyAlignment="1" applyBorder="1" applyFont="1">
      <alignment readingOrder="0"/>
    </xf>
    <xf borderId="18" fillId="0" fontId="19" numFmtId="4" xfId="0" applyBorder="1" applyFont="1" applyNumberFormat="1"/>
    <xf borderId="19" fillId="8" fontId="23" numFmtId="0" xfId="0" applyAlignment="1" applyBorder="1" applyFill="1" applyFont="1">
      <alignment horizontal="center"/>
    </xf>
    <xf borderId="19" fillId="8" fontId="24" numFmtId="0" xfId="0" applyAlignment="1" applyBorder="1" applyFont="1">
      <alignment horizontal="center"/>
    </xf>
    <xf borderId="20" fillId="8" fontId="23" numFmtId="0" xfId="0" applyAlignment="1" applyBorder="1" applyFont="1">
      <alignment horizontal="center"/>
    </xf>
    <xf borderId="21" fillId="0" fontId="25" numFmtId="164" xfId="0" applyAlignment="1" applyBorder="1" applyFont="1" applyNumberFormat="1">
      <alignment horizontal="left"/>
    </xf>
    <xf borderId="22" fillId="0" fontId="25" numFmtId="0" xfId="0" applyBorder="1" applyFont="1"/>
    <xf borderId="23" fillId="9" fontId="25" numFmtId="165" xfId="0" applyBorder="1" applyFill="1" applyFont="1" applyNumberFormat="1"/>
    <xf borderId="24" fillId="0" fontId="25" numFmtId="0" xfId="0" applyBorder="1" applyFont="1"/>
    <xf borderId="22" fillId="0" fontId="25" numFmtId="0" xfId="0" applyAlignment="1" applyBorder="1" applyFont="1">
      <alignment readingOrder="0"/>
    </xf>
    <xf borderId="0" fillId="0" fontId="26" numFmtId="164" xfId="0" applyAlignment="1" applyFont="1" applyNumberFormat="1">
      <alignment horizontal="left"/>
    </xf>
    <xf borderId="0" fillId="0" fontId="25" numFmtId="164" xfId="0" applyAlignment="1" applyFont="1" applyNumberFormat="1">
      <alignment horizontal="left"/>
    </xf>
    <xf borderId="0" fillId="0" fontId="27" numFmtId="0" xfId="0" applyAlignment="1" applyFont="1">
      <alignment horizontal="center" vertical="center"/>
    </xf>
    <xf borderId="0" fillId="0" fontId="25" numFmtId="0" xfId="0" applyFont="1"/>
    <xf borderId="12" fillId="10" fontId="28" numFmtId="0" xfId="0" applyAlignment="1" applyBorder="1" applyFill="1" applyFont="1">
      <alignment horizontal="center" vertical="center"/>
    </xf>
    <xf borderId="25" fillId="0" fontId="28" numFmtId="165" xfId="0" applyAlignment="1" applyBorder="1" applyFont="1" applyNumberFormat="1">
      <alignment horizontal="center" vertical="center"/>
    </xf>
    <xf borderId="26" fillId="0" fontId="28" numFmtId="165" xfId="0" applyAlignment="1" applyBorder="1" applyFont="1" applyNumberFormat="1">
      <alignment horizontal="center" vertical="center"/>
    </xf>
    <xf borderId="26" fillId="0" fontId="28" numFmtId="0" xfId="0" applyAlignment="1" applyBorder="1" applyFont="1">
      <alignment horizontal="center" vertical="center"/>
    </xf>
    <xf borderId="27" fillId="0" fontId="28" numFmtId="165" xfId="0" applyAlignment="1" applyBorder="1" applyFont="1" applyNumberFormat="1">
      <alignment horizontal="center" vertical="center"/>
    </xf>
    <xf borderId="28" fillId="11" fontId="29" numFmtId="0" xfId="0" applyBorder="1" applyFill="1" applyFont="1"/>
    <xf borderId="28" fillId="11" fontId="29" numFmtId="165" xfId="0" applyBorder="1" applyFont="1" applyNumberFormat="1"/>
    <xf borderId="16" fillId="0" fontId="30" numFmtId="0" xfId="0" applyBorder="1" applyFont="1"/>
    <xf borderId="29" fillId="0" fontId="30" numFmtId="0" xfId="0" applyBorder="1" applyFont="1"/>
    <xf borderId="30" fillId="0" fontId="30" numFmtId="0" xfId="0" applyBorder="1" applyFont="1"/>
    <xf borderId="31" fillId="0" fontId="30" numFmtId="0" xfId="0" applyBorder="1" applyFont="1"/>
    <xf borderId="32" fillId="12" fontId="29" numFmtId="0" xfId="0" applyAlignment="1" applyBorder="1" applyFill="1" applyFont="1">
      <alignment horizontal="left" readingOrder="0"/>
    </xf>
    <xf borderId="0" fillId="0" fontId="31" numFmtId="165" xfId="0" applyFont="1" applyNumberFormat="1"/>
    <xf borderId="33" fillId="0" fontId="25" numFmtId="164" xfId="0" applyAlignment="1" applyBorder="1" applyFont="1" applyNumberFormat="1">
      <alignment horizontal="left"/>
    </xf>
    <xf borderId="34" fillId="0" fontId="25" numFmtId="0" xfId="0" applyBorder="1" applyFont="1"/>
    <xf borderId="34" fillId="0" fontId="25" numFmtId="165" xfId="0" applyBorder="1" applyFont="1" applyNumberFormat="1"/>
    <xf borderId="35" fillId="0" fontId="25" numFmtId="0" xfId="0" applyBorder="1" applyFont="1"/>
    <xf borderId="34" fillId="13" fontId="25" numFmtId="0" xfId="0" applyBorder="1" applyFill="1" applyFont="1"/>
    <xf borderId="23" fillId="13" fontId="25" numFmtId="165" xfId="0" applyBorder="1" applyFont="1" applyNumberFormat="1"/>
    <xf borderId="35" fillId="13" fontId="25" numFmtId="0" xfId="0" applyBorder="1" applyFont="1"/>
    <xf borderId="36" fillId="13" fontId="25" numFmtId="0" xfId="0" applyBorder="1" applyFont="1"/>
    <xf borderId="37" fillId="13" fontId="25" numFmtId="0" xfId="0" applyBorder="1" applyFont="1"/>
    <xf borderId="38" fillId="0" fontId="25" numFmtId="0" xfId="0" applyBorder="1" applyFont="1"/>
    <xf borderId="39" fillId="0" fontId="25" numFmtId="0" xfId="0" applyBorder="1" applyFont="1"/>
    <xf borderId="12" fillId="0" fontId="28" numFmtId="165" xfId="0" applyAlignment="1" applyBorder="1" applyFont="1" applyNumberFormat="1">
      <alignment horizontal="center" vertical="center"/>
    </xf>
    <xf borderId="40" fillId="0" fontId="30" numFmtId="0" xfId="0" applyBorder="1" applyFont="1"/>
    <xf borderId="41" fillId="0" fontId="30" numFmtId="0" xfId="0" applyBorder="1" applyFont="1"/>
    <xf borderId="14" fillId="0" fontId="30" numFmtId="0" xfId="0" applyBorder="1" applyFont="1"/>
    <xf borderId="32" fillId="12" fontId="29" numFmtId="164" xfId="0" applyAlignment="1" applyBorder="1" applyFont="1" applyNumberFormat="1">
      <alignment horizontal="left"/>
    </xf>
    <xf borderId="28" fillId="14" fontId="31" numFmtId="165" xfId="0" applyBorder="1" applyFill="1" applyFont="1" applyNumberFormat="1"/>
    <xf borderId="42" fillId="0" fontId="25" numFmtId="164" xfId="0" applyAlignment="1" applyBorder="1" applyFont="1" applyNumberFormat="1">
      <alignment horizontal="left"/>
    </xf>
    <xf borderId="43" fillId="0" fontId="25" numFmtId="0" xfId="0" applyBorder="1" applyFont="1"/>
    <xf borderId="44" fillId="0" fontId="25" numFmtId="0" xfId="0" applyBorder="1" applyFont="1"/>
    <xf borderId="44" fillId="9" fontId="25" numFmtId="165" xfId="0" applyBorder="1" applyFont="1" applyNumberFormat="1"/>
    <xf borderId="45" fillId="0" fontId="25" numFmtId="0" xfId="0" applyBorder="1" applyFont="1"/>
    <xf borderId="46" fillId="0" fontId="25" numFmtId="164" xfId="0" applyAlignment="1" applyBorder="1" applyFont="1" applyNumberFormat="1">
      <alignment horizontal="left"/>
    </xf>
    <xf borderId="47" fillId="0" fontId="25" numFmtId="0" xfId="0" applyBorder="1" applyFont="1"/>
    <xf borderId="34" fillId="9" fontId="25" numFmtId="165" xfId="0" applyBorder="1" applyFont="1" applyNumberFormat="1"/>
    <xf borderId="48" fillId="0" fontId="25" numFmtId="0" xfId="0" applyBorder="1" applyFont="1"/>
    <xf borderId="49" fillId="0" fontId="25" numFmtId="0" xfId="0" applyBorder="1" applyFont="1"/>
    <xf borderId="49" fillId="9" fontId="25" numFmtId="165" xfId="0" applyBorder="1" applyFont="1" applyNumberFormat="1"/>
    <xf borderId="50" fillId="0" fontId="25" numFmtId="0" xfId="0" applyBorder="1" applyFont="1"/>
    <xf borderId="51" fillId="10" fontId="28" numFmtId="0" xfId="0" applyAlignment="1" applyBorder="1" applyFont="1">
      <alignment horizontal="center" vertical="center"/>
    </xf>
    <xf borderId="52" fillId="10" fontId="28" numFmtId="0" xfId="0" applyAlignment="1" applyBorder="1" applyFont="1">
      <alignment horizontal="center" vertical="center"/>
    </xf>
    <xf borderId="51" fillId="0" fontId="25" numFmtId="164" xfId="0" applyAlignment="1" applyBorder="1" applyFont="1" applyNumberFormat="1">
      <alignment horizontal="left"/>
    </xf>
    <xf borderId="53" fillId="0" fontId="25" numFmtId="0" xfId="0" applyBorder="1" applyFont="1"/>
    <xf borderId="54" fillId="0" fontId="25" numFmtId="164" xfId="0" applyAlignment="1" applyBorder="1" applyFont="1" applyNumberFormat="1">
      <alignment horizontal="left"/>
    </xf>
    <xf borderId="55" fillId="0" fontId="25" numFmtId="164" xfId="0" applyAlignment="1" applyBorder="1" applyFont="1" applyNumberFormat="1">
      <alignment horizontal="left"/>
    </xf>
    <xf borderId="38" fillId="0" fontId="25" numFmtId="164" xfId="0" applyAlignment="1" applyBorder="1" applyFont="1" applyNumberFormat="1">
      <alignment horizontal="center"/>
    </xf>
    <xf borderId="22" fillId="0" fontId="30" numFmtId="0" xfId="0" applyBorder="1" applyFont="1"/>
    <xf borderId="32" fillId="15" fontId="29" numFmtId="0" xfId="0" applyAlignment="1" applyBorder="1" applyFill="1" applyFont="1">
      <alignment horizontal="left" readingOrder="0"/>
    </xf>
    <xf borderId="21" fillId="0" fontId="25" numFmtId="0" xfId="0" applyBorder="1" applyFont="1"/>
    <xf borderId="56" fillId="13" fontId="25" numFmtId="0" xfId="0" applyBorder="1" applyFont="1"/>
    <xf borderId="34" fillId="13" fontId="25" numFmtId="165" xfId="0" applyBorder="1" applyFont="1" applyNumberFormat="1"/>
    <xf borderId="40" fillId="0" fontId="28" numFmtId="165" xfId="0" applyAlignment="1" applyBorder="1" applyFont="1" applyNumberFormat="1">
      <alignment horizontal="center" vertical="center"/>
    </xf>
    <xf borderId="40" fillId="0" fontId="28" numFmtId="1" xfId="0" applyAlignment="1" applyBorder="1" applyFont="1" applyNumberFormat="1">
      <alignment horizontal="center" vertical="center"/>
    </xf>
    <xf borderId="57" fillId="0" fontId="25" numFmtId="164" xfId="0" applyAlignment="1" applyBorder="1" applyFont="1" applyNumberFormat="1">
      <alignment horizontal="left"/>
    </xf>
    <xf borderId="33" fillId="0" fontId="25" numFmtId="0" xfId="0" applyBorder="1" applyFont="1"/>
    <xf borderId="29" fillId="0" fontId="25" numFmtId="0" xfId="0" applyBorder="1" applyFont="1"/>
    <xf borderId="58" fillId="0" fontId="25" numFmtId="0" xfId="0" applyBorder="1" applyFont="1"/>
    <xf borderId="59" fillId="9" fontId="25" numFmtId="165" xfId="0" applyBorder="1" applyFont="1" applyNumberFormat="1"/>
    <xf borderId="40" fillId="0" fontId="28" numFmtId="0" xfId="0" applyAlignment="1" applyBorder="1" applyFont="1">
      <alignment horizontal="center" vertical="center"/>
    </xf>
    <xf borderId="34" fillId="0" fontId="25" numFmtId="164" xfId="0" applyAlignment="1" applyBorder="1" applyFont="1" applyNumberFormat="1">
      <alignment horizontal="left"/>
    </xf>
    <xf borderId="41" fillId="0" fontId="25" numFmtId="0" xfId="0" applyBorder="1" applyFont="1"/>
    <xf borderId="60" fillId="10" fontId="28" numFmtId="0" xfId="0" applyAlignment="1" applyBorder="1" applyFont="1">
      <alignment horizontal="center" vertical="center"/>
    </xf>
    <xf borderId="61" fillId="0" fontId="28" numFmtId="165" xfId="0" applyAlignment="1" applyBorder="1" applyFont="1" applyNumberFormat="1">
      <alignment horizontal="center" vertical="center"/>
    </xf>
    <xf borderId="61" fillId="0" fontId="28" numFmtId="0" xfId="0" applyAlignment="1" applyBorder="1" applyFont="1">
      <alignment horizontal="center" vertical="center"/>
    </xf>
    <xf borderId="62" fillId="0" fontId="28" numFmtId="165" xfId="0" applyAlignment="1" applyBorder="1" applyFont="1" applyNumberFormat="1">
      <alignment horizontal="center" vertical="center"/>
    </xf>
    <xf borderId="63" fillId="0" fontId="30" numFmtId="0" xfId="0" applyBorder="1" applyFont="1"/>
    <xf borderId="58" fillId="0" fontId="30" numFmtId="0" xfId="0" applyBorder="1" applyFont="1"/>
    <xf borderId="64" fillId="0" fontId="30" numFmtId="0" xfId="0" applyBorder="1" applyFont="1"/>
    <xf borderId="23" fillId="13" fontId="25" numFmtId="0" xfId="0" applyBorder="1" applyFont="1"/>
    <xf borderId="36" fillId="9" fontId="25" numFmtId="165" xfId="0" applyBorder="1" applyFont="1" applyNumberFormat="1"/>
    <xf borderId="25" fillId="0" fontId="28" numFmtId="0" xfId="0" applyAlignment="1" applyBorder="1" applyFont="1">
      <alignment horizontal="center" vertical="center"/>
    </xf>
    <xf borderId="56" fillId="9" fontId="25" numFmtId="165" xfId="0" applyBorder="1" applyFont="1" applyNumberFormat="1"/>
    <xf borderId="65" fillId="9" fontId="25" numFmtId="165" xfId="0" applyBorder="1" applyFont="1" applyNumberFormat="1"/>
    <xf borderId="66" fillId="0" fontId="25" numFmtId="0" xfId="0" applyBorder="1" applyFont="1"/>
    <xf borderId="67" fillId="9" fontId="25" numFmtId="165" xfId="0" applyBorder="1" applyFont="1" applyNumberFormat="1"/>
    <xf borderId="14" fillId="0" fontId="28" numFmtId="165" xfId="0" applyAlignment="1" applyBorder="1" applyFont="1" applyNumberFormat="1">
      <alignment horizontal="center" vertical="center"/>
    </xf>
    <xf borderId="68" fillId="13" fontId="25" numFmtId="0" xfId="0" applyBorder="1" applyFont="1"/>
    <xf borderId="25" fillId="0" fontId="28" numFmtId="1" xfId="0" applyAlignment="1" applyBorder="1" applyFont="1" applyNumberFormat="1">
      <alignment horizontal="center" vertical="center"/>
    </xf>
    <xf borderId="69" fillId="0" fontId="30" numFmtId="0" xfId="0" applyBorder="1" applyFont="1"/>
    <xf borderId="70" fillId="0" fontId="25" numFmtId="0" xfId="0" applyBorder="1" applyFont="1"/>
    <xf borderId="71" fillId="13" fontId="25" numFmtId="0" xfId="0" applyBorder="1" applyFont="1"/>
    <xf borderId="56" fillId="13" fontId="25" numFmtId="165" xfId="0" applyBorder="1" applyFont="1" applyNumberFormat="1"/>
    <xf borderId="72" fillId="13" fontId="25" numFmtId="0" xfId="0" applyBorder="1" applyFont="1"/>
    <xf borderId="73" fillId="0" fontId="25" numFmtId="0" xfId="0" applyBorder="1" applyFont="1"/>
    <xf borderId="28" fillId="13" fontId="25" numFmtId="0" xfId="0" applyBorder="1" applyFont="1"/>
    <xf borderId="61" fillId="0" fontId="28" numFmtId="1" xfId="0" applyAlignment="1" applyBorder="1" applyFont="1" applyNumberFormat="1">
      <alignment horizontal="center" vertical="center"/>
    </xf>
    <xf borderId="23" fillId="9" fontId="25" numFmtId="166" xfId="0" applyBorder="1" applyFont="1" applyNumberFormat="1"/>
    <xf borderId="25" fillId="0" fontId="28" numFmtId="166" xfId="0" applyAlignment="1" applyBorder="1" applyFont="1" applyNumberFormat="1">
      <alignment horizontal="center" vertical="center"/>
    </xf>
    <xf borderId="56" fillId="9" fontId="25" numFmtId="166" xfId="0" applyBorder="1" applyFont="1" applyNumberFormat="1"/>
    <xf borderId="56" fillId="13" fontId="25" numFmtId="166" xfId="0" applyBorder="1" applyFont="1" applyNumberFormat="1"/>
    <xf borderId="40" fillId="0" fontId="28" numFmtId="166" xfId="0" applyAlignment="1" applyBorder="1" applyFont="1" applyNumberFormat="1">
      <alignment horizontal="center" vertical="center"/>
    </xf>
    <xf borderId="12" fillId="0" fontId="25" numFmtId="164" xfId="0" applyAlignment="1" applyBorder="1" applyFont="1" applyNumberFormat="1">
      <alignment horizontal="left"/>
    </xf>
    <xf borderId="14" fillId="0" fontId="25" numFmtId="164" xfId="0" applyAlignment="1" applyBorder="1" applyFont="1" applyNumberFormat="1">
      <alignment horizontal="left"/>
    </xf>
    <xf borderId="16" fillId="0" fontId="25" numFmtId="164" xfId="0" applyAlignment="1" applyBorder="1" applyFont="1" applyNumberFormat="1">
      <alignment horizontal="left"/>
    </xf>
    <xf borderId="56" fillId="9" fontId="31" numFmtId="166" xfId="0" applyBorder="1" applyFont="1" applyNumberFormat="1"/>
    <xf borderId="33" fillId="0" fontId="25" numFmtId="165" xfId="0" applyBorder="1" applyFont="1" applyNumberFormat="1"/>
    <xf borderId="40" fillId="0" fontId="25" numFmtId="0" xfId="0" applyBorder="1" applyFont="1"/>
    <xf borderId="41" fillId="0" fontId="25" numFmtId="165" xfId="0" applyBorder="1" applyFont="1" applyNumberFormat="1"/>
    <xf borderId="12" fillId="0" fontId="32" numFmtId="165" xfId="0" applyAlignment="1" applyBorder="1" applyFont="1" applyNumberFormat="1">
      <alignment horizontal="center" vertical="center"/>
    </xf>
    <xf borderId="74" fillId="13" fontId="25" numFmtId="0" xfId="0" applyBorder="1" applyFont="1"/>
    <xf borderId="75" fillId="13" fontId="25" numFmtId="0" xfId="0" applyBorder="1" applyFont="1"/>
    <xf borderId="75" fillId="13" fontId="25" numFmtId="165" xfId="0" applyBorder="1" applyFont="1" applyNumberFormat="1"/>
    <xf borderId="49" fillId="13" fontId="25" numFmtId="0" xfId="0" applyBorder="1" applyFont="1"/>
    <xf borderId="50" fillId="13" fontId="25" numFmtId="0" xfId="0" applyBorder="1" applyFont="1"/>
    <xf borderId="14" fillId="0" fontId="28" numFmtId="0" xfId="0" applyAlignment="1" applyBorder="1" applyFont="1">
      <alignment horizontal="center" vertical="center"/>
    </xf>
    <xf borderId="43" fillId="13" fontId="25" numFmtId="0" xfId="0" applyBorder="1" applyFont="1"/>
    <xf borderId="44" fillId="13" fontId="25" numFmtId="0" xfId="0" applyBorder="1" applyFont="1"/>
    <xf borderId="76" fillId="13" fontId="25" numFmtId="165" xfId="0" applyBorder="1" applyFont="1" applyNumberFormat="1"/>
    <xf borderId="45" fillId="13" fontId="25" numFmtId="0" xfId="0" applyBorder="1" applyFont="1"/>
    <xf borderId="55" fillId="0" fontId="28" numFmtId="165" xfId="0" applyAlignment="1" applyBorder="1" applyFont="1" applyNumberFormat="1">
      <alignment horizontal="center" vertical="center"/>
    </xf>
    <xf borderId="55" fillId="0" fontId="28" numFmtId="0" xfId="0" applyAlignment="1" applyBorder="1" applyFont="1">
      <alignment horizontal="center" vertical="center"/>
    </xf>
    <xf borderId="30" fillId="0" fontId="25" numFmtId="0" xfId="0" applyBorder="1" applyFont="1"/>
    <xf borderId="30" fillId="0" fontId="25" numFmtId="165" xfId="0" applyBorder="1" applyFont="1" applyNumberFormat="1"/>
    <xf borderId="22" fillId="0" fontId="25" numFmtId="165" xfId="0" applyBorder="1" applyFont="1" applyNumberFormat="1"/>
    <xf borderId="48" fillId="13" fontId="25" numFmtId="0" xfId="0" applyBorder="1" applyFont="1"/>
    <xf borderId="49" fillId="13" fontId="25" numFmtId="165" xfId="0" applyBorder="1" applyFont="1" applyNumberFormat="1"/>
    <xf borderId="14" fillId="0" fontId="32" numFmtId="165" xfId="0" applyAlignment="1" applyBorder="1" applyFont="1" applyNumberFormat="1">
      <alignment horizontal="center" vertical="center"/>
    </xf>
    <xf borderId="23" fillId="13" fontId="25" numFmtId="166" xfId="0" applyBorder="1" applyFont="1" applyNumberFormat="1"/>
    <xf borderId="12" fillId="0" fontId="28" numFmtId="166" xfId="0" applyAlignment="1" applyBorder="1" applyFont="1" applyNumberFormat="1">
      <alignment horizontal="center" vertical="center"/>
    </xf>
    <xf borderId="22" fillId="0" fontId="25" numFmtId="166" xfId="0" applyBorder="1" applyFont="1" applyNumberFormat="1"/>
    <xf borderId="61" fillId="0" fontId="28" numFmtId="166" xfId="0" applyAlignment="1" applyBorder="1" applyFont="1" applyNumberFormat="1">
      <alignment horizontal="center" vertical="center"/>
    </xf>
    <xf borderId="62" fillId="0" fontId="28" numFmtId="166" xfId="0" applyAlignment="1" applyBorder="1" applyFont="1" applyNumberFormat="1">
      <alignment horizontal="center" vertical="center"/>
    </xf>
    <xf borderId="34" fillId="0" fontId="25" numFmtId="166" xfId="0" applyBorder="1" applyFont="1" applyNumberFormat="1"/>
    <xf borderId="34" fillId="9" fontId="25" numFmtId="166" xfId="0" applyBorder="1" applyFont="1" applyNumberFormat="1"/>
    <xf borderId="38" fillId="0" fontId="25" numFmtId="166" xfId="0" applyBorder="1" applyFont="1" applyNumberFormat="1"/>
    <xf borderId="36" fillId="9" fontId="25" numFmtId="166" xfId="0" applyBorder="1" applyFont="1" applyNumberFormat="1"/>
    <xf borderId="34" fillId="13" fontId="25" numFmtId="166" xfId="0" applyBorder="1" applyFont="1" applyNumberFormat="1"/>
    <xf borderId="36" fillId="13" fontId="25" numFmtId="166" xfId="0" applyBorder="1" applyFont="1" applyNumberFormat="1"/>
    <xf borderId="43" fillId="0" fontId="25" numFmtId="164" xfId="0" applyAlignment="1" applyBorder="1" applyFont="1" applyNumberFormat="1">
      <alignment horizontal="left"/>
    </xf>
    <xf borderId="77" fillId="0" fontId="25" numFmtId="0" xfId="0" applyBorder="1" applyFont="1"/>
    <xf borderId="48" fillId="0" fontId="25" numFmtId="164" xfId="0" applyAlignment="1" applyBorder="1" applyFont="1" applyNumberFormat="1">
      <alignment horizontal="left"/>
    </xf>
    <xf borderId="78" fillId="0" fontId="25" numFmtId="0" xfId="0" applyBorder="1" applyFont="1"/>
    <xf borderId="79" fillId="0" fontId="25" numFmtId="0" xfId="0" applyBorder="1" applyFont="1"/>
    <xf borderId="80" fillId="0" fontId="25" numFmtId="0" xfId="0" applyBorder="1" applyFont="1"/>
    <xf borderId="81" fillId="10" fontId="28" numFmtId="0" xfId="0" applyAlignment="1" applyBorder="1" applyFont="1">
      <alignment horizontal="center" vertical="center"/>
    </xf>
    <xf borderId="6" fillId="0" fontId="28" numFmtId="166" xfId="0" applyAlignment="1" applyBorder="1" applyFont="1" applyNumberFormat="1">
      <alignment horizontal="center" vertical="center"/>
    </xf>
    <xf borderId="6" fillId="0" fontId="28" numFmtId="0" xfId="0" applyAlignment="1" applyBorder="1" applyFont="1">
      <alignment horizontal="center" vertical="center"/>
    </xf>
    <xf borderId="82" fillId="0" fontId="30" numFmtId="0" xfId="0" applyBorder="1" applyFont="1"/>
    <xf borderId="83" fillId="0" fontId="25" numFmtId="0" xfId="0" applyBorder="1" applyFont="1"/>
    <xf borderId="84" fillId="9" fontId="25" numFmtId="165" xfId="0" applyBorder="1" applyFont="1" applyNumberFormat="1"/>
    <xf borderId="28" fillId="9" fontId="25" numFmtId="165" xfId="0" applyBorder="1" applyFont="1" applyNumberFormat="1"/>
    <xf borderId="6" fillId="0" fontId="25" numFmtId="0" xfId="0" applyBorder="1" applyFont="1"/>
    <xf borderId="34" fillId="13" fontId="25" numFmtId="167" xfId="0" applyBorder="1" applyFont="1" applyNumberFormat="1"/>
    <xf borderId="23" fillId="9" fontId="25" numFmtId="167" xfId="0" applyBorder="1" applyFont="1" applyNumberFormat="1"/>
    <xf borderId="35" fillId="13" fontId="25" numFmtId="167" xfId="0" applyBorder="1" applyFont="1" applyNumberFormat="1"/>
    <xf borderId="25" fillId="0" fontId="28" numFmtId="167" xfId="0" applyAlignment="1" applyBorder="1" applyFont="1" applyNumberFormat="1">
      <alignment horizontal="center" vertical="center"/>
    </xf>
    <xf borderId="85" fillId="0" fontId="28" numFmtId="167" xfId="0" applyAlignment="1" applyBorder="1" applyFont="1" applyNumberFormat="1">
      <alignment horizontal="center" vertical="center"/>
    </xf>
    <xf borderId="12" fillId="0" fontId="28" numFmtId="167" xfId="0" applyAlignment="1" applyBorder="1" applyFont="1" applyNumberFormat="1">
      <alignment horizontal="center" vertical="center"/>
    </xf>
    <xf borderId="12" fillId="0" fontId="28" numFmtId="0" xfId="0" applyAlignment="1" applyBorder="1" applyFont="1">
      <alignment horizontal="center" vertical="center"/>
    </xf>
    <xf borderId="86" fillId="0" fontId="30" numFmtId="0" xfId="0" applyBorder="1" applyFont="1"/>
    <xf borderId="43" fillId="0" fontId="25" numFmtId="167" xfId="0" applyBorder="1" applyFont="1" applyNumberFormat="1"/>
    <xf borderId="44" fillId="0" fontId="25" numFmtId="167" xfId="0" applyBorder="1" applyFont="1" applyNumberFormat="1"/>
    <xf borderId="34" fillId="9" fontId="25" numFmtId="167" xfId="0" applyBorder="1" applyFont="1" applyNumberFormat="1"/>
    <xf borderId="45" fillId="0" fontId="25" numFmtId="167" xfId="0" applyBorder="1" applyFont="1" applyNumberFormat="1"/>
    <xf borderId="47" fillId="0" fontId="25" numFmtId="167" xfId="0" applyBorder="1" applyFont="1" applyNumberFormat="1"/>
    <xf borderId="34" fillId="0" fontId="25" numFmtId="167" xfId="0" applyBorder="1" applyFont="1" applyNumberFormat="1"/>
    <xf borderId="35" fillId="0" fontId="25" numFmtId="167" xfId="0" applyBorder="1" applyFont="1" applyNumberFormat="1"/>
    <xf borderId="53" fillId="0" fontId="25" numFmtId="167" xfId="0" applyBorder="1" applyFont="1" applyNumberFormat="1"/>
    <xf borderId="33" fillId="0" fontId="25" numFmtId="167" xfId="0" applyBorder="1" applyFont="1" applyNumberFormat="1"/>
    <xf borderId="24" fillId="0" fontId="25" numFmtId="167" xfId="0" applyBorder="1" applyFont="1" applyNumberFormat="1"/>
    <xf borderId="71" fillId="13" fontId="25" numFmtId="167" xfId="0" applyBorder="1" applyFont="1" applyNumberFormat="1"/>
    <xf borderId="56" fillId="13" fontId="25" numFmtId="167" xfId="0" applyBorder="1" applyFont="1" applyNumberFormat="1"/>
    <xf borderId="68" fillId="13" fontId="25" numFmtId="167" xfId="0" applyBorder="1" applyFont="1" applyNumberFormat="1"/>
    <xf borderId="23" fillId="13" fontId="25" numFmtId="167" xfId="0" applyBorder="1" applyFont="1" applyNumberFormat="1"/>
    <xf borderId="87" fillId="0" fontId="30" numFmtId="0" xfId="0" applyBorder="1" applyFont="1"/>
    <xf borderId="56" fillId="9" fontId="25" numFmtId="167" xfId="0" applyBorder="1" applyFont="1" applyNumberFormat="1"/>
    <xf borderId="70" fillId="0" fontId="25" numFmtId="167" xfId="0" applyBorder="1" applyFont="1" applyNumberFormat="1"/>
    <xf borderId="88" fillId="0" fontId="25" numFmtId="167" xfId="0" applyBorder="1" applyFont="1" applyNumberFormat="1"/>
    <xf borderId="84" fillId="9" fontId="25" numFmtId="167" xfId="0" applyBorder="1" applyFont="1" applyNumberFormat="1"/>
    <xf borderId="89" fillId="0" fontId="25" numFmtId="167" xfId="0" applyBorder="1" applyFont="1" applyNumberFormat="1"/>
    <xf borderId="38" fillId="0" fontId="25" numFmtId="167" xfId="0" applyBorder="1" applyFont="1" applyNumberFormat="1"/>
    <xf borderId="39" fillId="0" fontId="25" numFmtId="167" xfId="0" applyBorder="1" applyFont="1" applyNumberFormat="1"/>
    <xf borderId="89" fillId="0" fontId="25" numFmtId="0" xfId="0" applyBorder="1" applyFont="1"/>
    <xf borderId="48" fillId="0" fontId="25" numFmtId="167" xfId="0" applyBorder="1" applyFont="1" applyNumberFormat="1"/>
    <xf borderId="49" fillId="0" fontId="25" numFmtId="167" xfId="0" applyBorder="1" applyFont="1" applyNumberFormat="1"/>
    <xf borderId="50" fillId="0" fontId="25" numFmtId="167" xfId="0" applyBorder="1" applyFont="1" applyNumberFormat="1"/>
    <xf borderId="14" fillId="0" fontId="28" numFmtId="167" xfId="0" applyAlignment="1" applyBorder="1" applyFont="1" applyNumberFormat="1">
      <alignment horizontal="center" vertical="center"/>
    </xf>
    <xf borderId="34" fillId="0" fontId="25" numFmtId="1" xfId="0" applyBorder="1" applyFont="1" applyNumberFormat="1"/>
    <xf borderId="83" fillId="0" fontId="25" numFmtId="164" xfId="0" applyAlignment="1" applyBorder="1" applyFont="1" applyNumberFormat="1">
      <alignment horizontal="left"/>
    </xf>
    <xf borderId="85" fillId="0" fontId="28" numFmtId="165" xfId="0" applyAlignment="1" applyBorder="1" applyFont="1" applyNumberFormat="1">
      <alignment horizontal="center" vertical="center"/>
    </xf>
    <xf borderId="65" fillId="13" fontId="25" numFmtId="0" xfId="0" applyBorder="1" applyFont="1"/>
    <xf borderId="0" fillId="0" fontId="27" numFmtId="165" xfId="0" applyAlignment="1" applyFont="1" applyNumberFormat="1">
      <alignment horizontal="center" vertical="center"/>
    </xf>
    <xf borderId="66" fillId="0" fontId="25" numFmtId="164" xfId="0" applyAlignment="1" applyBorder="1" applyFont="1" applyNumberFormat="1">
      <alignment horizontal="left"/>
    </xf>
    <xf borderId="88" fillId="0" fontId="28" numFmtId="165" xfId="0" applyAlignment="1" applyBorder="1" applyFont="1" applyNumberFormat="1">
      <alignment horizontal="center" vertical="center"/>
    </xf>
    <xf borderId="25" fillId="13" fontId="28" numFmtId="165" xfId="0" applyAlignment="1" applyBorder="1" applyFont="1" applyNumberFormat="1">
      <alignment horizontal="center" vertical="center"/>
    </xf>
    <xf borderId="90" fillId="13" fontId="28" numFmtId="0" xfId="0" applyAlignment="1" applyBorder="1" applyFont="1">
      <alignment horizontal="center" vertical="center"/>
    </xf>
    <xf borderId="12" fillId="13" fontId="28" numFmtId="165" xfId="0" applyAlignment="1" applyBorder="1" applyFont="1" applyNumberFormat="1">
      <alignment horizontal="center" vertical="center"/>
    </xf>
    <xf borderId="91" fillId="0" fontId="30" numFmtId="0" xfId="0" applyBorder="1" applyFont="1"/>
    <xf borderId="56" fillId="11" fontId="25" numFmtId="165" xfId="0" applyBorder="1" applyFont="1" applyNumberFormat="1"/>
    <xf borderId="47" fillId="13" fontId="25" numFmtId="0" xfId="0" applyBorder="1" applyFont="1"/>
    <xf borderId="92" fillId="13" fontId="25" numFmtId="0" xfId="0" applyBorder="1" applyFont="1"/>
    <xf borderId="84" fillId="13" fontId="25" numFmtId="165" xfId="0" applyBorder="1" applyFont="1" applyNumberFormat="1"/>
    <xf borderId="28" fillId="13" fontId="25" numFmtId="165" xfId="0" applyBorder="1" applyFont="1" applyNumberFormat="1"/>
    <xf borderId="93" fillId="0" fontId="30" numFmtId="0" xfId="0" applyBorder="1" applyFont="1"/>
    <xf borderId="94" fillId="8" fontId="23" numFmtId="0" xfId="0" applyAlignment="1" applyBorder="1" applyFont="1">
      <alignment horizontal="center" shrinkToFit="0" vertical="center" wrapText="1"/>
    </xf>
    <xf borderId="95" fillId="8" fontId="23" numFmtId="0" xfId="0" applyAlignment="1" applyBorder="1" applyFont="1">
      <alignment horizontal="center" shrinkToFit="0" vertical="center" wrapText="1"/>
    </xf>
    <xf borderId="95" fillId="9" fontId="23" numFmtId="168" xfId="0" applyAlignment="1" applyBorder="1" applyFont="1" applyNumberFormat="1">
      <alignment horizontal="center" shrinkToFit="0" vertical="center" wrapText="1"/>
    </xf>
    <xf borderId="95" fillId="8" fontId="24" numFmtId="0" xfId="0" applyAlignment="1" applyBorder="1" applyFont="1">
      <alignment horizontal="center" shrinkToFit="0" vertical="center" wrapText="1"/>
    </xf>
    <xf borderId="96" fillId="8" fontId="23" numFmtId="0" xfId="0" applyAlignment="1" applyBorder="1" applyFont="1">
      <alignment horizontal="center" shrinkToFit="0" vertical="center" wrapText="1"/>
    </xf>
    <xf borderId="97" fillId="13" fontId="33" numFmtId="0" xfId="0" applyAlignment="1" applyBorder="1" applyFont="1">
      <alignment shrinkToFit="0" vertical="center" wrapText="1"/>
    </xf>
    <xf borderId="97" fillId="9" fontId="18" numFmtId="168" xfId="0" applyAlignment="1" applyBorder="1" applyFont="1" applyNumberFormat="1">
      <alignment horizontal="right" shrinkToFit="0" vertical="center" wrapText="1"/>
    </xf>
    <xf borderId="98" fillId="13" fontId="33" numFmtId="0" xfId="0" applyAlignment="1" applyBorder="1" applyFont="1">
      <alignment shrinkToFit="0" vertical="center" wrapText="1"/>
    </xf>
    <xf borderId="99" fillId="0" fontId="18" numFmtId="0" xfId="0" applyAlignment="1" applyBorder="1" applyFont="1">
      <alignment vertical="center"/>
    </xf>
    <xf borderId="97" fillId="0" fontId="18" numFmtId="169" xfId="0" applyAlignment="1" applyBorder="1" applyFont="1" applyNumberFormat="1">
      <alignment shrinkToFit="0" vertical="center" wrapText="1"/>
    </xf>
    <xf borderId="99" fillId="0" fontId="33" numFmtId="0" xfId="0" applyAlignment="1" applyBorder="1" applyFont="1">
      <alignment shrinkToFit="0" vertical="center" wrapText="1"/>
    </xf>
    <xf borderId="95" fillId="0" fontId="18" numFmtId="169" xfId="0" applyAlignment="1" applyBorder="1" applyFont="1" applyNumberFormat="1">
      <alignment shrinkToFit="0" vertical="center" wrapText="1"/>
    </xf>
    <xf borderId="95" fillId="13" fontId="33" numFmtId="0" xfId="0" applyAlignment="1" applyBorder="1" applyFont="1">
      <alignment shrinkToFit="0" vertical="center" wrapText="1"/>
    </xf>
    <xf borderId="100" fillId="9" fontId="18" numFmtId="168" xfId="0" applyAlignment="1" applyBorder="1" applyFont="1" applyNumberFormat="1">
      <alignment horizontal="right" shrinkToFit="0" vertical="center" wrapText="1"/>
    </xf>
    <xf borderId="96" fillId="13" fontId="33" numFmtId="0" xfId="0" applyAlignment="1" applyBorder="1" applyFont="1">
      <alignment shrinkToFit="0" vertical="center" wrapText="1"/>
    </xf>
    <xf borderId="101" fillId="10" fontId="28" numFmtId="0" xfId="0" applyAlignment="1" applyBorder="1" applyFont="1">
      <alignment horizontal="center" shrinkToFit="0" vertical="center" wrapText="1"/>
    </xf>
    <xf borderId="101" fillId="0" fontId="28" numFmtId="0" xfId="0" applyAlignment="1" applyBorder="1" applyFont="1">
      <alignment horizontal="center" shrinkToFit="0" vertical="center" wrapText="1"/>
    </xf>
    <xf borderId="102" fillId="0" fontId="28" numFmtId="0" xfId="0" applyAlignment="1" applyBorder="1" applyFont="1">
      <alignment horizontal="center" shrinkToFit="0" vertical="center" wrapText="1"/>
    </xf>
    <xf borderId="101" fillId="0" fontId="34" numFmtId="168" xfId="0" applyAlignment="1" applyBorder="1" applyFont="1" applyNumberFormat="1">
      <alignment horizontal="right" shrinkToFit="0" vertical="center" wrapText="1"/>
    </xf>
    <xf borderId="103" fillId="0" fontId="28" numFmtId="0" xfId="0" applyAlignment="1" applyBorder="1" applyFont="1">
      <alignment horizontal="center" shrinkToFit="0" vertical="center" wrapText="1"/>
    </xf>
    <xf borderId="104" fillId="0" fontId="28" numFmtId="0" xfId="0" applyAlignment="1" applyBorder="1" applyFont="1">
      <alignment horizontal="center" shrinkToFit="0" vertical="center" wrapText="1"/>
    </xf>
    <xf borderId="105" fillId="0" fontId="28" numFmtId="0" xfId="0" applyAlignment="1" applyBorder="1" applyFont="1">
      <alignment horizontal="center" shrinkToFit="0" vertical="center" wrapText="1"/>
    </xf>
    <xf borderId="106" fillId="0" fontId="30" numFmtId="0" xfId="0" applyBorder="1" applyFont="1"/>
    <xf borderId="107" fillId="0" fontId="30" numFmtId="0" xfId="0" applyBorder="1" applyFont="1"/>
    <xf borderId="108" fillId="0" fontId="30" numFmtId="0" xfId="0" applyBorder="1" applyFont="1"/>
    <xf borderId="109" fillId="0" fontId="30" numFmtId="0" xfId="0" applyBorder="1" applyFont="1"/>
    <xf borderId="110" fillId="0" fontId="30" numFmtId="0" xfId="0" applyBorder="1" applyFont="1"/>
    <xf borderId="97" fillId="0" fontId="18" numFmtId="0" xfId="0" applyAlignment="1" applyBorder="1" applyFont="1">
      <alignment horizontal="right" shrinkToFit="0" vertical="center" wrapText="1"/>
    </xf>
    <xf borderId="111" fillId="9" fontId="18" numFmtId="168" xfId="0" applyAlignment="1" applyBorder="1" applyFont="1" applyNumberFormat="1">
      <alignment horizontal="right" shrinkToFit="0" vertical="center" wrapText="1"/>
    </xf>
    <xf borderId="98" fillId="0" fontId="18" numFmtId="0" xfId="0" applyAlignment="1" applyBorder="1" applyFont="1">
      <alignment horizontal="right" shrinkToFit="0" vertical="center" wrapText="1"/>
    </xf>
    <xf borderId="101" fillId="0" fontId="28" numFmtId="170" xfId="0" applyAlignment="1" applyBorder="1" applyFont="1" applyNumberFormat="1">
      <alignment horizontal="center" shrinkToFit="0" vertical="center" wrapText="1"/>
    </xf>
    <xf borderId="102" fillId="0" fontId="28" numFmtId="170" xfId="0" applyAlignment="1" applyBorder="1" applyFont="1" applyNumberFormat="1">
      <alignment horizontal="center" shrinkToFit="0" vertical="center" wrapText="1"/>
    </xf>
    <xf borderId="105" fillId="0" fontId="28" numFmtId="170" xfId="0" applyAlignment="1" applyBorder="1" applyFont="1" applyNumberFormat="1">
      <alignment horizontal="center" shrinkToFit="0" vertical="center" wrapText="1"/>
    </xf>
    <xf borderId="112" fillId="9" fontId="18" numFmtId="168" xfId="0" applyAlignment="1" applyBorder="1" applyFont="1" applyNumberFormat="1">
      <alignment horizontal="right" shrinkToFit="0" vertical="center" wrapText="1"/>
    </xf>
    <xf borderId="95" fillId="0" fontId="18" numFmtId="0" xfId="0" applyAlignment="1" applyBorder="1" applyFont="1">
      <alignment horizontal="right" shrinkToFit="0" vertical="center" wrapText="1"/>
    </xf>
    <xf borderId="96" fillId="0" fontId="18" numFmtId="0" xfId="0" applyAlignment="1" applyBorder="1" applyFont="1">
      <alignment horizontal="right" shrinkToFit="0" vertical="center" wrapText="1"/>
    </xf>
    <xf borderId="113" fillId="10" fontId="33" numFmtId="0" xfId="0" applyAlignment="1" applyBorder="1" applyFont="1">
      <alignment shrinkToFit="0" vertical="center" wrapText="1"/>
    </xf>
    <xf borderId="114" fillId="0" fontId="28" numFmtId="0" xfId="0" applyAlignment="1" applyBorder="1" applyFont="1">
      <alignment horizontal="center" shrinkToFit="0" vertical="center" wrapText="1"/>
    </xf>
    <xf borderId="12" fillId="0" fontId="28" numFmtId="170" xfId="0" applyAlignment="1" applyBorder="1" applyFont="1" applyNumberFormat="1">
      <alignment horizontal="center" shrinkToFit="0" vertical="center" wrapText="1"/>
    </xf>
    <xf borderId="12" fillId="0" fontId="28" numFmtId="0" xfId="0" applyAlignment="1" applyBorder="1" applyFont="1">
      <alignment horizontal="center" shrinkToFit="0" vertical="center" wrapText="1"/>
    </xf>
    <xf borderId="85" fillId="0" fontId="28" numFmtId="170" xfId="0" applyAlignment="1" applyBorder="1" applyFont="1" applyNumberFormat="1">
      <alignment horizontal="center" shrinkToFit="0" vertical="center" wrapText="1"/>
    </xf>
    <xf borderId="27" fillId="0" fontId="28" numFmtId="0" xfId="0" applyAlignment="1" applyBorder="1" applyFont="1">
      <alignment horizontal="center" shrinkToFit="0" vertical="center" wrapText="1"/>
    </xf>
    <xf borderId="115" fillId="0" fontId="28" numFmtId="170" xfId="0" applyAlignment="1" applyBorder="1" applyFont="1" applyNumberFormat="1">
      <alignment horizontal="center" shrinkToFit="0" vertical="center" wrapText="1"/>
    </xf>
    <xf borderId="116" fillId="0" fontId="30" numFmtId="0" xfId="0" applyBorder="1" applyFont="1"/>
    <xf borderId="117" fillId="0" fontId="30" numFmtId="0" xfId="0" applyBorder="1" applyFont="1"/>
    <xf borderId="118" fillId="0" fontId="18" numFmtId="169" xfId="0" applyAlignment="1" applyBorder="1" applyFont="1" applyNumberFormat="1">
      <alignment shrinkToFit="0" vertical="center" wrapText="1"/>
    </xf>
    <xf borderId="114" fillId="0" fontId="35" numFmtId="0" xfId="0" applyAlignment="1" applyBorder="1" applyFont="1">
      <alignment horizontal="center" shrinkToFit="0" vertical="center" wrapText="1"/>
    </xf>
    <xf borderId="12" fillId="0" fontId="35" numFmtId="0" xfId="0" applyAlignment="1" applyBorder="1" applyFont="1">
      <alignment horizontal="center" shrinkToFit="0" vertical="center" wrapText="1"/>
    </xf>
    <xf borderId="85" fillId="0" fontId="35" numFmtId="0" xfId="0" applyAlignment="1" applyBorder="1" applyFont="1">
      <alignment horizontal="center" shrinkToFit="0" vertical="center" wrapText="1"/>
    </xf>
    <xf borderId="27" fillId="0" fontId="35" numFmtId="0" xfId="0" applyAlignment="1" applyBorder="1" applyFont="1">
      <alignment horizontal="center" shrinkToFit="0" vertical="center" wrapText="1"/>
    </xf>
    <xf borderId="115" fillId="0" fontId="28" numFmtId="0" xfId="0" applyAlignment="1" applyBorder="1" applyFont="1">
      <alignment horizontal="center" shrinkToFit="0" vertical="center" wrapText="1"/>
    </xf>
    <xf borderId="98" fillId="0" fontId="18" numFmtId="169" xfId="0" applyAlignment="1" applyBorder="1" applyFont="1" applyNumberFormat="1">
      <alignment shrinkToFit="0" vertical="center" wrapText="1"/>
    </xf>
    <xf borderId="119" fillId="10" fontId="33" numFmtId="0" xfId="0" applyAlignment="1" applyBorder="1" applyFont="1">
      <alignment shrinkToFit="0" vertical="center" wrapText="1"/>
    </xf>
    <xf borderId="120" fillId="0" fontId="28" numFmtId="0" xfId="0" applyAlignment="1" applyBorder="1" applyFont="1">
      <alignment horizontal="center" shrinkToFit="0" vertical="center" wrapText="1"/>
    </xf>
    <xf borderId="121" fillId="10" fontId="33" numFmtId="0" xfId="0" applyAlignment="1" applyBorder="1" applyFont="1">
      <alignment shrinkToFit="0" vertical="center" wrapText="1"/>
    </xf>
    <xf borderId="119" fillId="0" fontId="18" numFmtId="169" xfId="0" applyAlignment="1" applyBorder="1" applyFont="1" applyNumberFormat="1">
      <alignment shrinkToFit="0" vertical="center" wrapText="1"/>
    </xf>
    <xf borderId="122" fillId="0" fontId="18" numFmtId="0" xfId="0" applyAlignment="1" applyBorder="1" applyFont="1">
      <alignment horizontal="right" shrinkToFit="0" vertical="center" wrapText="1"/>
    </xf>
    <xf borderId="96" fillId="16" fontId="33" numFmtId="0" xfId="0" applyAlignment="1" applyBorder="1" applyFill="1" applyFont="1">
      <alignment shrinkToFit="0" vertical="center" wrapText="1"/>
    </xf>
    <xf borderId="99" fillId="0" fontId="18" numFmtId="0" xfId="0" applyAlignment="1" applyBorder="1" applyFont="1">
      <alignment shrinkToFit="0" vertical="center" wrapText="1"/>
    </xf>
    <xf borderId="123" fillId="10" fontId="33" numFmtId="0" xfId="0" applyAlignment="1" applyBorder="1" applyFont="1">
      <alignment shrinkToFit="0" vertical="center" wrapText="1"/>
    </xf>
    <xf borderId="124" fillId="0" fontId="28" numFmtId="170" xfId="0" applyAlignment="1" applyBorder="1" applyFont="1" applyNumberFormat="1">
      <alignment horizontal="center" shrinkToFit="0" vertical="center" wrapText="1"/>
    </xf>
    <xf borderId="104" fillId="0" fontId="28" numFmtId="170" xfId="0" applyAlignment="1" applyBorder="1" applyFont="1" applyNumberFormat="1">
      <alignment horizontal="center" shrinkToFit="0" vertical="center" wrapText="1"/>
    </xf>
    <xf borderId="125" fillId="0" fontId="28" numFmtId="170" xfId="0" applyAlignment="1" applyBorder="1" applyFont="1" applyNumberFormat="1">
      <alignment horizontal="center" shrinkToFit="0" vertical="center" wrapText="1"/>
    </xf>
    <xf borderId="126" fillId="0" fontId="30" numFmtId="0" xfId="0" applyBorder="1" applyFont="1"/>
    <xf borderId="127" fillId="0" fontId="30" numFmtId="0" xfId="0" applyBorder="1" applyFont="1"/>
    <xf borderId="98" fillId="16" fontId="33" numFmtId="0" xfId="0" applyAlignment="1" applyBorder="1" applyFont="1">
      <alignment shrinkToFit="0" vertical="center" wrapText="1"/>
    </xf>
    <xf borderId="12" fillId="10" fontId="33" numFmtId="0" xfId="0" applyAlignment="1" applyBorder="1" applyFont="1">
      <alignment shrinkToFit="0" vertical="center" wrapText="1"/>
    </xf>
    <xf borderId="128" fillId="0" fontId="30" numFmtId="0" xfId="0" applyBorder="1" applyFont="1"/>
    <xf borderId="97" fillId="16" fontId="33" numFmtId="0" xfId="0" applyAlignment="1" applyBorder="1" applyFont="1">
      <alignment shrinkToFit="0" vertical="center" wrapText="1"/>
    </xf>
    <xf borderId="32" fillId="15" fontId="29" numFmtId="164" xfId="0" applyAlignment="1" applyBorder="1" applyFont="1" applyNumberFormat="1">
      <alignment horizontal="left"/>
    </xf>
    <xf borderId="95" fillId="16" fontId="33" numFmtId="0" xfId="0" applyAlignment="1" applyBorder="1" applyFont="1">
      <alignment shrinkToFit="0" vertical="center" wrapText="1"/>
    </xf>
    <xf borderId="85" fillId="0" fontId="28" numFmtId="0" xfId="0" applyAlignment="1" applyBorder="1" applyFont="1">
      <alignment horizontal="center" shrinkToFit="0" vertical="center" wrapText="1"/>
    </xf>
    <xf borderId="28" fillId="11" fontId="36" numFmtId="165" xfId="0" applyBorder="1" applyFont="1" applyNumberFormat="1"/>
    <xf borderId="113" fillId="0" fontId="28" numFmtId="0" xfId="0" applyAlignment="1" applyBorder="1" applyFont="1">
      <alignment horizontal="center" shrinkToFit="0" vertical="center" wrapText="1"/>
    </xf>
    <xf borderId="113" fillId="0" fontId="28" numFmtId="170" xfId="0" applyAlignment="1" applyBorder="1" applyFont="1" applyNumberFormat="1">
      <alignment horizontal="center" shrinkToFit="0" vertical="center" wrapText="1"/>
    </xf>
    <xf borderId="129" fillId="0" fontId="18" numFmtId="0" xfId="0" applyAlignment="1" applyBorder="1" applyFont="1">
      <alignment horizontal="right" shrinkToFit="0" vertical="center" wrapText="1"/>
    </xf>
    <xf borderId="130" fillId="0" fontId="28" numFmtId="170" xfId="0" applyAlignment="1" applyBorder="1" applyFont="1" applyNumberFormat="1">
      <alignment horizontal="center" shrinkToFit="0" vertical="center" wrapText="1"/>
    </xf>
    <xf borderId="120" fillId="0" fontId="28" numFmtId="170" xfId="0" applyAlignment="1" applyBorder="1" applyFont="1" applyNumberFormat="1">
      <alignment horizontal="center" shrinkToFit="0" vertical="center" wrapText="1"/>
    </xf>
    <xf borderId="124" fillId="0" fontId="28" numFmtId="0" xfId="0" applyAlignment="1" applyBorder="1" applyFont="1">
      <alignment horizontal="center" shrinkToFit="0" vertical="center" wrapText="1"/>
    </xf>
    <xf borderId="131" fillId="0" fontId="28" numFmtId="0" xfId="0" applyAlignment="1" applyBorder="1" applyFont="1">
      <alignment horizontal="center" shrinkToFit="0" vertical="center" wrapText="1"/>
    </xf>
    <xf borderId="132" fillId="0" fontId="30" numFmtId="0" xfId="0" applyBorder="1" applyFont="1"/>
    <xf borderId="125" fillId="0" fontId="28" numFmtId="0" xfId="0" applyAlignment="1" applyBorder="1" applyFont="1">
      <alignment horizontal="center" shrinkToFit="0" vertical="center" wrapText="1"/>
    </xf>
    <xf borderId="96" fillId="0" fontId="33" numFmtId="0" xfId="0" applyAlignment="1" applyBorder="1" applyFont="1">
      <alignment shrinkToFit="0" vertical="center" wrapText="1"/>
    </xf>
    <xf borderId="114" fillId="0" fontId="28" numFmtId="170" xfId="0" applyAlignment="1" applyBorder="1" applyFont="1" applyNumberFormat="1">
      <alignment horizontal="center" shrinkToFit="0" vertical="center" wrapText="1"/>
    </xf>
    <xf borderId="133" fillId="0" fontId="18" numFmtId="169" xfId="0" applyAlignment="1" applyBorder="1" applyFont="1" applyNumberFormat="1">
      <alignment shrinkToFit="0" vertical="center" wrapText="1"/>
    </xf>
    <xf borderId="121" fillId="0" fontId="18" numFmtId="169" xfId="0" applyAlignment="1" applyBorder="1" applyFont="1" applyNumberFormat="1">
      <alignment shrinkToFit="0" vertical="center" wrapText="1"/>
    </xf>
    <xf borderId="96" fillId="0" fontId="18" numFmtId="169" xfId="0" applyAlignment="1" applyBorder="1" applyFont="1" applyNumberFormat="1">
      <alignment shrinkToFit="0" vertical="center" wrapText="1"/>
    </xf>
    <xf borderId="105" fillId="0" fontId="32" numFmtId="170" xfId="0" applyAlignment="1" applyBorder="1" applyFont="1" applyNumberFormat="1">
      <alignment horizontal="center" shrinkToFit="0" vertical="center" wrapText="1"/>
    </xf>
    <xf borderId="105" fillId="0" fontId="32" numFmtId="0" xfId="0" applyAlignment="1" applyBorder="1" applyFont="1">
      <alignment horizontal="center" shrinkToFit="0" vertical="center" wrapText="1"/>
    </xf>
    <xf borderId="134" fillId="0" fontId="28" numFmtId="0" xfId="0" applyAlignment="1" applyBorder="1" applyFont="1">
      <alignment horizontal="center" shrinkToFit="0" vertical="center" wrapText="1"/>
    </xf>
    <xf borderId="135" fillId="0" fontId="30" numFmtId="0" xfId="0" applyBorder="1" applyFont="1"/>
    <xf borderId="136" fillId="0" fontId="30" numFmtId="0" xfId="0" applyBorder="1" applyFont="1"/>
    <xf borderId="97" fillId="0" fontId="33" numFmtId="0" xfId="0" applyAlignment="1" applyBorder="1" applyFont="1">
      <alignment shrinkToFit="0" vertical="center" wrapText="1"/>
    </xf>
    <xf borderId="113" fillId="0" fontId="32" numFmtId="170" xfId="0" applyAlignment="1" applyBorder="1" applyFont="1" applyNumberFormat="1">
      <alignment horizontal="center" shrinkToFit="0" vertical="center" wrapText="1"/>
    </xf>
    <xf borderId="97" fillId="0" fontId="18" numFmtId="170" xfId="0" applyAlignment="1" applyBorder="1" applyFont="1" applyNumberFormat="1">
      <alignment horizontal="right" shrinkToFit="0" vertical="center" wrapText="1"/>
    </xf>
    <xf borderId="98" fillId="0" fontId="18" numFmtId="170" xfId="0" applyAlignment="1" applyBorder="1" applyFont="1" applyNumberFormat="1">
      <alignment horizontal="right" shrinkToFit="0" vertical="center" wrapText="1"/>
    </xf>
    <xf borderId="95" fillId="0" fontId="18" numFmtId="170" xfId="0" applyAlignment="1" applyBorder="1" applyFont="1" applyNumberFormat="1">
      <alignment horizontal="right" shrinkToFit="0" vertical="center" wrapText="1"/>
    </xf>
    <xf borderId="96" fillId="0" fontId="18" numFmtId="170" xfId="0" applyAlignment="1" applyBorder="1" applyFont="1" applyNumberFormat="1">
      <alignment horizontal="right" shrinkToFit="0" vertical="center" wrapText="1"/>
    </xf>
    <xf borderId="137" fillId="0" fontId="18" numFmtId="169" xfId="0" applyAlignment="1" applyBorder="1" applyFont="1" applyNumberFormat="1">
      <alignment shrinkToFit="0" vertical="center" wrapText="1"/>
    </xf>
    <xf borderId="138" fillId="0" fontId="18" numFmtId="169" xfId="0" applyAlignment="1" applyBorder="1" applyFont="1" applyNumberFormat="1">
      <alignment shrinkToFit="0" vertical="center" wrapText="1"/>
    </xf>
    <xf borderId="139" fillId="0" fontId="18" numFmtId="169" xfId="0" applyAlignment="1" applyBorder="1" applyFont="1" applyNumberFormat="1">
      <alignment shrinkToFit="0" vertical="center" wrapText="1"/>
    </xf>
    <xf borderId="140" fillId="10" fontId="33" numFmtId="0" xfId="0" applyAlignment="1" applyBorder="1" applyFont="1">
      <alignment shrinkToFit="0" vertical="center" wrapText="1"/>
    </xf>
    <xf borderId="97" fillId="0" fontId="37" numFmtId="0" xfId="0" applyAlignment="1" applyBorder="1" applyFont="1">
      <alignment horizontal="right" shrinkToFit="0" vertical="center" wrapText="1"/>
    </xf>
    <xf borderId="22" fillId="0" fontId="38" numFmtId="0" xfId="0" applyBorder="1" applyFont="1"/>
    <xf borderId="45" fillId="0" fontId="38" numFmtId="0" xfId="0" applyBorder="1" applyFont="1"/>
    <xf borderId="83" fillId="0" fontId="38" numFmtId="0" xfId="0" applyBorder="1" applyFont="1"/>
    <xf borderId="95" fillId="0" fontId="37" numFmtId="0" xfId="0" applyAlignment="1" applyBorder="1" applyFont="1">
      <alignment horizontal="right" shrinkToFit="0" vertical="center" wrapText="1"/>
    </xf>
    <xf borderId="6" fillId="0" fontId="38" numFmtId="0" xfId="0" applyBorder="1" applyFont="1"/>
    <xf borderId="141" fillId="0" fontId="18" numFmtId="169" xfId="0" applyAlignment="1" applyBorder="1" applyFont="1" applyNumberFormat="1">
      <alignment shrinkToFit="0" vertical="center" wrapText="1"/>
    </xf>
    <xf borderId="97" fillId="0" fontId="37" numFmtId="170" xfId="0" applyAlignment="1" applyBorder="1" applyFont="1" applyNumberFormat="1">
      <alignment horizontal="right" shrinkToFit="0" vertical="center" wrapText="1"/>
    </xf>
    <xf borderId="98" fillId="0" fontId="37" numFmtId="170" xfId="0" applyAlignment="1" applyBorder="1" applyFont="1" applyNumberFormat="1">
      <alignment horizontal="right" shrinkToFit="0" vertical="center" wrapText="1"/>
    </xf>
    <xf borderId="95" fillId="0" fontId="37" numFmtId="170" xfId="0" applyAlignment="1" applyBorder="1" applyFont="1" applyNumberFormat="1">
      <alignment horizontal="right" shrinkToFit="0" vertical="center" wrapText="1"/>
    </xf>
    <xf borderId="96" fillId="0" fontId="37" numFmtId="170" xfId="0" applyAlignment="1" applyBorder="1" applyFont="1" applyNumberFormat="1">
      <alignment horizontal="right" shrinkToFit="0" vertical="center" wrapText="1"/>
    </xf>
    <xf borderId="142" fillId="0" fontId="28" numFmtId="0" xfId="0" applyAlignment="1" applyBorder="1" applyFont="1">
      <alignment horizontal="center" shrinkToFit="0" vertical="center" wrapText="1"/>
    </xf>
    <xf borderId="143" fillId="0" fontId="30" numFmtId="0" xfId="0" applyBorder="1" applyFont="1"/>
    <xf borderId="122" fillId="0" fontId="18" numFmtId="169" xfId="0" applyAlignment="1" applyBorder="1" applyFont="1" applyNumberFormat="1">
      <alignment shrinkToFit="0" vertical="center" wrapText="1"/>
    </xf>
    <xf borderId="0" fillId="0" fontId="19" numFmtId="168" xfId="0" applyFont="1" applyNumberFormat="1"/>
    <xf borderId="62" fillId="10" fontId="28" numFmtId="0" xfId="0" applyAlignment="1" applyBorder="1" applyFont="1">
      <alignment horizontal="center" vertical="center"/>
    </xf>
    <xf borderId="22" fillId="0" fontId="25" numFmtId="164" xfId="0" applyAlignment="1" applyBorder="1" applyFont="1" applyNumberFormat="1">
      <alignment horizontal="left"/>
    </xf>
    <xf borderId="0" fillId="0" fontId="23" numFmtId="165" xfId="0" applyFont="1" applyNumberFormat="1"/>
    <xf borderId="0" fillId="0" fontId="29" numFmtId="165" xfId="0" applyFont="1" applyNumberFormat="1"/>
    <xf borderId="0" fillId="0" fontId="25" numFmtId="165" xfId="0" applyFont="1" applyNumberFormat="1"/>
    <xf borderId="78" fillId="0" fontId="25" numFmtId="164" xfId="0" applyAlignment="1" applyBorder="1" applyFont="1" applyNumberFormat="1">
      <alignment horizontal="left"/>
    </xf>
    <xf borderId="45" fillId="10" fontId="28" numFmtId="0" xfId="0" applyAlignment="1" applyBorder="1" applyFont="1">
      <alignment horizontal="center" vertical="center"/>
    </xf>
    <xf borderId="37" fillId="10" fontId="28" numFmtId="0" xfId="0" applyAlignment="1" applyBorder="1" applyFont="1">
      <alignment horizontal="center" vertical="center"/>
    </xf>
    <xf borderId="45" fillId="0" fontId="25" numFmtId="164" xfId="0" applyAlignment="1" applyBorder="1" applyFont="1" applyNumberFormat="1">
      <alignment horizontal="left"/>
    </xf>
    <xf borderId="35" fillId="0" fontId="25" numFmtId="164" xfId="0" applyAlignment="1" applyBorder="1" applyFont="1" applyNumberFormat="1">
      <alignment horizontal="left"/>
    </xf>
    <xf borderId="39" fillId="0" fontId="25" numFmtId="164" xfId="0" applyAlignment="1" applyBorder="1" applyFont="1" applyNumberFormat="1">
      <alignment horizontal="left"/>
    </xf>
    <xf borderId="59" fillId="13" fontId="25" numFmtId="0" xfId="0" applyBorder="1" applyFont="1"/>
    <xf borderId="59" fillId="13" fontId="25" numFmtId="165" xfId="0" applyBorder="1" applyFont="1" applyNumberFormat="1"/>
    <xf borderId="67" fillId="13" fontId="25" numFmtId="0" xfId="0" applyBorder="1" applyFont="1"/>
    <xf borderId="144" fillId="10" fontId="28" numFmtId="0" xfId="0" applyAlignment="1" applyBorder="1" applyFont="1">
      <alignment horizontal="center" vertical="center"/>
    </xf>
    <xf borderId="145" fillId="0" fontId="30" numFmtId="0" xfId="0" applyBorder="1" applyFont="1"/>
    <xf borderId="146" fillId="13" fontId="25" numFmtId="0" xfId="0" applyBorder="1" applyFont="1"/>
    <xf borderId="147" fillId="0" fontId="25" numFmtId="164" xfId="0" applyAlignment="1" applyBorder="1" applyFont="1" applyNumberFormat="1">
      <alignment horizontal="left"/>
    </xf>
    <xf borderId="148" fillId="0" fontId="25" numFmtId="164" xfId="0" applyAlignment="1" applyBorder="1" applyFont="1" applyNumberFormat="1">
      <alignment horizontal="left"/>
    </xf>
    <xf borderId="148" fillId="0" fontId="25" numFmtId="0" xfId="0" applyBorder="1" applyFont="1"/>
    <xf borderId="149" fillId="0" fontId="30" numFmtId="0" xfId="0" applyBorder="1" applyFont="1"/>
    <xf borderId="12" fillId="0" fontId="28" numFmtId="1" xfId="0" applyAlignment="1" applyBorder="1" applyFont="1" applyNumberFormat="1">
      <alignment horizontal="center" vertical="center"/>
    </xf>
    <xf borderId="62" fillId="0" fontId="25" numFmtId="164" xfId="0" applyAlignment="1" applyBorder="1" applyFont="1" applyNumberFormat="1">
      <alignment horizontal="left"/>
    </xf>
    <xf borderId="82" fillId="0" fontId="25" numFmtId="164" xfId="0" applyAlignment="1" applyBorder="1" applyFont="1" applyNumberFormat="1">
      <alignment horizontal="left"/>
    </xf>
    <xf borderId="64" fillId="0" fontId="25" numFmtId="164" xfId="0" applyAlignment="1" applyBorder="1" applyFont="1" applyNumberFormat="1">
      <alignment horizontal="left"/>
    </xf>
    <xf borderId="34" fillId="11" fontId="25" numFmtId="165" xfId="0" applyBorder="1" applyFont="1" applyNumberFormat="1"/>
    <xf borderId="41" fillId="0" fontId="28" numFmtId="0" xfId="0" applyAlignment="1" applyBorder="1" applyFont="1">
      <alignment horizontal="center" vertical="center"/>
    </xf>
    <xf borderId="34" fillId="17" fontId="25" numFmtId="166" xfId="0" applyBorder="1" applyFill="1" applyFont="1" applyNumberFormat="1"/>
    <xf borderId="34" fillId="17" fontId="25" numFmtId="0" xfId="0" applyBorder="1" applyFont="1"/>
    <xf borderId="44" fillId="0" fontId="25" numFmtId="164" xfId="0" applyAlignment="1" applyBorder="1" applyFont="1" applyNumberFormat="1">
      <alignment horizontal="left"/>
    </xf>
    <xf borderId="49" fillId="0" fontId="25" numFmtId="164" xfId="0" applyAlignment="1" applyBorder="1" applyFont="1" applyNumberFormat="1">
      <alignment horizontal="left"/>
    </xf>
    <xf borderId="147" fillId="0" fontId="25" numFmtId="0" xfId="0" applyBorder="1" applyFont="1"/>
    <xf borderId="150" fillId="0" fontId="25" numFmtId="0" xfId="0" applyBorder="1" applyFont="1"/>
    <xf borderId="151" fillId="10" fontId="28" numFmtId="0" xfId="0" applyAlignment="1" applyBorder="1" applyFont="1">
      <alignment horizontal="center" vertical="center"/>
    </xf>
    <xf borderId="6" fillId="0" fontId="30" numFmtId="0" xfId="0" applyBorder="1" applyFont="1"/>
    <xf borderId="25" fillId="0" fontId="28" numFmtId="171" xfId="0" applyAlignment="1" applyBorder="1" applyFont="1" applyNumberFormat="1">
      <alignment horizontal="center" vertical="center"/>
    </xf>
    <xf borderId="152" fillId="13" fontId="25" numFmtId="0" xfId="0" applyBorder="1" applyFont="1"/>
    <xf borderId="47" fillId="13" fontId="25" numFmtId="167" xfId="0" applyBorder="1" applyFont="1" applyNumberFormat="1"/>
    <xf borderId="73" fillId="0" fontId="25" numFmtId="164" xfId="0" applyAlignment="1" applyBorder="1" applyFont="1" applyNumberFormat="1">
      <alignment horizontal="left"/>
    </xf>
    <xf borderId="153" fillId="8" fontId="23" numFmtId="0" xfId="0" applyAlignment="1" applyBorder="1" applyFont="1">
      <alignment horizontal="center"/>
    </xf>
    <xf borderId="47" fillId="0" fontId="25" numFmtId="164" xfId="0" applyAlignment="1" applyBorder="1" applyFont="1" applyNumberFormat="1">
      <alignment horizontal="left"/>
    </xf>
    <xf borderId="23" fillId="18" fontId="25" numFmtId="0" xfId="0" applyBorder="1" applyFill="1" applyFont="1"/>
    <xf borderId="23" fillId="18" fontId="25" numFmtId="165" xfId="0" applyBorder="1" applyFont="1" applyNumberFormat="1"/>
    <xf borderId="68" fillId="18" fontId="25" numFmtId="0" xfId="0" applyBorder="1" applyFont="1"/>
    <xf borderId="53" fillId="0" fontId="25" numFmtId="164" xfId="0" applyAlignment="1" applyBorder="1" applyFont="1" applyNumberFormat="1">
      <alignment horizontal="left"/>
    </xf>
    <xf borderId="34" fillId="0" fontId="31" numFmtId="165" xfId="0" applyBorder="1" applyFont="1" applyNumberFormat="1"/>
    <xf borderId="0" fillId="0" fontId="18" numFmtId="165" xfId="0" applyFont="1" applyNumberFormat="1"/>
    <xf borderId="34" fillId="0" fontId="18" numFmtId="165" xfId="0" applyBorder="1" applyFont="1" applyNumberFormat="1"/>
    <xf borderId="34" fillId="0" fontId="18" numFmtId="0" xfId="0" applyBorder="1" applyFont="1"/>
    <xf borderId="34" fillId="0" fontId="39" numFmtId="165" xfId="0" applyBorder="1" applyFont="1" applyNumberFormat="1"/>
    <xf borderId="0" fillId="0" fontId="39" numFmtId="165" xfId="0" applyFont="1" applyNumberFormat="1"/>
    <xf borderId="88" fillId="0" fontId="30" numFmtId="0" xfId="0" applyBorder="1" applyFont="1"/>
    <xf borderId="154" fillId="0" fontId="25" numFmtId="164" xfId="0" applyAlignment="1" applyBorder="1" applyFont="1" applyNumberFormat="1">
      <alignment horizontal="left"/>
    </xf>
    <xf borderId="155" fillId="0" fontId="25" numFmtId="164" xfId="0" applyAlignment="1" applyBorder="1" applyFont="1" applyNumberFormat="1">
      <alignment horizontal="left"/>
    </xf>
    <xf borderId="24" fillId="0" fontId="30" numFmtId="0" xfId="0" applyBorder="1" applyFont="1"/>
    <xf borderId="88" fillId="0" fontId="25" numFmtId="0" xfId="0" applyBorder="1" applyFont="1"/>
    <xf borderId="4" fillId="0" fontId="29" numFmtId="0" xfId="0" applyAlignment="1" applyBorder="1" applyFont="1">
      <alignment horizontal="left" readingOrder="0"/>
    </xf>
    <xf borderId="156" fillId="11" fontId="29" numFmtId="0" xfId="0" applyBorder="1" applyFont="1"/>
    <xf borderId="157" fillId="15" fontId="29" numFmtId="0" xfId="0" applyAlignment="1" applyBorder="1" applyFont="1">
      <alignment horizontal="left" readingOrder="0"/>
    </xf>
    <xf borderId="158" fillId="0" fontId="25" numFmtId="0" xfId="0" applyBorder="1" applyFont="1"/>
    <xf borderId="159" fillId="0" fontId="25" numFmtId="164" xfId="0" applyAlignment="1" applyBorder="1" applyFont="1" applyNumberFormat="1">
      <alignment horizontal="left"/>
    </xf>
    <xf borderId="34" fillId="0" fontId="25" numFmtId="0" xfId="0" applyAlignment="1" applyBorder="1" applyFont="1">
      <alignment readingOrder="0"/>
    </xf>
    <xf borderId="86" fillId="0" fontId="25" numFmtId="164" xfId="0" applyAlignment="1" applyBorder="1" applyFont="1" applyNumberFormat="1">
      <alignment horizontal="left"/>
    </xf>
    <xf borderId="86" fillId="0" fontId="25" numFmtId="0" xfId="0" applyBorder="1" applyFont="1"/>
    <xf borderId="160" fillId="13" fontId="25" numFmtId="0" xfId="0" applyBorder="1" applyFont="1"/>
    <xf borderId="93" fillId="0" fontId="25" numFmtId="0" xfId="0" applyBorder="1" applyFont="1"/>
    <xf borderId="56" fillId="13" fontId="31" numFmtId="166" xfId="0" applyBorder="1" applyFont="1" applyNumberFormat="1"/>
    <xf borderId="24" fillId="0" fontId="25" numFmtId="166" xfId="0" applyBorder="1" applyFont="1" applyNumberFormat="1"/>
    <xf borderId="33" fillId="0" fontId="25" numFmtId="166" xfId="0" applyBorder="1" applyFont="1" applyNumberFormat="1"/>
    <xf borderId="70" fillId="0" fontId="25" numFmtId="166" xfId="0" applyBorder="1" applyFont="1" applyNumberFormat="1"/>
    <xf borderId="62" fillId="0" fontId="28" numFmtId="0" xfId="0" applyAlignment="1" applyBorder="1" applyFont="1">
      <alignment horizontal="center" vertical="center"/>
    </xf>
    <xf borderId="152" fillId="13" fontId="25" numFmtId="166" xfId="0" applyBorder="1" applyFont="1" applyNumberFormat="1"/>
    <xf borderId="67" fillId="13" fontId="25" numFmtId="166" xfId="0" applyBorder="1" applyFont="1" applyNumberFormat="1"/>
    <xf borderId="161" fillId="13" fontId="25" numFmtId="166" xfId="0" applyBorder="1" applyFont="1" applyNumberFormat="1"/>
    <xf borderId="162" fillId="0" fontId="25" numFmtId="164" xfId="0" applyAlignment="1" applyBorder="1" applyFont="1" applyNumberFormat="1">
      <alignment horizontal="left"/>
    </xf>
    <xf borderId="4" fillId="0" fontId="25" numFmtId="0" xfId="0" applyBorder="1" applyFont="1"/>
    <xf borderId="29" fillId="0" fontId="25" numFmtId="164" xfId="0" applyAlignment="1" applyBorder="1" applyFont="1" applyNumberFormat="1">
      <alignment horizontal="left"/>
    </xf>
    <xf borderId="46" fillId="0" fontId="25" numFmtId="0" xfId="0" applyBorder="1" applyFont="1"/>
    <xf borderId="163" fillId="0" fontId="25" numFmtId="0" xfId="0" applyBorder="1" applyFont="1"/>
    <xf borderId="31" fillId="0" fontId="25" numFmtId="0" xfId="0" applyBorder="1" applyFont="1"/>
    <xf borderId="164" fillId="0" fontId="25" numFmtId="0" xfId="0" applyBorder="1" applyFont="1"/>
    <xf borderId="152" fillId="9" fontId="25" numFmtId="166" xfId="0" applyBorder="1" applyFont="1" applyNumberFormat="1"/>
    <xf borderId="55" fillId="10" fontId="28" numFmtId="0" xfId="0" applyAlignment="1" applyBorder="1" applyFont="1">
      <alignment horizontal="center" vertical="center"/>
    </xf>
    <xf borderId="165" fillId="0" fontId="25" numFmtId="0" xfId="0" applyBorder="1" applyFont="1"/>
    <xf borderId="27" fillId="0" fontId="28" numFmtId="0" xfId="0" applyAlignment="1" applyBorder="1" applyFont="1">
      <alignment horizontal="center" vertical="center"/>
    </xf>
    <xf borderId="43" fillId="13" fontId="25" numFmtId="167" xfId="0" applyBorder="1" applyFont="1" applyNumberFormat="1"/>
    <xf borderId="44" fillId="13" fontId="25" numFmtId="167" xfId="0" applyBorder="1" applyFont="1" applyNumberFormat="1"/>
    <xf borderId="45" fillId="13" fontId="25" numFmtId="167" xfId="0" applyBorder="1" applyFont="1" applyNumberFormat="1"/>
    <xf borderId="28" fillId="9" fontId="25" numFmtId="167" xfId="0" applyBorder="1" applyFont="1" applyNumberFormat="1"/>
    <xf borderId="22" fillId="0" fontId="25" numFmtId="167" xfId="0" applyBorder="1" applyFont="1" applyNumberFormat="1"/>
    <xf borderId="61" fillId="0" fontId="28" numFmtId="167" xfId="0" applyAlignment="1" applyBorder="1" applyFont="1" applyNumberFormat="1">
      <alignment horizontal="center" vertical="center"/>
    </xf>
    <xf borderId="62" fillId="0" fontId="28" numFmtId="167" xfId="0" applyAlignment="1" applyBorder="1" applyFont="1" applyNumberFormat="1">
      <alignment horizontal="center" vertical="center"/>
    </xf>
    <xf borderId="82" fillId="0" fontId="25" numFmtId="0" xfId="0" applyBorder="1" applyFont="1"/>
    <xf borderId="166" fillId="10" fontId="28" numFmtId="0" xfId="0" applyAlignment="1" applyBorder="1" applyFont="1">
      <alignment horizontal="center" vertical="center"/>
    </xf>
    <xf borderId="17" fillId="10" fontId="28" numFmtId="0" xfId="0" applyAlignment="1" applyBorder="1" applyFont="1">
      <alignment horizontal="center" vertical="center"/>
    </xf>
    <xf borderId="33" fillId="0" fontId="25" numFmtId="172" xfId="0" applyAlignment="1" applyBorder="1" applyFont="1" applyNumberFormat="1">
      <alignment horizontal="left"/>
    </xf>
    <xf borderId="167" fillId="0" fontId="27" numFmtId="0" xfId="0" applyAlignment="1" applyBorder="1" applyFont="1">
      <alignment horizontal="center" vertical="center"/>
    </xf>
    <xf borderId="168" fillId="0" fontId="30" numFmtId="0" xfId="0" applyBorder="1" applyFont="1"/>
    <xf borderId="28" fillId="11" fontId="29" numFmtId="0" xfId="0" applyAlignment="1" applyBorder="1" applyFont="1">
      <alignment horizontal="center" vertical="center"/>
    </xf>
    <xf borderId="34" fillId="0" fontId="25" numFmtId="0" xfId="0" applyAlignment="1" applyBorder="1" applyFont="1">
      <alignment horizontal="center"/>
    </xf>
    <xf borderId="169" fillId="11" fontId="29" numFmtId="0" xfId="0" applyAlignment="1" applyBorder="1" applyFont="1">
      <alignment horizontal="center" vertical="center"/>
    </xf>
    <xf borderId="28" fillId="11" fontId="29" numFmtId="165" xfId="0" applyAlignment="1" applyBorder="1" applyFont="1" applyNumberFormat="1">
      <alignment horizontal="center" vertical="center"/>
    </xf>
    <xf borderId="169" fillId="11" fontId="29" numFmtId="0" xfId="0" applyBorder="1" applyFont="1"/>
    <xf borderId="20" fillId="8" fontId="40" numFmtId="0" xfId="0" applyAlignment="1" applyBorder="1" applyFont="1">
      <alignment horizontal="center" shrinkToFit="0" wrapText="1"/>
    </xf>
    <xf borderId="0" fillId="0" fontId="41" numFmtId="164" xfId="0" applyAlignment="1" applyFont="1" applyNumberFormat="1">
      <alignment horizontal="center" vertical="center"/>
    </xf>
    <xf borderId="34" fillId="13" fontId="25" numFmtId="0" xfId="0" applyAlignment="1" applyBorder="1" applyFont="1">
      <alignment horizontal="center"/>
    </xf>
    <xf borderId="34" fillId="0" fontId="37" numFmtId="0" xfId="0" applyBorder="1" applyFont="1"/>
    <xf borderId="28" fillId="11" fontId="38" numFmtId="165" xfId="0" applyBorder="1" applyFont="1" applyNumberFormat="1"/>
    <xf borderId="35" fillId="0" fontId="37" numFmtId="0" xfId="0" applyBorder="1" applyFont="1"/>
    <xf borderId="92" fillId="13" fontId="28" numFmtId="165" xfId="0" applyAlignment="1" applyBorder="1" applyFont="1" applyNumberFormat="1">
      <alignment horizontal="center" vertical="center"/>
    </xf>
    <xf borderId="28" fillId="13" fontId="28" numFmtId="165" xfId="0" applyAlignment="1" applyBorder="1" applyFont="1" applyNumberFormat="1">
      <alignment horizontal="center" vertical="center"/>
    </xf>
    <xf borderId="92" fillId="13" fontId="28" numFmtId="0" xfId="0" applyAlignment="1" applyBorder="1" applyFont="1">
      <alignment horizontal="center" vertical="center"/>
    </xf>
    <xf borderId="170" fillId="10" fontId="28" numFmtId="0" xfId="0" applyAlignment="1" applyBorder="1" applyFont="1">
      <alignment horizontal="center" vertical="center"/>
    </xf>
    <xf borderId="51" fillId="0" fontId="28" numFmtId="167" xfId="0" applyAlignment="1" applyBorder="1" applyFont="1" applyNumberFormat="1">
      <alignment horizontal="center" vertical="center"/>
    </xf>
    <xf borderId="51" fillId="0" fontId="28" numFmtId="0" xfId="0" applyAlignment="1" applyBorder="1" applyFont="1">
      <alignment horizontal="center" vertical="center"/>
    </xf>
    <xf borderId="171" fillId="10" fontId="28" numFmtId="0" xfId="0" applyAlignment="1" applyBorder="1" applyFont="1">
      <alignment horizontal="center" vertical="center"/>
    </xf>
    <xf borderId="172" fillId="0" fontId="28" numFmtId="167" xfId="0" applyAlignment="1" applyBorder="1" applyFont="1" applyNumberFormat="1">
      <alignment horizontal="center" vertical="center"/>
    </xf>
    <xf borderId="172" fillId="0" fontId="28" numFmtId="0" xfId="0" applyAlignment="1" applyBorder="1" applyFont="1">
      <alignment horizontal="center" vertical="center"/>
    </xf>
    <xf borderId="43" fillId="0" fontId="28" numFmtId="167" xfId="0" applyAlignment="1" applyBorder="1" applyFont="1" applyNumberFormat="1">
      <alignment horizontal="center" vertical="center"/>
    </xf>
    <xf borderId="173" fillId="0" fontId="28" numFmtId="167" xfId="0" applyAlignment="1" applyBorder="1" applyFont="1" applyNumberFormat="1">
      <alignment horizontal="center" vertical="center"/>
    </xf>
    <xf borderId="172" fillId="10" fontId="28" numFmtId="0" xfId="0" applyAlignment="1" applyBorder="1" applyFont="1">
      <alignment horizontal="center" vertical="center"/>
    </xf>
    <xf borderId="89" fillId="0" fontId="28" numFmtId="167" xfId="0" applyAlignment="1" applyBorder="1" applyFont="1" applyNumberFormat="1">
      <alignment horizontal="center" vertical="center"/>
    </xf>
    <xf borderId="155" fillId="0" fontId="28" numFmtId="167" xfId="0" applyAlignment="1" applyBorder="1" applyFont="1" applyNumberFormat="1">
      <alignment horizontal="center" vertical="center"/>
    </xf>
    <xf borderId="16" fillId="0" fontId="28" numFmtId="0" xfId="0" applyAlignment="1" applyBorder="1" applyFont="1">
      <alignment horizontal="center" vertical="center"/>
    </xf>
    <xf borderId="40" fillId="0" fontId="25" numFmtId="167" xfId="0" applyBorder="1" applyFont="1" applyNumberFormat="1"/>
    <xf borderId="6" fillId="0" fontId="25" numFmtId="167" xfId="0" applyBorder="1" applyFont="1" applyNumberFormat="1"/>
    <xf borderId="82" fillId="0" fontId="25" numFmtId="167" xfId="0" applyBorder="1" applyFont="1" applyNumberFormat="1"/>
    <xf borderId="44" fillId="0" fontId="28" numFmtId="167" xfId="0" applyAlignment="1" applyBorder="1" applyFont="1" applyNumberFormat="1">
      <alignment horizontal="center" vertical="center"/>
    </xf>
    <xf borderId="44" fillId="0" fontId="28" numFmtId="0" xfId="0" applyAlignment="1" applyBorder="1" applyFont="1">
      <alignment horizontal="center" vertical="center"/>
    </xf>
    <xf borderId="48" fillId="0" fontId="28" numFmtId="167" xfId="0" applyAlignment="1" applyBorder="1" applyFont="1" applyNumberFormat="1">
      <alignment horizontal="center" vertical="center"/>
    </xf>
    <xf borderId="49" fillId="0" fontId="28" numFmtId="167" xfId="0" applyAlignment="1" applyBorder="1" applyFont="1" applyNumberFormat="1">
      <alignment horizontal="center" vertical="center"/>
    </xf>
    <xf borderId="49" fillId="0" fontId="28" numFmtId="0" xfId="0" applyAlignment="1" applyBorder="1" applyFont="1">
      <alignment horizontal="center" vertical="center"/>
    </xf>
    <xf borderId="174" fillId="13" fontId="25" numFmtId="0" xfId="0" applyBorder="1" applyFont="1"/>
    <xf borderId="48" fillId="13" fontId="25" numFmtId="167" xfId="0" applyBorder="1" applyFont="1" applyNumberFormat="1"/>
    <xf borderId="49" fillId="13" fontId="25" numFmtId="167" xfId="0" applyBorder="1" applyFont="1" applyNumberFormat="1"/>
    <xf borderId="50" fillId="13" fontId="25" numFmtId="167" xfId="0" applyBorder="1" applyFont="1" applyNumberFormat="1"/>
    <xf borderId="84" fillId="13" fontId="25" numFmtId="167" xfId="0" applyBorder="1" applyFont="1" applyNumberFormat="1"/>
    <xf borderId="34" fillId="13" fontId="25" numFmtId="1" xfId="0" applyBorder="1" applyFont="1" applyNumberFormat="1"/>
  </cellXfs>
  <cellStyles count="1">
    <cellStyle xfId="0" name="Normal" builtinId="0"/>
  </cellStyles>
  <dxfs count="4">
    <dxf>
      <font/>
      <fill>
        <patternFill patternType="none"/>
      </fill>
      <border/>
    </dxf>
    <dxf>
      <font/>
      <fill>
        <patternFill patternType="solid">
          <fgColor rgb="FFF7CB4D"/>
          <bgColor rgb="FFF7CB4D"/>
        </patternFill>
      </fill>
      <border/>
    </dxf>
    <dxf>
      <font/>
      <fill>
        <patternFill patternType="solid">
          <fgColor rgb="FFFFFFFF"/>
          <bgColor rgb="FFFFFFFF"/>
        </patternFill>
      </fill>
      <border/>
    </dxf>
    <dxf>
      <font/>
      <fill>
        <patternFill patternType="solid">
          <fgColor rgb="FFFEF8E3"/>
          <bgColor rgb="FFFEF8E3"/>
        </patternFill>
      </fill>
      <border/>
    </dxf>
  </dxfs>
  <tableStyles count="1">
    <tableStyle count="3" pivot="0" name="Jours ferié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20" Type="http://schemas.openxmlformats.org/officeDocument/2006/relationships/worksheet" Target="worksheets/sheet17.xml"/><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15" Type="http://schemas.openxmlformats.org/officeDocument/2006/relationships/worksheet" Target="worksheets/sheet12.xml"/><Relationship Id="rId14" Type="http://schemas.openxmlformats.org/officeDocument/2006/relationships/worksheet" Target="worksheets/sheet11.xml"/><Relationship Id="rId17" Type="http://schemas.openxmlformats.org/officeDocument/2006/relationships/worksheet" Target="worksheets/sheet14.xml"/><Relationship Id="rId16" Type="http://schemas.openxmlformats.org/officeDocument/2006/relationships/worksheet" Target="worksheets/sheet13.xml"/><Relationship Id="rId5" Type="http://schemas.openxmlformats.org/officeDocument/2006/relationships/worksheet" Target="worksheets/sheet2.xml"/><Relationship Id="rId19" Type="http://schemas.openxmlformats.org/officeDocument/2006/relationships/worksheet" Target="worksheets/sheet16.xml"/><Relationship Id="rId6" Type="http://schemas.openxmlformats.org/officeDocument/2006/relationships/worksheet" Target="worksheets/sheet3.xml"/><Relationship Id="rId18" Type="http://schemas.openxmlformats.org/officeDocument/2006/relationships/worksheet" Target="worksheets/sheet15.xml"/><Relationship Id="rId7" Type="http://schemas.openxmlformats.org/officeDocument/2006/relationships/worksheet" Target="worksheets/sheet4.xml"/><Relationship Id="rId8" Type="http://schemas.openxmlformats.org/officeDocument/2006/relationships/worksheet" Target="worksheets/sheet5.xml"/></Relationships>
</file>

<file path=xl/charts/chart1.xml><?xml version="1.0" encoding="utf-8"?>
<c:chartSpace xmlns:a="http://schemas.openxmlformats.org/drawingml/2006/main" xmlns:c="http://schemas.openxmlformats.org/drawingml/2006/chart" xmlns:r="http://schemas.openxmlformats.org/officeDocument/2006/relationships" xmlns:mc="http://schemas.openxmlformats.org/markup-compatibility/2006" xmlns:mv="urn:schemas-microsoft-com:mac:vml" xmlns:c14="http://schemas.microsoft.com/office/drawing/2007/8/2/chart">
  <c:chart>
    <c:plotArea>
      <c:layout/>
      <c:lineChart>
        <c:varyColors val="0"/>
        <c:ser>
          <c:idx val="0"/>
          <c:order val="0"/>
          <c:tx>
            <c:strRef>
              <c:f>Mois!$D$1</c:f>
            </c:strRef>
          </c:tx>
          <c:spPr>
            <a:ln cmpd="sng">
              <a:solidFill>
                <a:srgbClr val="4F81BD"/>
              </a:solidFill>
            </a:ln>
          </c:spPr>
          <c:marker>
            <c:symbol val="none"/>
          </c:marker>
          <c:trendline>
            <c:name>Trendline for nbJoursTravail</c:name>
            <c:spPr>
              <a:ln w="19050">
                <a:solidFill>
                  <a:srgbClr val="CC0000">
                    <a:alpha val="80000"/>
                  </a:srgbClr>
                </a:solidFill>
              </a:ln>
            </c:spPr>
            <c:trendlineType val="exp"/>
            <c:dispRSqr val="0"/>
            <c:dispEq val="0"/>
          </c:trendline>
          <c:cat>
            <c:strRef>
              <c:f>Mois!$A$2:$A$109</c:f>
            </c:strRef>
          </c:cat>
          <c:val>
            <c:numRef>
              <c:f>Mois!$D$2:$D$109</c:f>
              <c:numCache/>
            </c:numRef>
          </c:val>
          <c:smooth val="1"/>
        </c:ser>
        <c:axId val="56946435"/>
        <c:axId val="2063042973"/>
      </c:lineChart>
      <c:catAx>
        <c:axId val="56946435"/>
        <c:scaling>
          <c:orientation val="minMax"/>
        </c:scaling>
        <c:delete val="0"/>
        <c:axPos val="b"/>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cross"/>
        <c:minorTickMark val="cross"/>
        <c:spPr/>
        <c:txPr>
          <a:bodyPr/>
          <a:lstStyle/>
          <a:p>
            <a:pPr lvl="0">
              <a:defRPr b="0">
                <a:solidFill>
                  <a:srgbClr val="000000"/>
                </a:solidFill>
                <a:latin typeface="+mn-lt"/>
              </a:defRPr>
            </a:pPr>
          </a:p>
        </c:txPr>
        <c:crossAx val="2063042973"/>
      </c:catAx>
      <c:valAx>
        <c:axId val="2063042973"/>
        <c:scaling>
          <c:orientation val="minMax"/>
          <c:max val="17.0"/>
        </c:scaling>
        <c:delete val="0"/>
        <c:axPos val="l"/>
        <c:majorGridlines>
          <c:spPr>
            <a:ln>
              <a:solidFill>
                <a:srgbClr val="B7B7B7"/>
              </a:solidFill>
            </a:ln>
          </c:spPr>
        </c:majorGridlines>
        <c:title>
          <c:tx>
            <c:rich>
              <a:bodyPr/>
              <a:lstStyle/>
              <a:p>
                <a:pPr lvl="0">
                  <a:defRPr b="0">
                    <a:solidFill>
                      <a:srgbClr val="000000"/>
                    </a:solidFill>
                    <a:latin typeface="+mn-lt"/>
                  </a:defRPr>
                </a:pPr>
                <a:r>
                  <a:rPr b="0">
                    <a:solidFill>
                      <a:srgbClr val="000000"/>
                    </a:solidFill>
                    <a:latin typeface="+mn-lt"/>
                  </a:rPr>
                  <a:t/>
                </a:r>
              </a:p>
            </c:rich>
          </c:tx>
          <c:overlay val="0"/>
        </c:title>
        <c:numFmt formatCode="General" sourceLinked="1"/>
        <c:majorTickMark val="none"/>
        <c:minorTickMark val="none"/>
        <c:tickLblPos val="nextTo"/>
        <c:spPr>
          <a:ln/>
        </c:spPr>
        <c:txPr>
          <a:bodyPr/>
          <a:lstStyle/>
          <a:p>
            <a:pPr lvl="0">
              <a:defRPr b="0">
                <a:solidFill>
                  <a:srgbClr val="000000"/>
                </a:solidFill>
                <a:latin typeface="+mn-lt"/>
              </a:defRPr>
            </a:pPr>
          </a:p>
        </c:txPr>
        <c:crossAx val="56946435"/>
      </c:valAx>
    </c:plotArea>
    <c:legend>
      <c:legendPos val="r"/>
      <c:overlay val="0"/>
      <c:txPr>
        <a:bodyPr/>
        <a:lstStyle/>
        <a:p>
          <a:pPr lvl="0">
            <a:defRPr b="0">
              <a:solidFill>
                <a:srgbClr val="1A1A1A"/>
              </a:solidFill>
              <a:latin typeface="+mn-lt"/>
            </a:defRPr>
          </a:pPr>
        </a:p>
      </c:txPr>
    </c:legend>
    <c:plotVisOnly val="1"/>
  </c:chart>
</c:chartSpace>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1</xdr:col>
      <xdr:colOff>0</xdr:colOff>
      <xdr:row>14</xdr:row>
      <xdr:rowOff>85725</xdr:rowOff>
    </xdr:from>
    <xdr:ext cx="371475" cy="590550"/>
    <xdr:grpSp>
      <xdr:nvGrpSpPr>
        <xdr:cNvPr id="2" name="Shape 2"/>
        <xdr:cNvGrpSpPr/>
      </xdr:nvGrpSpPr>
      <xdr:grpSpPr>
        <a:xfrm>
          <a:off x="5160263" y="3484725"/>
          <a:ext cx="371475" cy="590550"/>
          <a:chOff x="5160263" y="3484725"/>
          <a:chExt cx="371475" cy="590550"/>
        </a:xfrm>
      </xdr:grpSpPr>
      <xdr:grpSp>
        <xdr:nvGrpSpPr>
          <xdr:cNvPr id="3" name="Shape 3"/>
          <xdr:cNvGrpSpPr/>
        </xdr:nvGrpSpPr>
        <xdr:grpSpPr>
          <a:xfrm>
            <a:off x="5160263" y="3484725"/>
            <a:ext cx="371475" cy="590550"/>
            <a:chOff x="5165025" y="3494250"/>
            <a:chExt cx="361950" cy="571500"/>
          </a:xfrm>
        </xdr:grpSpPr>
        <xdr:sp>
          <xdr:nvSpPr>
            <xdr:cNvPr id="4" name="Shape 4"/>
            <xdr:cNvSpPr/>
          </xdr:nvSpPr>
          <xdr:spPr>
            <a:xfrm>
              <a:off x="5165025" y="3494250"/>
              <a:ext cx="361950" cy="57150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5" name="Shape 5"/>
            <xdr:cNvCxnSpPr/>
          </xdr:nvCxnSpPr>
          <xdr:spPr>
            <a:xfrm>
              <a:off x="5165025" y="3494250"/>
              <a:ext cx="361950" cy="571500"/>
            </a:xfrm>
            <a:prstGeom prst="straightConnector1">
              <a:avLst/>
            </a:prstGeom>
            <a:noFill/>
            <a:ln cap="flat" cmpd="sng" w="19050">
              <a:solidFill>
                <a:srgbClr val="000000"/>
              </a:solidFill>
              <a:prstDash val="solid"/>
              <a:round/>
              <a:headEnd len="sm" w="sm" type="none"/>
              <a:tailEnd len="sm" w="sm" type="none"/>
            </a:ln>
          </xdr:spPr>
        </xdr:cxnSp>
      </xdr:grpSp>
    </xdr:grpSp>
    <xdr:clientData fLocksWithSheet="0"/>
  </xdr:oneCellAnchor>
  <xdr:oneCellAnchor>
    <xdr:from>
      <xdr:col>4</xdr:col>
      <xdr:colOff>-9525</xdr:colOff>
      <xdr:row>9</xdr:row>
      <xdr:rowOff>-9525</xdr:rowOff>
    </xdr:from>
    <xdr:ext cx="390525" cy="190500"/>
    <xdr:grpSp>
      <xdr:nvGrpSpPr>
        <xdr:cNvPr id="2" name="Shape 2"/>
        <xdr:cNvGrpSpPr/>
      </xdr:nvGrpSpPr>
      <xdr:grpSpPr>
        <a:xfrm>
          <a:off x="5150738" y="3684750"/>
          <a:ext cx="390525" cy="190500"/>
          <a:chOff x="5150738" y="3684750"/>
          <a:chExt cx="390525" cy="190500"/>
        </a:xfrm>
      </xdr:grpSpPr>
      <xdr:grpSp>
        <xdr:nvGrpSpPr>
          <xdr:cNvPr id="6" name="Shape 6"/>
          <xdr:cNvGrpSpPr/>
        </xdr:nvGrpSpPr>
        <xdr:grpSpPr>
          <a:xfrm>
            <a:off x="5150738" y="3684750"/>
            <a:ext cx="390525" cy="190500"/>
            <a:chOff x="5160263" y="3694275"/>
            <a:chExt cx="371475" cy="171450"/>
          </a:xfrm>
        </xdr:grpSpPr>
        <xdr:sp>
          <xdr:nvSpPr>
            <xdr:cNvPr id="4" name="Shape 4"/>
            <xdr:cNvSpPr/>
          </xdr:nvSpPr>
          <xdr:spPr>
            <a:xfrm>
              <a:off x="5160263" y="3694275"/>
              <a:ext cx="371475" cy="1714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7" name="Shape 7"/>
            <xdr:cNvCxnSpPr/>
          </xdr:nvCxnSpPr>
          <xdr:spPr>
            <a:xfrm>
              <a:off x="5160263" y="3694275"/>
              <a:ext cx="371475" cy="171450"/>
            </a:xfrm>
            <a:prstGeom prst="straightConnector1">
              <a:avLst/>
            </a:prstGeom>
            <a:noFill/>
            <a:ln cap="flat" cmpd="sng" w="19050">
              <a:solidFill>
                <a:srgbClr val="000000"/>
              </a:solidFill>
              <a:prstDash val="solid"/>
              <a:round/>
              <a:headEnd len="sm" w="sm" type="none"/>
              <a:tailEnd len="sm" w="sm" type="none"/>
            </a:ln>
          </xdr:spPr>
        </xdr:cxnSp>
      </xdr:grpSp>
    </xdr:grpSp>
    <xdr:clientData fLocksWithSheet="0"/>
  </xdr:oneCellAnchor>
  <xdr:oneCellAnchor>
    <xdr:from>
      <xdr:col>3</xdr:col>
      <xdr:colOff>1247775</xdr:colOff>
      <xdr:row>14</xdr:row>
      <xdr:rowOff>76200</xdr:rowOff>
    </xdr:from>
    <xdr:ext cx="361950" cy="485775"/>
    <xdr:grpSp>
      <xdr:nvGrpSpPr>
        <xdr:cNvPr id="2" name="Shape 2" title="Dessin"/>
        <xdr:cNvGrpSpPr/>
      </xdr:nvGrpSpPr>
      <xdr:grpSpPr>
        <a:xfrm>
          <a:off x="5179313" y="3551400"/>
          <a:ext cx="333375" cy="457200"/>
          <a:chOff x="5179313" y="3551400"/>
          <a:chExt cx="333375" cy="457200"/>
        </a:xfrm>
      </xdr:grpSpPr>
      <xdr:grpSp>
        <xdr:nvGrpSpPr>
          <xdr:cNvPr id="8" name="Shape 8"/>
          <xdr:cNvGrpSpPr/>
        </xdr:nvGrpSpPr>
        <xdr:grpSpPr>
          <a:xfrm>
            <a:off x="5179313" y="3551400"/>
            <a:ext cx="333375" cy="457200"/>
            <a:chOff x="5188838" y="3560925"/>
            <a:chExt cx="314325" cy="438150"/>
          </a:xfrm>
        </xdr:grpSpPr>
        <xdr:sp>
          <xdr:nvSpPr>
            <xdr:cNvPr id="4" name="Shape 4"/>
            <xdr:cNvSpPr/>
          </xdr:nvSpPr>
          <xdr:spPr>
            <a:xfrm>
              <a:off x="5188838" y="3560925"/>
              <a:ext cx="314325" cy="4381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9" name="Shape 9"/>
            <xdr:cNvCxnSpPr/>
          </xdr:nvCxnSpPr>
          <xdr:spPr>
            <a:xfrm flipH="1" rot="10800000">
              <a:off x="5188838" y="3560925"/>
              <a:ext cx="314325" cy="438150"/>
            </a:xfrm>
            <a:prstGeom prst="straightConnector1">
              <a:avLst/>
            </a:prstGeom>
            <a:noFill/>
            <a:ln cap="flat" cmpd="sng" w="19050">
              <a:solidFill>
                <a:srgbClr val="000000"/>
              </a:solidFill>
              <a:prstDash val="solid"/>
              <a:round/>
              <a:headEnd len="sm" w="sm" type="none"/>
              <a:tailEnd len="sm" w="sm" type="none"/>
            </a:ln>
          </xdr:spPr>
        </xdr:cxnSp>
      </xdr:grpSp>
    </xdr:grpSp>
    <xdr:clientData fLocksWithSheet="0"/>
  </xdr:oneCellAnchor>
  <xdr:oneCellAnchor>
    <xdr:from>
      <xdr:col>3</xdr:col>
      <xdr:colOff>1247775</xdr:colOff>
      <xdr:row>19</xdr:row>
      <xdr:rowOff>161925</xdr:rowOff>
    </xdr:from>
    <xdr:ext cx="390525" cy="190500"/>
    <xdr:grpSp>
      <xdr:nvGrpSpPr>
        <xdr:cNvPr id="2" name="Shape 2" title="Dessin"/>
        <xdr:cNvGrpSpPr/>
      </xdr:nvGrpSpPr>
      <xdr:grpSpPr>
        <a:xfrm>
          <a:off x="5165025" y="3689513"/>
          <a:ext cx="361950" cy="180975"/>
          <a:chOff x="5165025" y="3689513"/>
          <a:chExt cx="361950" cy="180975"/>
        </a:xfrm>
      </xdr:grpSpPr>
      <xdr:grpSp>
        <xdr:nvGrpSpPr>
          <xdr:cNvPr id="10" name="Shape 10"/>
          <xdr:cNvGrpSpPr/>
        </xdr:nvGrpSpPr>
        <xdr:grpSpPr>
          <a:xfrm>
            <a:off x="5165025" y="3689513"/>
            <a:ext cx="361950" cy="180975"/>
            <a:chOff x="5174550" y="3699038"/>
            <a:chExt cx="342900" cy="161925"/>
          </a:xfrm>
        </xdr:grpSpPr>
        <xdr:sp>
          <xdr:nvSpPr>
            <xdr:cNvPr id="4" name="Shape 4"/>
            <xdr:cNvSpPr/>
          </xdr:nvSpPr>
          <xdr:spPr>
            <a:xfrm>
              <a:off x="5174550" y="3699038"/>
              <a:ext cx="342900" cy="161925"/>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1" name="Shape 11"/>
            <xdr:cNvCxnSpPr/>
          </xdr:nvCxnSpPr>
          <xdr:spPr>
            <a:xfrm rot="10800000">
              <a:off x="5174550" y="3699038"/>
              <a:ext cx="342900" cy="161925"/>
            </a:xfrm>
            <a:prstGeom prst="straightConnector1">
              <a:avLst/>
            </a:prstGeom>
            <a:noFill/>
            <a:ln cap="flat" cmpd="sng" w="19050">
              <a:solidFill>
                <a:srgbClr val="000000"/>
              </a:solidFill>
              <a:prstDash val="solid"/>
              <a:round/>
              <a:headEnd len="sm" w="sm" type="none"/>
              <a:tailEnd len="sm" w="sm" type="none"/>
            </a:ln>
          </xdr:spPr>
        </xdr:cxnSp>
      </xdr:grpSp>
    </xdr:grpSp>
    <xdr:clientData fLocksWithSheet="0"/>
  </xdr:oneCellAnchor>
  <xdr:oneCellAnchor>
    <xdr:from>
      <xdr:col>1</xdr:col>
      <xdr:colOff>-9525</xdr:colOff>
      <xdr:row>10</xdr:row>
      <xdr:rowOff>152400</xdr:rowOff>
    </xdr:from>
    <xdr:ext cx="381000" cy="304800"/>
    <xdr:grpSp>
      <xdr:nvGrpSpPr>
        <xdr:cNvPr id="2" name="Shape 2"/>
        <xdr:cNvGrpSpPr/>
      </xdr:nvGrpSpPr>
      <xdr:grpSpPr>
        <a:xfrm>
          <a:off x="5155500" y="3627600"/>
          <a:ext cx="381000" cy="304800"/>
          <a:chOff x="5155500" y="3627600"/>
          <a:chExt cx="381000" cy="304800"/>
        </a:xfrm>
      </xdr:grpSpPr>
      <xdr:grpSp>
        <xdr:nvGrpSpPr>
          <xdr:cNvPr id="12" name="Shape 12"/>
          <xdr:cNvGrpSpPr/>
        </xdr:nvGrpSpPr>
        <xdr:grpSpPr>
          <a:xfrm>
            <a:off x="5155500" y="3627600"/>
            <a:ext cx="381000" cy="304800"/>
            <a:chOff x="5165025" y="3637125"/>
            <a:chExt cx="361950" cy="285750"/>
          </a:xfrm>
        </xdr:grpSpPr>
        <xdr:sp>
          <xdr:nvSpPr>
            <xdr:cNvPr id="4" name="Shape 4"/>
            <xdr:cNvSpPr/>
          </xdr:nvSpPr>
          <xdr:spPr>
            <a:xfrm>
              <a:off x="5165025" y="3637125"/>
              <a:ext cx="361950" cy="285750"/>
            </a:xfrm>
            <a:prstGeom prst="rect">
              <a:avLst/>
            </a:prstGeom>
            <a:noFill/>
            <a:ln>
              <a:noFill/>
            </a:ln>
          </xdr:spPr>
          <xdr:txBody>
            <a:bodyPr anchorCtr="0" anchor="ctr" bIns="91425" lIns="91425" spcFirstLastPara="1" rIns="91425" wrap="square" tIns="91425">
              <a:noAutofit/>
            </a:bodyPr>
            <a:lstStyle/>
            <a:p>
              <a:pPr indent="0" lvl="0" marL="0" rtl="0" algn="l">
                <a:spcBef>
                  <a:spcPts val="0"/>
                </a:spcBef>
                <a:spcAft>
                  <a:spcPts val="0"/>
                </a:spcAft>
                <a:buNone/>
              </a:pPr>
              <a:r>
                <a:t/>
              </a:r>
              <a:endParaRPr sz="1400"/>
            </a:p>
          </xdr:txBody>
        </xdr:sp>
        <xdr:cxnSp>
          <xdr:nvCxnSpPr>
            <xdr:cNvPr id="13" name="Shape 13"/>
            <xdr:cNvCxnSpPr/>
          </xdr:nvCxnSpPr>
          <xdr:spPr>
            <a:xfrm flipH="1" rot="10800000">
              <a:off x="5165025" y="3637125"/>
              <a:ext cx="361950" cy="285750"/>
            </a:xfrm>
            <a:prstGeom prst="straightConnector1">
              <a:avLst/>
            </a:prstGeom>
            <a:noFill/>
            <a:ln cap="flat" cmpd="sng" w="19050">
              <a:solidFill>
                <a:srgbClr val="000000"/>
              </a:solidFill>
              <a:prstDash val="solid"/>
              <a:round/>
              <a:headEnd len="sm" w="sm" type="none"/>
              <a:tailEnd len="sm" w="sm" type="none"/>
            </a:ln>
          </xdr:spPr>
        </xdr:cxnSp>
      </xdr:grpSp>
    </xdr:grpSp>
    <xdr:clientData fLocksWithSheet="0"/>
  </xdr:oneCellAnchor>
</xdr:wsD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xdr:oneCellAnchor>
    <xdr:from>
      <xdr:col>7</xdr:col>
      <xdr:colOff>600075</xdr:colOff>
      <xdr:row>1</xdr:row>
      <xdr:rowOff>9525</xdr:rowOff>
    </xdr:from>
    <xdr:ext cx="14706600" cy="3533775"/>
    <xdr:graphicFrame>
      <xdr:nvGraphicFramePr>
        <xdr:cNvPr id="1" name="Chart 1" title="Chart"/>
        <xdr:cNvGraphicFramePr/>
      </xdr:nvGraphicFramePr>
      <xdr:xfrm>
        <a:off x="0" y="0"/>
        <a:ext cx="0" cy="0"/>
      </xdr:xfrm>
      <a:graphic>
        <a:graphicData uri="http://schemas.openxmlformats.org/drawingml/2006/chart">
          <c:chart r:id="rId1"/>
        </a:graphicData>
      </a:graphic>
    </xdr:graphicFrame>
    <xdr:clientData fLocksWithSheet="0"/>
  </xdr:oneCellAnchor>
</xdr:wsD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1:J14" displayName="Table_1" name="Table_1" id="1">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Jours feriés-style" showColumnStripes="0" showFirstColumn="1" showLastColumn="1" showRowStripes="1"/>
  <extLst>
    <ext uri="GoogleSheetsCustomDataVersion1">
      <go:sheetsCustomData xmlns:go="http://customooxmlschemas.google.com/" headerRowCount="1"/>
    </ext>
  </extLst>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 Id="rId3"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s>
</file>

<file path=xl/worksheets/_rels/sheet12.xml.rels><?xml version="1.0" encoding="UTF-8" standalone="yes"?><Relationships xmlns="http://schemas.openxmlformats.org/package/2006/relationships"><Relationship Id="rId1" Type="http://schemas.openxmlformats.org/officeDocument/2006/relationships/drawing" Target="../drawings/drawing12.xml"/></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13.xml"/></Relationships>
</file>

<file path=xl/worksheets/_rels/sheet14.xml.rels><?xml version="1.0" encoding="UTF-8" standalone="yes"?><Relationships xmlns="http://schemas.openxmlformats.org/package/2006/relationships"><Relationship Id="rId1" Type="http://schemas.openxmlformats.org/officeDocument/2006/relationships/drawing" Target="../drawings/drawing14.xml"/></Relationships>
</file>

<file path=xl/worksheets/_rels/sheet15.xml.rels><?xml version="1.0" encoding="UTF-8" standalone="yes"?><Relationships xmlns="http://schemas.openxmlformats.org/package/2006/relationships"><Relationship Id="rId1" Type="http://schemas.openxmlformats.org/officeDocument/2006/relationships/drawing" Target="../drawings/drawing15.xml"/></Relationships>
</file>

<file path=xl/worksheets/_rels/sheet16.xml.rels><?xml version="1.0" encoding="UTF-8" standalone="yes"?><Relationships xmlns="http://schemas.openxmlformats.org/package/2006/relationships"><Relationship Id="rId1" Type="http://schemas.openxmlformats.org/officeDocument/2006/relationships/drawing" Target="../drawings/drawing16.xml"/></Relationships>
</file>

<file path=xl/worksheets/_rels/sheet17.xml.rels><?xml version="1.0" encoding="UTF-8" standalone="yes"?><Relationships xmlns="http://schemas.openxmlformats.org/package/2006/relationships"><Relationship Id="rId1" Type="http://schemas.openxmlformats.org/officeDocument/2006/relationships/drawing" Target="../drawings/drawing17.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1.0" ySplit="1.0" topLeftCell="B2" activePane="bottomRight" state="frozen"/>
      <selection activeCell="B1" sqref="B1" pane="topRight"/>
      <selection activeCell="A2" sqref="A2" pane="bottomLeft"/>
      <selection activeCell="B2" sqref="B2" pane="bottomRight"/>
    </sheetView>
  </sheetViews>
  <sheetFormatPr customHeight="1" defaultColWidth="12.63" defaultRowHeight="15.0"/>
  <cols>
    <col customWidth="1" min="1" max="1" width="23.38"/>
    <col customWidth="1" min="2" max="2" width="23.5"/>
    <col customWidth="1" min="3" max="3" width="17.13"/>
    <col customWidth="1" min="4" max="4" width="16.63"/>
    <col customWidth="1" min="5" max="5" width="16.88"/>
    <col customWidth="1" min="6" max="10" width="11.75"/>
    <col customWidth="1" min="11" max="26" width="21.13"/>
  </cols>
  <sheetData>
    <row r="1">
      <c r="A1" s="1" t="s">
        <v>0</v>
      </c>
      <c r="B1" s="2">
        <v>2017.0</v>
      </c>
      <c r="C1" s="2">
        <f t="shared" ref="C1:J1" si="1"> B1 + 1</f>
        <v>2018</v>
      </c>
      <c r="D1" s="2">
        <f t="shared" si="1"/>
        <v>2019</v>
      </c>
      <c r="E1" s="2">
        <f t="shared" si="1"/>
        <v>2020</v>
      </c>
      <c r="F1" s="2">
        <f t="shared" si="1"/>
        <v>2021</v>
      </c>
      <c r="G1" s="2">
        <f t="shared" si="1"/>
        <v>2022</v>
      </c>
      <c r="H1" s="2">
        <f t="shared" si="1"/>
        <v>2023</v>
      </c>
      <c r="I1" s="2">
        <f t="shared" si="1"/>
        <v>2024</v>
      </c>
      <c r="J1" s="3">
        <f t="shared" si="1"/>
        <v>2025</v>
      </c>
      <c r="K1" s="4"/>
      <c r="L1" s="4"/>
      <c r="M1" s="4"/>
      <c r="N1" s="4"/>
      <c r="O1" s="4"/>
      <c r="P1" s="4"/>
      <c r="Q1" s="4"/>
      <c r="R1" s="4"/>
      <c r="S1" s="4"/>
      <c r="T1" s="4"/>
      <c r="U1" s="4"/>
      <c r="V1" s="4"/>
      <c r="W1" s="4"/>
      <c r="X1" s="4"/>
      <c r="Y1" s="4"/>
      <c r="Z1" s="4"/>
    </row>
    <row r="2">
      <c r="A2" s="5" t="s">
        <v>1</v>
      </c>
      <c r="B2" s="6">
        <f t="shared" ref="B2:J2" si="2"> date(B$1, 1, 1)</f>
        <v>42736</v>
      </c>
      <c r="C2" s="6">
        <f t="shared" si="2"/>
        <v>43101</v>
      </c>
      <c r="D2" s="6">
        <f t="shared" si="2"/>
        <v>43466</v>
      </c>
      <c r="E2" s="6">
        <f t="shared" si="2"/>
        <v>43831</v>
      </c>
      <c r="F2" s="6">
        <f t="shared" si="2"/>
        <v>44197</v>
      </c>
      <c r="G2" s="6">
        <f t="shared" si="2"/>
        <v>44562</v>
      </c>
      <c r="H2" s="6">
        <f t="shared" si="2"/>
        <v>44927</v>
      </c>
      <c r="I2" s="6">
        <f t="shared" si="2"/>
        <v>45292</v>
      </c>
      <c r="J2" s="7">
        <f t="shared" si="2"/>
        <v>45658</v>
      </c>
      <c r="K2" s="8"/>
      <c r="L2" s="8"/>
      <c r="M2" s="8"/>
      <c r="N2" s="8"/>
      <c r="O2" s="8"/>
      <c r="P2" s="8"/>
      <c r="Q2" s="8"/>
      <c r="R2" s="8"/>
      <c r="S2" s="8"/>
      <c r="T2" s="8"/>
      <c r="U2" s="8"/>
      <c r="V2" s="8"/>
      <c r="W2" s="8"/>
      <c r="X2" s="8"/>
      <c r="Y2" s="8"/>
      <c r="Z2" s="8"/>
    </row>
    <row r="3">
      <c r="A3" s="5" t="s">
        <v>2</v>
      </c>
      <c r="B3" s="9" t="str">
        <f t="shared" ref="B3:J3" si="3"> FLOOR(DAY(MINUTE(B1 / 38) / 2 + 56) &amp; "/5/" &amp; B1, 7) - 34</f>
        <v>#VALUE!</v>
      </c>
      <c r="C3" s="9">
        <f t="shared" si="3"/>
        <v>43373</v>
      </c>
      <c r="D3" s="9" t="str">
        <f t="shared" si="3"/>
        <v>#VALUE!</v>
      </c>
      <c r="E3" s="9" t="str">
        <f t="shared" si="3"/>
        <v>#VALUE!</v>
      </c>
      <c r="F3" s="9">
        <f t="shared" si="3"/>
        <v>44374</v>
      </c>
      <c r="G3" s="9" t="str">
        <f t="shared" si="3"/>
        <v>#VALUE!</v>
      </c>
      <c r="H3" s="9" t="str">
        <f t="shared" si="3"/>
        <v>#VALUE!</v>
      </c>
      <c r="I3" s="9">
        <f t="shared" si="3"/>
        <v>45382</v>
      </c>
      <c r="J3" s="10" t="str">
        <f t="shared" si="3"/>
        <v>#VALUE!</v>
      </c>
      <c r="K3" s="8"/>
      <c r="L3" s="8"/>
      <c r="M3" s="8"/>
      <c r="N3" s="8"/>
      <c r="O3" s="8"/>
      <c r="P3" s="8"/>
      <c r="Q3" s="8"/>
      <c r="R3" s="8"/>
      <c r="S3" s="8"/>
      <c r="T3" s="8"/>
      <c r="U3" s="8"/>
      <c r="V3" s="8"/>
      <c r="W3" s="8"/>
      <c r="X3" s="8"/>
      <c r="Y3" s="8"/>
      <c r="Z3" s="8"/>
    </row>
    <row r="4">
      <c r="A4" s="5" t="s">
        <v>3</v>
      </c>
      <c r="B4" s="9" t="str">
        <f t="shared" ref="B4:J4" si="4"> B3 + 1</f>
        <v>#VALUE!</v>
      </c>
      <c r="C4" s="9">
        <f t="shared" si="4"/>
        <v>43374</v>
      </c>
      <c r="D4" s="9" t="str">
        <f t="shared" si="4"/>
        <v>#VALUE!</v>
      </c>
      <c r="E4" s="9" t="str">
        <f t="shared" si="4"/>
        <v>#VALUE!</v>
      </c>
      <c r="F4" s="9">
        <f t="shared" si="4"/>
        <v>44375</v>
      </c>
      <c r="G4" s="9" t="str">
        <f t="shared" si="4"/>
        <v>#VALUE!</v>
      </c>
      <c r="H4" s="9" t="str">
        <f t="shared" si="4"/>
        <v>#VALUE!</v>
      </c>
      <c r="I4" s="9">
        <f t="shared" si="4"/>
        <v>45383</v>
      </c>
      <c r="J4" s="10" t="str">
        <f t="shared" si="4"/>
        <v>#VALUE!</v>
      </c>
      <c r="K4" s="8"/>
      <c r="L4" s="8"/>
      <c r="M4" s="8"/>
      <c r="N4" s="8"/>
      <c r="O4" s="8"/>
      <c r="P4" s="8"/>
      <c r="Q4" s="8"/>
      <c r="R4" s="8"/>
      <c r="S4" s="8"/>
      <c r="T4" s="8"/>
      <c r="U4" s="8"/>
      <c r="V4" s="8"/>
      <c r="W4" s="8"/>
      <c r="X4" s="8"/>
      <c r="Y4" s="8"/>
      <c r="Z4" s="8"/>
    </row>
    <row r="5">
      <c r="A5" s="5" t="s">
        <v>4</v>
      </c>
      <c r="B5" s="6">
        <f t="shared" ref="B5:J5" si="5"> date(B$1, 5, 1)</f>
        <v>42856</v>
      </c>
      <c r="C5" s="6">
        <f t="shared" si="5"/>
        <v>43221</v>
      </c>
      <c r="D5" s="6">
        <f t="shared" si="5"/>
        <v>43586</v>
      </c>
      <c r="E5" s="6">
        <f t="shared" si="5"/>
        <v>43952</v>
      </c>
      <c r="F5" s="6">
        <f t="shared" si="5"/>
        <v>44317</v>
      </c>
      <c r="G5" s="6">
        <f t="shared" si="5"/>
        <v>44682</v>
      </c>
      <c r="H5" s="6">
        <f t="shared" si="5"/>
        <v>45047</v>
      </c>
      <c r="I5" s="6">
        <f t="shared" si="5"/>
        <v>45413</v>
      </c>
      <c r="J5" s="7">
        <f t="shared" si="5"/>
        <v>45778</v>
      </c>
      <c r="K5" s="8"/>
      <c r="L5" s="8"/>
      <c r="M5" s="8"/>
      <c r="N5" s="8"/>
      <c r="O5" s="8"/>
      <c r="P5" s="8"/>
      <c r="Q5" s="8"/>
      <c r="R5" s="8"/>
      <c r="S5" s="8"/>
      <c r="T5" s="8"/>
      <c r="U5" s="8"/>
      <c r="V5" s="8"/>
      <c r="W5" s="8"/>
      <c r="X5" s="8"/>
      <c r="Y5" s="8"/>
      <c r="Z5" s="8"/>
    </row>
    <row r="6">
      <c r="A6" s="5" t="s">
        <v>5</v>
      </c>
      <c r="B6" s="6">
        <f t="shared" ref="B6:J6" si="6"> date(B$1, 5, 8)</f>
        <v>42863</v>
      </c>
      <c r="C6" s="6">
        <f t="shared" si="6"/>
        <v>43228</v>
      </c>
      <c r="D6" s="6">
        <f t="shared" si="6"/>
        <v>43593</v>
      </c>
      <c r="E6" s="6">
        <f t="shared" si="6"/>
        <v>43959</v>
      </c>
      <c r="F6" s="6">
        <f t="shared" si="6"/>
        <v>44324</v>
      </c>
      <c r="G6" s="6">
        <f t="shared" si="6"/>
        <v>44689</v>
      </c>
      <c r="H6" s="6">
        <f t="shared" si="6"/>
        <v>45054</v>
      </c>
      <c r="I6" s="6">
        <f t="shared" si="6"/>
        <v>45420</v>
      </c>
      <c r="J6" s="7">
        <f t="shared" si="6"/>
        <v>45785</v>
      </c>
      <c r="K6" s="8"/>
      <c r="L6" s="8"/>
      <c r="M6" s="8"/>
      <c r="N6" s="8"/>
      <c r="O6" s="8"/>
      <c r="P6" s="8"/>
      <c r="Q6" s="8"/>
      <c r="R6" s="8"/>
      <c r="S6" s="8"/>
      <c r="T6" s="8"/>
      <c r="U6" s="8"/>
      <c r="V6" s="8"/>
      <c r="W6" s="8"/>
      <c r="X6" s="8"/>
      <c r="Y6" s="8"/>
      <c r="Z6" s="8"/>
    </row>
    <row r="7">
      <c r="A7" s="5" t="s">
        <v>6</v>
      </c>
      <c r="B7" s="9" t="str">
        <f t="shared" ref="B7:J7" si="7"> B3 + 39</f>
        <v>#VALUE!</v>
      </c>
      <c r="C7" s="9">
        <f t="shared" si="7"/>
        <v>43412</v>
      </c>
      <c r="D7" s="9" t="str">
        <f t="shared" si="7"/>
        <v>#VALUE!</v>
      </c>
      <c r="E7" s="9" t="str">
        <f t="shared" si="7"/>
        <v>#VALUE!</v>
      </c>
      <c r="F7" s="9">
        <f t="shared" si="7"/>
        <v>44413</v>
      </c>
      <c r="G7" s="9" t="str">
        <f t="shared" si="7"/>
        <v>#VALUE!</v>
      </c>
      <c r="H7" s="9" t="str">
        <f t="shared" si="7"/>
        <v>#VALUE!</v>
      </c>
      <c r="I7" s="9">
        <f t="shared" si="7"/>
        <v>45421</v>
      </c>
      <c r="J7" s="10" t="str">
        <f t="shared" si="7"/>
        <v>#VALUE!</v>
      </c>
      <c r="K7" s="8"/>
      <c r="L7" s="8"/>
      <c r="M7" s="8"/>
      <c r="N7" s="8"/>
      <c r="O7" s="8"/>
      <c r="P7" s="8"/>
      <c r="Q7" s="8"/>
      <c r="R7" s="8"/>
      <c r="S7" s="8"/>
      <c r="T7" s="8"/>
      <c r="U7" s="8"/>
      <c r="V7" s="8"/>
      <c r="W7" s="8"/>
      <c r="X7" s="8"/>
      <c r="Y7" s="8"/>
      <c r="Z7" s="8"/>
    </row>
    <row r="8">
      <c r="A8" s="5" t="s">
        <v>7</v>
      </c>
      <c r="B8" s="9" t="str">
        <f t="shared" ref="B8:J8" si="8"> B3 + 49</f>
        <v>#VALUE!</v>
      </c>
      <c r="C8" s="9">
        <f t="shared" si="8"/>
        <v>43422</v>
      </c>
      <c r="D8" s="9" t="str">
        <f t="shared" si="8"/>
        <v>#VALUE!</v>
      </c>
      <c r="E8" s="9" t="str">
        <f t="shared" si="8"/>
        <v>#VALUE!</v>
      </c>
      <c r="F8" s="9">
        <f t="shared" si="8"/>
        <v>44423</v>
      </c>
      <c r="G8" s="9" t="str">
        <f t="shared" si="8"/>
        <v>#VALUE!</v>
      </c>
      <c r="H8" s="9" t="str">
        <f t="shared" si="8"/>
        <v>#VALUE!</v>
      </c>
      <c r="I8" s="9">
        <f t="shared" si="8"/>
        <v>45431</v>
      </c>
      <c r="J8" s="10" t="str">
        <f t="shared" si="8"/>
        <v>#VALUE!</v>
      </c>
      <c r="K8" s="8"/>
      <c r="L8" s="8"/>
      <c r="M8" s="8"/>
      <c r="N8" s="8"/>
      <c r="O8" s="8"/>
      <c r="P8" s="8"/>
      <c r="Q8" s="8"/>
      <c r="R8" s="8"/>
      <c r="S8" s="8"/>
      <c r="T8" s="8"/>
      <c r="U8" s="8"/>
      <c r="V8" s="8"/>
      <c r="W8" s="8"/>
      <c r="X8" s="8"/>
      <c r="Y8" s="8"/>
      <c r="Z8" s="8"/>
    </row>
    <row r="9">
      <c r="A9" s="5" t="s">
        <v>8</v>
      </c>
      <c r="B9" s="9" t="str">
        <f t="shared" ref="B9:J9" si="9"> B3 + 50</f>
        <v>#VALUE!</v>
      </c>
      <c r="C9" s="9">
        <f t="shared" si="9"/>
        <v>43423</v>
      </c>
      <c r="D9" s="9" t="str">
        <f t="shared" si="9"/>
        <v>#VALUE!</v>
      </c>
      <c r="E9" s="9" t="str">
        <f t="shared" si="9"/>
        <v>#VALUE!</v>
      </c>
      <c r="F9" s="9">
        <f t="shared" si="9"/>
        <v>44424</v>
      </c>
      <c r="G9" s="9" t="str">
        <f t="shared" si="9"/>
        <v>#VALUE!</v>
      </c>
      <c r="H9" s="9" t="str">
        <f t="shared" si="9"/>
        <v>#VALUE!</v>
      </c>
      <c r="I9" s="9">
        <f t="shared" si="9"/>
        <v>45432</v>
      </c>
      <c r="J9" s="10" t="str">
        <f t="shared" si="9"/>
        <v>#VALUE!</v>
      </c>
      <c r="K9" s="8"/>
      <c r="L9" s="8"/>
      <c r="M9" s="8"/>
      <c r="N9" s="8"/>
      <c r="O9" s="8"/>
      <c r="P9" s="8"/>
      <c r="Q9" s="8"/>
      <c r="R9" s="8"/>
      <c r="S9" s="8"/>
      <c r="T9" s="8"/>
      <c r="U9" s="8"/>
      <c r="V9" s="8"/>
      <c r="W9" s="8"/>
      <c r="X9" s="8"/>
      <c r="Y9" s="8"/>
      <c r="Z9" s="8"/>
    </row>
    <row r="10">
      <c r="A10" s="5" t="s">
        <v>9</v>
      </c>
      <c r="B10" s="6">
        <f t="shared" ref="B10:J10" si="10"> date(B$1, 7, 14)</f>
        <v>42930</v>
      </c>
      <c r="C10" s="6">
        <f t="shared" si="10"/>
        <v>43295</v>
      </c>
      <c r="D10" s="6">
        <f t="shared" si="10"/>
        <v>43660</v>
      </c>
      <c r="E10" s="6">
        <f t="shared" si="10"/>
        <v>44026</v>
      </c>
      <c r="F10" s="6">
        <f t="shared" si="10"/>
        <v>44391</v>
      </c>
      <c r="G10" s="6">
        <f t="shared" si="10"/>
        <v>44756</v>
      </c>
      <c r="H10" s="6">
        <f t="shared" si="10"/>
        <v>45121</v>
      </c>
      <c r="I10" s="6">
        <f t="shared" si="10"/>
        <v>45487</v>
      </c>
      <c r="J10" s="7">
        <f t="shared" si="10"/>
        <v>45852</v>
      </c>
      <c r="K10" s="8"/>
      <c r="L10" s="8"/>
      <c r="M10" s="8"/>
      <c r="N10" s="8"/>
      <c r="O10" s="8"/>
      <c r="P10" s="8"/>
      <c r="Q10" s="8"/>
      <c r="R10" s="8"/>
      <c r="S10" s="8"/>
      <c r="T10" s="8"/>
      <c r="U10" s="8"/>
      <c r="V10" s="8"/>
      <c r="W10" s="8"/>
      <c r="X10" s="8"/>
      <c r="Y10" s="8"/>
      <c r="Z10" s="8"/>
    </row>
    <row r="11">
      <c r="A11" s="5" t="s">
        <v>10</v>
      </c>
      <c r="B11" s="6">
        <f t="shared" ref="B11:J11" si="11"> date(B$1, 8, 15)</f>
        <v>42962</v>
      </c>
      <c r="C11" s="6">
        <f t="shared" si="11"/>
        <v>43327</v>
      </c>
      <c r="D11" s="6">
        <f t="shared" si="11"/>
        <v>43692</v>
      </c>
      <c r="E11" s="6">
        <f t="shared" si="11"/>
        <v>44058</v>
      </c>
      <c r="F11" s="6">
        <f t="shared" si="11"/>
        <v>44423</v>
      </c>
      <c r="G11" s="6">
        <f t="shared" si="11"/>
        <v>44788</v>
      </c>
      <c r="H11" s="6">
        <f t="shared" si="11"/>
        <v>45153</v>
      </c>
      <c r="I11" s="6">
        <f t="shared" si="11"/>
        <v>45519</v>
      </c>
      <c r="J11" s="7">
        <f t="shared" si="11"/>
        <v>45884</v>
      </c>
      <c r="K11" s="8"/>
      <c r="L11" s="8"/>
      <c r="M11" s="8"/>
      <c r="N11" s="8"/>
      <c r="O11" s="8"/>
      <c r="P11" s="8"/>
      <c r="Q11" s="8"/>
      <c r="R11" s="8"/>
      <c r="S11" s="8"/>
      <c r="T11" s="8"/>
      <c r="U11" s="8"/>
      <c r="V11" s="8"/>
      <c r="W11" s="8"/>
      <c r="X11" s="8"/>
      <c r="Y11" s="8"/>
      <c r="Z11" s="8"/>
    </row>
    <row r="12">
      <c r="A12" s="5" t="s">
        <v>11</v>
      </c>
      <c r="B12" s="6">
        <f t="shared" ref="B12:J12" si="12"> date(B$1, 11, 1)</f>
        <v>43040</v>
      </c>
      <c r="C12" s="6">
        <f t="shared" si="12"/>
        <v>43405</v>
      </c>
      <c r="D12" s="6">
        <f t="shared" si="12"/>
        <v>43770</v>
      </c>
      <c r="E12" s="6">
        <f t="shared" si="12"/>
        <v>44136</v>
      </c>
      <c r="F12" s="6">
        <f t="shared" si="12"/>
        <v>44501</v>
      </c>
      <c r="G12" s="6">
        <f t="shared" si="12"/>
        <v>44866</v>
      </c>
      <c r="H12" s="6">
        <f t="shared" si="12"/>
        <v>45231</v>
      </c>
      <c r="I12" s="6">
        <f t="shared" si="12"/>
        <v>45597</v>
      </c>
      <c r="J12" s="7">
        <f t="shared" si="12"/>
        <v>45962</v>
      </c>
      <c r="K12" s="8"/>
      <c r="L12" s="8"/>
      <c r="M12" s="8"/>
      <c r="N12" s="8"/>
      <c r="O12" s="8"/>
      <c r="P12" s="8"/>
      <c r="Q12" s="8"/>
      <c r="R12" s="8"/>
      <c r="S12" s="8"/>
      <c r="T12" s="8"/>
      <c r="U12" s="8"/>
      <c r="V12" s="8"/>
      <c r="W12" s="8"/>
      <c r="X12" s="8"/>
      <c r="Y12" s="8"/>
      <c r="Z12" s="8"/>
    </row>
    <row r="13">
      <c r="A13" s="5" t="s">
        <v>12</v>
      </c>
      <c r="B13" s="6">
        <f t="shared" ref="B13:J13" si="13"> date(B$1, 11, 11)</f>
        <v>43050</v>
      </c>
      <c r="C13" s="6">
        <f t="shared" si="13"/>
        <v>43415</v>
      </c>
      <c r="D13" s="6">
        <f t="shared" si="13"/>
        <v>43780</v>
      </c>
      <c r="E13" s="6">
        <f t="shared" si="13"/>
        <v>44146</v>
      </c>
      <c r="F13" s="6">
        <f t="shared" si="13"/>
        <v>44511</v>
      </c>
      <c r="G13" s="6">
        <f t="shared" si="13"/>
        <v>44876</v>
      </c>
      <c r="H13" s="6">
        <f t="shared" si="13"/>
        <v>45241</v>
      </c>
      <c r="I13" s="6">
        <f t="shared" si="13"/>
        <v>45607</v>
      </c>
      <c r="J13" s="7">
        <f t="shared" si="13"/>
        <v>45972</v>
      </c>
      <c r="K13" s="8"/>
      <c r="L13" s="8"/>
      <c r="M13" s="8"/>
      <c r="N13" s="8"/>
      <c r="O13" s="8"/>
      <c r="P13" s="8"/>
      <c r="Q13" s="8"/>
      <c r="R13" s="8"/>
      <c r="S13" s="8"/>
      <c r="T13" s="8"/>
      <c r="U13" s="8"/>
      <c r="V13" s="8"/>
      <c r="W13" s="8"/>
      <c r="X13" s="8"/>
      <c r="Y13" s="8"/>
      <c r="Z13" s="8"/>
    </row>
    <row r="14">
      <c r="A14" s="11" t="s">
        <v>13</v>
      </c>
      <c r="B14" s="12">
        <f t="shared" ref="B14:J14" si="14"> date(B$1, 12, 25)</f>
        <v>43094</v>
      </c>
      <c r="C14" s="12">
        <f t="shared" si="14"/>
        <v>43459</v>
      </c>
      <c r="D14" s="12">
        <f t="shared" si="14"/>
        <v>43824</v>
      </c>
      <c r="E14" s="12">
        <f t="shared" si="14"/>
        <v>44190</v>
      </c>
      <c r="F14" s="12">
        <f t="shared" si="14"/>
        <v>44555</v>
      </c>
      <c r="G14" s="12">
        <f t="shared" si="14"/>
        <v>44920</v>
      </c>
      <c r="H14" s="12">
        <f t="shared" si="14"/>
        <v>45285</v>
      </c>
      <c r="I14" s="12">
        <f t="shared" si="14"/>
        <v>45651</v>
      </c>
      <c r="J14" s="13">
        <f t="shared" si="14"/>
        <v>46016</v>
      </c>
      <c r="K14" s="8"/>
      <c r="L14" s="8"/>
      <c r="M14" s="8"/>
      <c r="N14" s="8"/>
      <c r="O14" s="8"/>
      <c r="P14" s="8"/>
      <c r="Q14" s="8"/>
      <c r="R14" s="8"/>
      <c r="S14" s="8"/>
      <c r="T14" s="8"/>
      <c r="U14" s="8"/>
      <c r="V14" s="8"/>
      <c r="W14" s="8"/>
      <c r="X14" s="8"/>
      <c r="Y14" s="8"/>
      <c r="Z14" s="8"/>
    </row>
    <row r="15">
      <c r="A15" s="8"/>
      <c r="B15" s="8"/>
      <c r="C15" s="8"/>
      <c r="D15" s="8"/>
      <c r="E15" s="8"/>
      <c r="F15" s="8"/>
      <c r="G15" s="8"/>
      <c r="H15" s="8"/>
      <c r="I15" s="8"/>
      <c r="J15" s="8"/>
      <c r="K15" s="8"/>
      <c r="L15" s="8"/>
      <c r="M15" s="8"/>
      <c r="N15" s="8"/>
      <c r="O15" s="8"/>
      <c r="P15" s="8"/>
      <c r="Q15" s="8"/>
      <c r="R15" s="8"/>
      <c r="S15" s="8"/>
      <c r="T15" s="8"/>
      <c r="U15" s="8"/>
      <c r="V15" s="8"/>
      <c r="W15" s="8"/>
      <c r="X15" s="8"/>
      <c r="Y15" s="8"/>
      <c r="Z15" s="8"/>
    </row>
    <row r="16">
      <c r="A16" s="8"/>
      <c r="B16" s="8"/>
      <c r="C16" s="8"/>
      <c r="D16" s="8"/>
      <c r="E16" s="8"/>
      <c r="F16" s="8"/>
      <c r="G16" s="8"/>
      <c r="H16" s="8"/>
      <c r="I16" s="8"/>
      <c r="J16" s="8"/>
      <c r="K16" s="8"/>
      <c r="L16" s="8"/>
      <c r="M16" s="8"/>
      <c r="N16" s="8"/>
      <c r="O16" s="8"/>
      <c r="P16" s="8"/>
      <c r="Q16" s="8"/>
      <c r="R16" s="8"/>
      <c r="S16" s="8"/>
      <c r="T16" s="8"/>
      <c r="U16" s="8"/>
      <c r="V16" s="8"/>
      <c r="W16" s="8"/>
      <c r="X16" s="8"/>
      <c r="Y16" s="8"/>
      <c r="Z16" s="8"/>
    </row>
    <row r="17">
      <c r="A17" s="8"/>
      <c r="B17" s="8"/>
      <c r="C17" s="8"/>
      <c r="D17" s="8"/>
      <c r="E17" s="8"/>
      <c r="F17" s="8"/>
      <c r="G17" s="8"/>
      <c r="H17" s="8"/>
      <c r="I17" s="8"/>
      <c r="J17" s="8"/>
      <c r="K17" s="8"/>
      <c r="L17" s="8"/>
      <c r="M17" s="8"/>
      <c r="N17" s="8"/>
      <c r="O17" s="8"/>
      <c r="P17" s="8"/>
      <c r="Q17" s="8"/>
      <c r="R17" s="8"/>
      <c r="S17" s="8"/>
      <c r="T17" s="8"/>
      <c r="U17" s="8"/>
      <c r="V17" s="8"/>
      <c r="W17" s="8"/>
      <c r="X17" s="8"/>
      <c r="Y17" s="8"/>
      <c r="Z17" s="8"/>
    </row>
    <row r="18">
      <c r="A18" s="8"/>
      <c r="B18" s="8"/>
      <c r="C18" s="8"/>
      <c r="D18" s="8"/>
      <c r="E18" s="8"/>
      <c r="F18" s="8"/>
      <c r="G18" s="8"/>
      <c r="H18" s="8"/>
      <c r="I18" s="8"/>
      <c r="J18" s="8"/>
      <c r="K18" s="8"/>
      <c r="L18" s="8"/>
      <c r="M18" s="8"/>
      <c r="N18" s="8"/>
      <c r="O18" s="8"/>
      <c r="P18" s="8"/>
      <c r="Q18" s="8"/>
      <c r="R18" s="8"/>
      <c r="S18" s="8"/>
      <c r="T18" s="8"/>
      <c r="U18" s="8"/>
      <c r="V18" s="8"/>
      <c r="W18" s="8"/>
      <c r="X18" s="8"/>
      <c r="Y18" s="8"/>
      <c r="Z18" s="8"/>
    </row>
    <row r="19">
      <c r="A19" s="8"/>
      <c r="B19" s="8"/>
      <c r="C19" s="8"/>
      <c r="D19" s="8"/>
      <c r="E19" s="8"/>
      <c r="F19" s="8"/>
      <c r="G19" s="8"/>
      <c r="H19" s="8"/>
      <c r="I19" s="8"/>
      <c r="J19" s="8"/>
      <c r="K19" s="8"/>
      <c r="L19" s="8"/>
      <c r="M19" s="8"/>
      <c r="N19" s="8"/>
      <c r="O19" s="8"/>
      <c r="P19" s="8"/>
      <c r="Q19" s="8"/>
      <c r="R19" s="8"/>
      <c r="S19" s="8"/>
      <c r="T19" s="8"/>
      <c r="U19" s="8"/>
      <c r="V19" s="8"/>
      <c r="W19" s="8"/>
      <c r="X19" s="8"/>
      <c r="Y19" s="8"/>
      <c r="Z19" s="8"/>
    </row>
    <row r="20">
      <c r="A20" s="8"/>
      <c r="B20" s="8"/>
      <c r="C20" s="8"/>
      <c r="D20" s="8"/>
      <c r="E20" s="8"/>
      <c r="F20" s="8"/>
      <c r="G20" s="8"/>
      <c r="H20" s="8"/>
      <c r="I20" s="8"/>
      <c r="J20" s="8"/>
      <c r="K20" s="8"/>
      <c r="L20" s="8"/>
      <c r="M20" s="8"/>
      <c r="N20" s="8"/>
      <c r="O20" s="8"/>
      <c r="P20" s="8"/>
      <c r="Q20" s="8"/>
      <c r="R20" s="8"/>
      <c r="S20" s="8"/>
      <c r="T20" s="8"/>
      <c r="U20" s="8"/>
      <c r="V20" s="8"/>
      <c r="W20" s="8"/>
      <c r="X20" s="8"/>
      <c r="Y20" s="8"/>
      <c r="Z20" s="8"/>
    </row>
    <row r="21">
      <c r="A21" s="8"/>
      <c r="B21" s="8"/>
      <c r="C21" s="8"/>
      <c r="D21" s="8"/>
      <c r="E21" s="8"/>
      <c r="F21" s="8"/>
      <c r="G21" s="8"/>
      <c r="H21" s="8"/>
      <c r="I21" s="8"/>
      <c r="J21" s="8"/>
      <c r="K21" s="8"/>
      <c r="L21" s="8"/>
      <c r="M21" s="8"/>
      <c r="N21" s="8"/>
      <c r="O21" s="8"/>
      <c r="P21" s="8"/>
      <c r="Q21" s="8"/>
      <c r="R21" s="8"/>
      <c r="S21" s="8"/>
      <c r="T21" s="8"/>
      <c r="U21" s="8"/>
      <c r="V21" s="8"/>
      <c r="W21" s="8"/>
      <c r="X21" s="8"/>
      <c r="Y21" s="8"/>
      <c r="Z21" s="8"/>
    </row>
    <row r="22">
      <c r="A22" s="8"/>
      <c r="B22" s="8"/>
      <c r="C22" s="8"/>
      <c r="D22" s="8"/>
      <c r="E22" s="8"/>
      <c r="F22" s="8"/>
      <c r="G22" s="8"/>
      <c r="H22" s="8"/>
      <c r="I22" s="8"/>
      <c r="J22" s="8"/>
      <c r="K22" s="8"/>
      <c r="L22" s="8"/>
      <c r="M22" s="8"/>
      <c r="N22" s="8"/>
      <c r="O22" s="8"/>
      <c r="P22" s="8"/>
      <c r="Q22" s="8"/>
      <c r="R22" s="8"/>
      <c r="S22" s="8"/>
      <c r="T22" s="8"/>
      <c r="U22" s="8"/>
      <c r="V22" s="8"/>
      <c r="W22" s="8"/>
      <c r="X22" s="8"/>
      <c r="Y22" s="8"/>
      <c r="Z22" s="8"/>
    </row>
    <row r="23">
      <c r="A23" s="8"/>
      <c r="B23" s="8"/>
      <c r="C23" s="8"/>
      <c r="D23" s="8"/>
      <c r="E23" s="8"/>
      <c r="F23" s="8"/>
      <c r="G23" s="8"/>
      <c r="H23" s="8"/>
      <c r="I23" s="8"/>
      <c r="J23" s="8"/>
      <c r="K23" s="8"/>
      <c r="L23" s="8"/>
      <c r="M23" s="8"/>
      <c r="N23" s="8"/>
      <c r="O23" s="8"/>
      <c r="P23" s="8"/>
      <c r="Q23" s="8"/>
      <c r="R23" s="8"/>
      <c r="S23" s="8"/>
      <c r="T23" s="8"/>
      <c r="U23" s="8"/>
      <c r="V23" s="8"/>
      <c r="W23" s="8"/>
      <c r="X23" s="8"/>
      <c r="Y23" s="8"/>
      <c r="Z23" s="8"/>
    </row>
    <row r="24">
      <c r="A24" s="8"/>
      <c r="B24" s="8"/>
      <c r="C24" s="8"/>
      <c r="D24" s="8"/>
      <c r="E24" s="8"/>
      <c r="F24" s="8"/>
      <c r="G24" s="8"/>
      <c r="H24" s="8"/>
      <c r="I24" s="8"/>
      <c r="J24" s="8"/>
      <c r="K24" s="8"/>
      <c r="L24" s="8"/>
      <c r="M24" s="8"/>
      <c r="N24" s="8"/>
      <c r="O24" s="8"/>
      <c r="P24" s="8"/>
      <c r="Q24" s="8"/>
      <c r="R24" s="8"/>
      <c r="S24" s="8"/>
      <c r="T24" s="8"/>
      <c r="U24" s="8"/>
      <c r="V24" s="8"/>
      <c r="W24" s="8"/>
      <c r="X24" s="8"/>
      <c r="Y24" s="8"/>
      <c r="Z24" s="8"/>
    </row>
    <row r="25">
      <c r="A25" s="8"/>
      <c r="B25" s="8"/>
      <c r="C25" s="8"/>
      <c r="D25" s="8"/>
      <c r="E25" s="8"/>
      <c r="F25" s="8"/>
      <c r="G25" s="8"/>
      <c r="H25" s="8"/>
      <c r="I25" s="8"/>
      <c r="J25" s="8"/>
      <c r="K25" s="8"/>
      <c r="L25" s="8"/>
      <c r="M25" s="8"/>
      <c r="N25" s="8"/>
      <c r="O25" s="8"/>
      <c r="P25" s="8"/>
      <c r="Q25" s="8"/>
      <c r="R25" s="8"/>
      <c r="S25" s="8"/>
      <c r="T25" s="8"/>
      <c r="U25" s="8"/>
      <c r="V25" s="8"/>
      <c r="W25" s="8"/>
      <c r="X25" s="8"/>
      <c r="Y25" s="8"/>
      <c r="Z25" s="8"/>
    </row>
    <row r="26">
      <c r="A26" s="8"/>
      <c r="B26" s="8"/>
      <c r="C26" s="8"/>
      <c r="D26" s="8"/>
      <c r="E26" s="8"/>
      <c r="F26" s="8"/>
      <c r="G26" s="8"/>
      <c r="H26" s="8"/>
      <c r="I26" s="8"/>
      <c r="J26" s="8"/>
      <c r="K26" s="8"/>
      <c r="L26" s="8"/>
      <c r="M26" s="8"/>
      <c r="N26" s="8"/>
      <c r="O26" s="8"/>
      <c r="P26" s="8"/>
      <c r="Q26" s="8"/>
      <c r="R26" s="8"/>
      <c r="S26" s="8"/>
      <c r="T26" s="8"/>
      <c r="U26" s="8"/>
      <c r="V26" s="8"/>
      <c r="W26" s="8"/>
      <c r="X26" s="8"/>
      <c r="Y26" s="8"/>
      <c r="Z26" s="8"/>
    </row>
    <row r="27">
      <c r="A27" s="8"/>
      <c r="B27" s="8"/>
      <c r="C27" s="8"/>
      <c r="D27" s="8"/>
      <c r="E27" s="8"/>
      <c r="F27" s="8"/>
      <c r="G27" s="8"/>
      <c r="H27" s="8"/>
      <c r="I27" s="8"/>
      <c r="J27" s="8"/>
      <c r="K27" s="8"/>
      <c r="L27" s="8"/>
      <c r="M27" s="8"/>
      <c r="N27" s="8"/>
      <c r="O27" s="8"/>
      <c r="P27" s="8"/>
      <c r="Q27" s="8"/>
      <c r="R27" s="8"/>
      <c r="S27" s="8"/>
      <c r="T27" s="8"/>
      <c r="U27" s="8"/>
      <c r="V27" s="8"/>
      <c r="W27" s="8"/>
      <c r="X27" s="8"/>
      <c r="Y27" s="8"/>
      <c r="Z27" s="8"/>
    </row>
    <row r="28">
      <c r="A28" s="8"/>
      <c r="B28" s="8"/>
      <c r="C28" s="8"/>
      <c r="D28" s="8"/>
      <c r="E28" s="8"/>
      <c r="F28" s="8"/>
      <c r="G28" s="8"/>
      <c r="H28" s="8"/>
      <c r="I28" s="8"/>
      <c r="J28" s="8"/>
      <c r="K28" s="8"/>
      <c r="L28" s="8"/>
      <c r="M28" s="8"/>
      <c r="N28" s="8"/>
      <c r="O28" s="8"/>
      <c r="P28" s="8"/>
      <c r="Q28" s="8"/>
      <c r="R28" s="8"/>
      <c r="S28" s="8"/>
      <c r="T28" s="8"/>
      <c r="U28" s="8"/>
      <c r="V28" s="8"/>
      <c r="W28" s="8"/>
      <c r="X28" s="8"/>
      <c r="Y28" s="8"/>
      <c r="Z28" s="8"/>
    </row>
    <row r="29">
      <c r="A29" s="8"/>
      <c r="B29" s="8"/>
      <c r="C29" s="8"/>
      <c r="D29" s="8"/>
      <c r="E29" s="8"/>
      <c r="F29" s="8"/>
      <c r="G29" s="8"/>
      <c r="H29" s="8"/>
      <c r="I29" s="8"/>
      <c r="J29" s="8"/>
      <c r="K29" s="8"/>
      <c r="L29" s="8"/>
      <c r="M29" s="8"/>
      <c r="N29" s="8"/>
      <c r="O29" s="8"/>
      <c r="P29" s="8"/>
      <c r="Q29" s="8"/>
      <c r="R29" s="8"/>
      <c r="S29" s="8"/>
      <c r="T29" s="8"/>
      <c r="U29" s="8"/>
      <c r="V29" s="8"/>
      <c r="W29" s="8"/>
      <c r="X29" s="8"/>
      <c r="Y29" s="8"/>
      <c r="Z29" s="8"/>
    </row>
    <row r="30">
      <c r="A30" s="8"/>
      <c r="B30" s="8"/>
      <c r="C30" s="8"/>
      <c r="D30" s="8"/>
      <c r="E30" s="8"/>
      <c r="F30" s="8"/>
      <c r="G30" s="8"/>
      <c r="H30" s="8"/>
      <c r="I30" s="8"/>
      <c r="J30" s="8"/>
      <c r="K30" s="8"/>
      <c r="L30" s="8"/>
      <c r="M30" s="8"/>
      <c r="N30" s="8"/>
      <c r="O30" s="8"/>
      <c r="P30" s="8"/>
      <c r="Q30" s="8"/>
      <c r="R30" s="8"/>
      <c r="S30" s="8"/>
      <c r="T30" s="8"/>
      <c r="U30" s="8"/>
      <c r="V30" s="8"/>
      <c r="W30" s="8"/>
      <c r="X30" s="8"/>
      <c r="Y30" s="8"/>
      <c r="Z30" s="8"/>
    </row>
    <row r="31">
      <c r="A31" s="8"/>
      <c r="B31" s="8"/>
      <c r="C31" s="8"/>
      <c r="D31" s="8"/>
      <c r="E31" s="8"/>
      <c r="F31" s="8"/>
      <c r="G31" s="8"/>
      <c r="H31" s="8"/>
      <c r="I31" s="8"/>
      <c r="J31" s="8"/>
      <c r="K31" s="8"/>
      <c r="L31" s="8"/>
      <c r="M31" s="8"/>
      <c r="N31" s="8"/>
      <c r="O31" s="8"/>
      <c r="P31" s="8"/>
      <c r="Q31" s="8"/>
      <c r="R31" s="8"/>
      <c r="S31" s="8"/>
      <c r="T31" s="8"/>
      <c r="U31" s="8"/>
      <c r="V31" s="8"/>
      <c r="W31" s="8"/>
      <c r="X31" s="8"/>
      <c r="Y31" s="8"/>
      <c r="Z31" s="8"/>
    </row>
    <row r="32">
      <c r="A32" s="8"/>
      <c r="B32" s="8"/>
      <c r="C32" s="8"/>
      <c r="D32" s="8"/>
      <c r="E32" s="8"/>
      <c r="F32" s="8"/>
      <c r="G32" s="8"/>
      <c r="H32" s="8"/>
      <c r="I32" s="8"/>
      <c r="J32" s="8"/>
      <c r="K32" s="8"/>
      <c r="L32" s="8"/>
      <c r="M32" s="8"/>
      <c r="N32" s="8"/>
      <c r="O32" s="8"/>
      <c r="P32" s="8"/>
      <c r="Q32" s="8"/>
      <c r="R32" s="8"/>
      <c r="S32" s="8"/>
      <c r="T32" s="8"/>
      <c r="U32" s="8"/>
      <c r="V32" s="8"/>
      <c r="W32" s="8"/>
      <c r="X32" s="8"/>
      <c r="Y32" s="8"/>
      <c r="Z32" s="8"/>
    </row>
    <row r="33">
      <c r="A33" s="8"/>
      <c r="B33" s="8"/>
      <c r="C33" s="8"/>
      <c r="D33" s="8"/>
      <c r="E33" s="8"/>
      <c r="F33" s="8"/>
      <c r="G33" s="8"/>
      <c r="H33" s="8"/>
      <c r="I33" s="8"/>
      <c r="J33" s="8"/>
      <c r="K33" s="8"/>
      <c r="L33" s="8"/>
      <c r="M33" s="8"/>
      <c r="N33" s="8"/>
      <c r="O33" s="8"/>
      <c r="P33" s="8"/>
      <c r="Q33" s="8"/>
      <c r="R33" s="8"/>
      <c r="S33" s="8"/>
      <c r="T33" s="8"/>
      <c r="U33" s="8"/>
      <c r="V33" s="8"/>
      <c r="W33" s="8"/>
      <c r="X33" s="8"/>
      <c r="Y33" s="8"/>
      <c r="Z33" s="8"/>
    </row>
    <row r="34">
      <c r="A34" s="8"/>
      <c r="B34" s="8"/>
      <c r="C34" s="8"/>
      <c r="D34" s="8"/>
      <c r="E34" s="8"/>
      <c r="F34" s="8"/>
      <c r="G34" s="8"/>
      <c r="H34" s="8"/>
      <c r="I34" s="8"/>
      <c r="J34" s="8"/>
      <c r="K34" s="8"/>
      <c r="L34" s="8"/>
      <c r="M34" s="8"/>
      <c r="N34" s="8"/>
      <c r="O34" s="8"/>
      <c r="P34" s="8"/>
      <c r="Q34" s="8"/>
      <c r="R34" s="8"/>
      <c r="S34" s="8"/>
      <c r="T34" s="8"/>
      <c r="U34" s="8"/>
      <c r="V34" s="8"/>
      <c r="W34" s="8"/>
      <c r="X34" s="8"/>
      <c r="Y34" s="8"/>
      <c r="Z34" s="8"/>
    </row>
    <row r="35">
      <c r="A35" s="8"/>
      <c r="B35" s="8"/>
      <c r="C35" s="8"/>
      <c r="D35" s="8"/>
      <c r="E35" s="8"/>
      <c r="F35" s="8"/>
      <c r="G35" s="8"/>
      <c r="H35" s="8"/>
      <c r="I35" s="8"/>
      <c r="J35" s="8"/>
      <c r="K35" s="8"/>
      <c r="L35" s="8"/>
      <c r="M35" s="8"/>
      <c r="N35" s="8"/>
      <c r="O35" s="8"/>
      <c r="P35" s="8"/>
      <c r="Q35" s="8"/>
      <c r="R35" s="8"/>
      <c r="S35" s="8"/>
      <c r="T35" s="8"/>
      <c r="U35" s="8"/>
      <c r="V35" s="8"/>
      <c r="W35" s="8"/>
      <c r="X35" s="8"/>
      <c r="Y35" s="8"/>
      <c r="Z35" s="8"/>
    </row>
    <row r="36">
      <c r="A36" s="8"/>
      <c r="B36" s="8"/>
      <c r="C36" s="8"/>
      <c r="D36" s="8"/>
      <c r="E36" s="8"/>
      <c r="F36" s="8"/>
      <c r="G36" s="8"/>
      <c r="H36" s="8"/>
      <c r="I36" s="8"/>
      <c r="J36" s="8"/>
      <c r="K36" s="8"/>
      <c r="L36" s="8"/>
      <c r="M36" s="8"/>
      <c r="N36" s="8"/>
      <c r="O36" s="8"/>
      <c r="P36" s="8"/>
      <c r="Q36" s="8"/>
      <c r="R36" s="8"/>
      <c r="S36" s="8"/>
      <c r="T36" s="8"/>
      <c r="U36" s="8"/>
      <c r="V36" s="8"/>
      <c r="W36" s="8"/>
      <c r="X36" s="8"/>
      <c r="Y36" s="8"/>
      <c r="Z36" s="8"/>
    </row>
    <row r="37">
      <c r="A37" s="8"/>
      <c r="B37" s="8"/>
      <c r="C37" s="8"/>
      <c r="D37" s="8"/>
      <c r="E37" s="8"/>
      <c r="F37" s="8"/>
      <c r="G37" s="8"/>
      <c r="H37" s="8"/>
      <c r="I37" s="8"/>
      <c r="J37" s="8"/>
      <c r="K37" s="8"/>
      <c r="L37" s="8"/>
      <c r="M37" s="8"/>
      <c r="N37" s="8"/>
      <c r="O37" s="8"/>
      <c r="P37" s="8"/>
      <c r="Q37" s="8"/>
      <c r="R37" s="8"/>
      <c r="S37" s="8"/>
      <c r="T37" s="8"/>
      <c r="U37" s="8"/>
      <c r="V37" s="8"/>
      <c r="W37" s="8"/>
      <c r="X37" s="8"/>
      <c r="Y37" s="8"/>
      <c r="Z37" s="8"/>
    </row>
    <row r="38">
      <c r="A38" s="8"/>
      <c r="B38" s="8"/>
      <c r="C38" s="8"/>
      <c r="D38" s="8"/>
      <c r="E38" s="8"/>
      <c r="F38" s="8"/>
      <c r="G38" s="8"/>
      <c r="H38" s="8"/>
      <c r="I38" s="8"/>
      <c r="J38" s="8"/>
      <c r="K38" s="8"/>
      <c r="L38" s="8"/>
      <c r="M38" s="8"/>
      <c r="N38" s="8"/>
      <c r="O38" s="8"/>
      <c r="P38" s="8"/>
      <c r="Q38" s="8"/>
      <c r="R38" s="8"/>
      <c r="S38" s="8"/>
      <c r="T38" s="8"/>
      <c r="U38" s="8"/>
      <c r="V38" s="8"/>
      <c r="W38" s="8"/>
      <c r="X38" s="8"/>
      <c r="Y38" s="8"/>
      <c r="Z38" s="8"/>
    </row>
    <row r="39">
      <c r="A39" s="8"/>
      <c r="B39" s="8"/>
      <c r="C39" s="8"/>
      <c r="D39" s="8"/>
      <c r="E39" s="8"/>
      <c r="F39" s="8"/>
      <c r="G39" s="8"/>
      <c r="H39" s="8"/>
      <c r="I39" s="8"/>
      <c r="J39" s="8"/>
      <c r="K39" s="8"/>
      <c r="L39" s="8"/>
      <c r="M39" s="8"/>
      <c r="N39" s="8"/>
      <c r="O39" s="8"/>
      <c r="P39" s="8"/>
      <c r="Q39" s="8"/>
      <c r="R39" s="8"/>
      <c r="S39" s="8"/>
      <c r="T39" s="8"/>
      <c r="U39" s="8"/>
      <c r="V39" s="8"/>
      <c r="W39" s="8"/>
      <c r="X39" s="8"/>
      <c r="Y39" s="8"/>
      <c r="Z39" s="8"/>
    </row>
    <row r="40">
      <c r="A40" s="8"/>
      <c r="B40" s="8"/>
      <c r="C40" s="8"/>
      <c r="D40" s="8"/>
      <c r="E40" s="8"/>
      <c r="F40" s="8"/>
      <c r="G40" s="8"/>
      <c r="H40" s="8"/>
      <c r="I40" s="8"/>
      <c r="J40" s="8"/>
      <c r="K40" s="8"/>
      <c r="L40" s="8"/>
      <c r="M40" s="8"/>
      <c r="N40" s="8"/>
      <c r="O40" s="8"/>
      <c r="P40" s="8"/>
      <c r="Q40" s="8"/>
      <c r="R40" s="8"/>
      <c r="S40" s="8"/>
      <c r="T40" s="8"/>
      <c r="U40" s="8"/>
      <c r="V40" s="8"/>
      <c r="W40" s="8"/>
      <c r="X40" s="8"/>
      <c r="Y40" s="8"/>
      <c r="Z40" s="8"/>
    </row>
    <row r="41">
      <c r="A41" s="8"/>
      <c r="B41" s="8"/>
      <c r="C41" s="8"/>
      <c r="D41" s="8"/>
      <c r="E41" s="8"/>
      <c r="F41" s="8"/>
      <c r="G41" s="8"/>
      <c r="H41" s="8"/>
      <c r="I41" s="8"/>
      <c r="J41" s="8"/>
      <c r="K41" s="8"/>
      <c r="L41" s="8"/>
      <c r="M41" s="8"/>
      <c r="N41" s="8"/>
      <c r="O41" s="8"/>
      <c r="P41" s="8"/>
      <c r="Q41" s="8"/>
      <c r="R41" s="8"/>
      <c r="S41" s="8"/>
      <c r="T41" s="8"/>
      <c r="U41" s="8"/>
      <c r="V41" s="8"/>
      <c r="W41" s="8"/>
      <c r="X41" s="8"/>
      <c r="Y41" s="8"/>
      <c r="Z41" s="8"/>
    </row>
    <row r="42">
      <c r="A42" s="8"/>
      <c r="B42" s="8"/>
      <c r="C42" s="8"/>
      <c r="D42" s="8"/>
      <c r="E42" s="8"/>
      <c r="F42" s="8"/>
      <c r="G42" s="8"/>
      <c r="H42" s="8"/>
      <c r="I42" s="8"/>
      <c r="J42" s="8"/>
      <c r="K42" s="8"/>
      <c r="L42" s="8"/>
      <c r="M42" s="8"/>
      <c r="N42" s="8"/>
      <c r="O42" s="8"/>
      <c r="P42" s="8"/>
      <c r="Q42" s="8"/>
      <c r="R42" s="8"/>
      <c r="S42" s="8"/>
      <c r="T42" s="8"/>
      <c r="U42" s="8"/>
      <c r="V42" s="8"/>
      <c r="W42" s="8"/>
      <c r="X42" s="8"/>
      <c r="Y42" s="8"/>
      <c r="Z42" s="8"/>
    </row>
    <row r="43">
      <c r="A43" s="8"/>
      <c r="B43" s="8"/>
      <c r="C43" s="8"/>
      <c r="D43" s="8"/>
      <c r="E43" s="8"/>
      <c r="F43" s="8"/>
      <c r="G43" s="8"/>
      <c r="H43" s="8"/>
      <c r="I43" s="8"/>
      <c r="J43" s="8"/>
      <c r="K43" s="8"/>
      <c r="L43" s="8"/>
      <c r="M43" s="8"/>
      <c r="N43" s="8"/>
      <c r="O43" s="8"/>
      <c r="P43" s="8"/>
      <c r="Q43" s="8"/>
      <c r="R43" s="8"/>
      <c r="S43" s="8"/>
      <c r="T43" s="8"/>
      <c r="U43" s="8"/>
      <c r="V43" s="8"/>
      <c r="W43" s="8"/>
      <c r="X43" s="8"/>
      <c r="Y43" s="8"/>
      <c r="Z43" s="8"/>
    </row>
    <row r="44">
      <c r="A44" s="8"/>
      <c r="B44" s="8"/>
      <c r="C44" s="8"/>
      <c r="D44" s="8"/>
      <c r="E44" s="8"/>
      <c r="F44" s="8"/>
      <c r="G44" s="8"/>
      <c r="H44" s="8"/>
      <c r="I44" s="8"/>
      <c r="J44" s="8"/>
      <c r="K44" s="8"/>
      <c r="L44" s="8"/>
      <c r="M44" s="8"/>
      <c r="N44" s="8"/>
      <c r="O44" s="8"/>
      <c r="P44" s="8"/>
      <c r="Q44" s="8"/>
      <c r="R44" s="8"/>
      <c r="S44" s="8"/>
      <c r="T44" s="8"/>
      <c r="U44" s="8"/>
      <c r="V44" s="8"/>
      <c r="W44" s="8"/>
      <c r="X44" s="8"/>
      <c r="Y44" s="8"/>
      <c r="Z44" s="8"/>
    </row>
    <row r="45">
      <c r="A45" s="8"/>
      <c r="B45" s="8"/>
      <c r="C45" s="8"/>
      <c r="D45" s="8"/>
      <c r="E45" s="8"/>
      <c r="F45" s="8"/>
      <c r="G45" s="8"/>
      <c r="H45" s="8"/>
      <c r="I45" s="8"/>
      <c r="J45" s="8"/>
      <c r="K45" s="8"/>
      <c r="L45" s="8"/>
      <c r="M45" s="8"/>
      <c r="N45" s="8"/>
      <c r="O45" s="8"/>
      <c r="P45" s="8"/>
      <c r="Q45" s="8"/>
      <c r="R45" s="8"/>
      <c r="S45" s="8"/>
      <c r="T45" s="8"/>
      <c r="U45" s="8"/>
      <c r="V45" s="8"/>
      <c r="W45" s="8"/>
      <c r="X45" s="8"/>
      <c r="Y45" s="8"/>
      <c r="Z45" s="8"/>
    </row>
    <row r="46">
      <c r="A46" s="8"/>
      <c r="B46" s="8"/>
      <c r="C46" s="8"/>
      <c r="D46" s="8"/>
      <c r="E46" s="8"/>
      <c r="F46" s="8"/>
      <c r="G46" s="8"/>
      <c r="H46" s="8"/>
      <c r="I46" s="8"/>
      <c r="J46" s="8"/>
      <c r="K46" s="8"/>
      <c r="L46" s="8"/>
      <c r="M46" s="8"/>
      <c r="N46" s="8"/>
      <c r="O46" s="8"/>
      <c r="P46" s="8"/>
      <c r="Q46" s="8"/>
      <c r="R46" s="8"/>
      <c r="S46" s="8"/>
      <c r="T46" s="8"/>
      <c r="U46" s="8"/>
      <c r="V46" s="8"/>
      <c r="W46" s="8"/>
      <c r="X46" s="8"/>
      <c r="Y46" s="8"/>
      <c r="Z46" s="8"/>
    </row>
    <row r="47">
      <c r="A47" s="8"/>
      <c r="B47" s="8"/>
      <c r="C47" s="8"/>
      <c r="D47" s="8"/>
      <c r="E47" s="8"/>
      <c r="F47" s="8"/>
      <c r="G47" s="8"/>
      <c r="H47" s="8"/>
      <c r="I47" s="8"/>
      <c r="J47" s="8"/>
      <c r="K47" s="8"/>
      <c r="L47" s="8"/>
      <c r="M47" s="8"/>
      <c r="N47" s="8"/>
      <c r="O47" s="8"/>
      <c r="P47" s="8"/>
      <c r="Q47" s="8"/>
      <c r="R47" s="8"/>
      <c r="S47" s="8"/>
      <c r="T47" s="8"/>
      <c r="U47" s="8"/>
      <c r="V47" s="8"/>
      <c r="W47" s="8"/>
      <c r="X47" s="8"/>
      <c r="Y47" s="8"/>
      <c r="Z47" s="8"/>
    </row>
    <row r="48">
      <c r="A48" s="8"/>
      <c r="B48" s="8"/>
      <c r="C48" s="8"/>
      <c r="D48" s="8"/>
      <c r="E48" s="8"/>
      <c r="F48" s="8"/>
      <c r="G48" s="8"/>
      <c r="H48" s="8"/>
      <c r="I48" s="8"/>
      <c r="J48" s="8"/>
      <c r="K48" s="8"/>
      <c r="L48" s="8"/>
      <c r="M48" s="8"/>
      <c r="N48" s="8"/>
      <c r="O48" s="8"/>
      <c r="P48" s="8"/>
      <c r="Q48" s="8"/>
      <c r="R48" s="8"/>
      <c r="S48" s="8"/>
      <c r="T48" s="8"/>
      <c r="U48" s="8"/>
      <c r="V48" s="8"/>
      <c r="W48" s="8"/>
      <c r="X48" s="8"/>
      <c r="Y48" s="8"/>
      <c r="Z48" s="8"/>
    </row>
    <row r="49">
      <c r="A49" s="8"/>
      <c r="B49" s="8"/>
      <c r="C49" s="8"/>
      <c r="D49" s="8"/>
      <c r="E49" s="8"/>
      <c r="F49" s="8"/>
      <c r="G49" s="8"/>
      <c r="H49" s="8"/>
      <c r="I49" s="8"/>
      <c r="J49" s="8"/>
      <c r="K49" s="8"/>
      <c r="L49" s="8"/>
      <c r="M49" s="8"/>
      <c r="N49" s="8"/>
      <c r="O49" s="8"/>
      <c r="P49" s="8"/>
      <c r="Q49" s="8"/>
      <c r="R49" s="8"/>
      <c r="S49" s="8"/>
      <c r="T49" s="8"/>
      <c r="U49" s="8"/>
      <c r="V49" s="8"/>
      <c r="W49" s="8"/>
      <c r="X49" s="8"/>
      <c r="Y49" s="8"/>
      <c r="Z49" s="8"/>
    </row>
    <row r="50">
      <c r="A50" s="8"/>
      <c r="B50" s="8"/>
      <c r="C50" s="8"/>
      <c r="D50" s="8"/>
      <c r="E50" s="8"/>
      <c r="F50" s="8"/>
      <c r="G50" s="8"/>
      <c r="H50" s="8"/>
      <c r="I50" s="8"/>
      <c r="J50" s="8"/>
      <c r="K50" s="8"/>
      <c r="L50" s="8"/>
      <c r="M50" s="8"/>
      <c r="N50" s="8"/>
      <c r="O50" s="8"/>
      <c r="P50" s="8"/>
      <c r="Q50" s="8"/>
      <c r="R50" s="8"/>
      <c r="S50" s="8"/>
      <c r="T50" s="8"/>
      <c r="U50" s="8"/>
      <c r="V50" s="8"/>
      <c r="W50" s="8"/>
      <c r="X50" s="8"/>
      <c r="Y50" s="8"/>
      <c r="Z50" s="8"/>
    </row>
    <row r="51">
      <c r="A51" s="8"/>
      <c r="B51" s="8"/>
      <c r="C51" s="8"/>
      <c r="D51" s="8"/>
      <c r="E51" s="8"/>
      <c r="F51" s="8"/>
      <c r="G51" s="8"/>
      <c r="H51" s="8"/>
      <c r="I51" s="8"/>
      <c r="J51" s="8"/>
      <c r="K51" s="8"/>
      <c r="L51" s="8"/>
      <c r="M51" s="8"/>
      <c r="N51" s="8"/>
      <c r="O51" s="8"/>
      <c r="P51" s="8"/>
      <c r="Q51" s="8"/>
      <c r="R51" s="8"/>
      <c r="S51" s="8"/>
      <c r="T51" s="8"/>
      <c r="U51" s="8"/>
      <c r="V51" s="8"/>
      <c r="W51" s="8"/>
      <c r="X51" s="8"/>
      <c r="Y51" s="8"/>
      <c r="Z51" s="8"/>
    </row>
    <row r="52">
      <c r="A52" s="8"/>
      <c r="B52" s="8"/>
      <c r="C52" s="8"/>
      <c r="D52" s="8"/>
      <c r="E52" s="8"/>
      <c r="F52" s="8"/>
      <c r="G52" s="8"/>
      <c r="H52" s="8"/>
      <c r="I52" s="8"/>
      <c r="J52" s="8"/>
      <c r="K52" s="8"/>
      <c r="L52" s="8"/>
      <c r="M52" s="8"/>
      <c r="N52" s="8"/>
      <c r="O52" s="8"/>
      <c r="P52" s="8"/>
      <c r="Q52" s="8"/>
      <c r="R52" s="8"/>
      <c r="S52" s="8"/>
      <c r="T52" s="8"/>
      <c r="U52" s="8"/>
      <c r="V52" s="8"/>
      <c r="W52" s="8"/>
      <c r="X52" s="8"/>
      <c r="Y52" s="8"/>
      <c r="Z52" s="8"/>
    </row>
    <row r="53">
      <c r="A53" s="8"/>
      <c r="B53" s="8"/>
      <c r="C53" s="8"/>
      <c r="D53" s="8"/>
      <c r="E53" s="8"/>
      <c r="F53" s="8"/>
      <c r="G53" s="8"/>
      <c r="H53" s="8"/>
      <c r="I53" s="8"/>
      <c r="J53" s="8"/>
      <c r="K53" s="8"/>
      <c r="L53" s="8"/>
      <c r="M53" s="8"/>
      <c r="N53" s="8"/>
      <c r="O53" s="8"/>
      <c r="P53" s="8"/>
      <c r="Q53" s="8"/>
      <c r="R53" s="8"/>
      <c r="S53" s="8"/>
      <c r="T53" s="8"/>
      <c r="U53" s="8"/>
      <c r="V53" s="8"/>
      <c r="W53" s="8"/>
      <c r="X53" s="8"/>
      <c r="Y53" s="8"/>
      <c r="Z53" s="8"/>
    </row>
    <row r="54">
      <c r="A54" s="8"/>
      <c r="B54" s="8"/>
      <c r="C54" s="8"/>
      <c r="D54" s="8"/>
      <c r="E54" s="8"/>
      <c r="F54" s="8"/>
      <c r="G54" s="8"/>
      <c r="H54" s="8"/>
      <c r="I54" s="8"/>
      <c r="J54" s="8"/>
      <c r="K54" s="8"/>
      <c r="L54" s="8"/>
      <c r="M54" s="8"/>
      <c r="N54" s="8"/>
      <c r="O54" s="8"/>
      <c r="P54" s="8"/>
      <c r="Q54" s="8"/>
      <c r="R54" s="8"/>
      <c r="S54" s="8"/>
      <c r="T54" s="8"/>
      <c r="U54" s="8"/>
      <c r="V54" s="8"/>
      <c r="W54" s="8"/>
      <c r="X54" s="8"/>
      <c r="Y54" s="8"/>
      <c r="Z54" s="8"/>
    </row>
    <row r="55">
      <c r="A55" s="8"/>
      <c r="B55" s="8"/>
      <c r="C55" s="8"/>
      <c r="D55" s="8"/>
      <c r="E55" s="8"/>
      <c r="F55" s="8"/>
      <c r="G55" s="8"/>
      <c r="H55" s="8"/>
      <c r="I55" s="8"/>
      <c r="J55" s="8"/>
      <c r="K55" s="8"/>
      <c r="L55" s="8"/>
      <c r="M55" s="8"/>
      <c r="N55" s="8"/>
      <c r="O55" s="8"/>
      <c r="P55" s="8"/>
      <c r="Q55" s="8"/>
      <c r="R55" s="8"/>
      <c r="S55" s="8"/>
      <c r="T55" s="8"/>
      <c r="U55" s="8"/>
      <c r="V55" s="8"/>
      <c r="W55" s="8"/>
      <c r="X55" s="8"/>
      <c r="Y55" s="8"/>
      <c r="Z55" s="8"/>
    </row>
    <row r="56">
      <c r="A56" s="8"/>
      <c r="B56" s="8"/>
      <c r="C56" s="8"/>
      <c r="D56" s="8"/>
      <c r="E56" s="8"/>
      <c r="F56" s="8"/>
      <c r="G56" s="8"/>
      <c r="H56" s="8"/>
      <c r="I56" s="8"/>
      <c r="J56" s="8"/>
      <c r="K56" s="8"/>
      <c r="L56" s="8"/>
      <c r="M56" s="8"/>
      <c r="N56" s="8"/>
      <c r="O56" s="8"/>
      <c r="P56" s="8"/>
      <c r="Q56" s="8"/>
      <c r="R56" s="8"/>
      <c r="S56" s="8"/>
      <c r="T56" s="8"/>
      <c r="U56" s="8"/>
      <c r="V56" s="8"/>
      <c r="W56" s="8"/>
      <c r="X56" s="8"/>
      <c r="Y56" s="8"/>
      <c r="Z56" s="8"/>
    </row>
    <row r="57">
      <c r="A57" s="8"/>
      <c r="B57" s="8"/>
      <c r="C57" s="8"/>
      <c r="D57" s="8"/>
      <c r="E57" s="8"/>
      <c r="F57" s="8"/>
      <c r="G57" s="8"/>
      <c r="H57" s="8"/>
      <c r="I57" s="8"/>
      <c r="J57" s="8"/>
      <c r="K57" s="8"/>
      <c r="L57" s="8"/>
      <c r="M57" s="8"/>
      <c r="N57" s="8"/>
      <c r="O57" s="8"/>
      <c r="P57" s="8"/>
      <c r="Q57" s="8"/>
      <c r="R57" s="8"/>
      <c r="S57" s="8"/>
      <c r="T57" s="8"/>
      <c r="U57" s="8"/>
      <c r="V57" s="8"/>
      <c r="W57" s="8"/>
      <c r="X57" s="8"/>
      <c r="Y57" s="8"/>
      <c r="Z57" s="8"/>
    </row>
    <row r="58">
      <c r="A58" s="8"/>
      <c r="B58" s="8"/>
      <c r="C58" s="8"/>
      <c r="D58" s="8"/>
      <c r="E58" s="8"/>
      <c r="F58" s="8"/>
      <c r="G58" s="8"/>
      <c r="H58" s="8"/>
      <c r="I58" s="8"/>
      <c r="J58" s="8"/>
      <c r="K58" s="8"/>
      <c r="L58" s="8"/>
      <c r="M58" s="8"/>
      <c r="N58" s="8"/>
      <c r="O58" s="8"/>
      <c r="P58" s="8"/>
      <c r="Q58" s="8"/>
      <c r="R58" s="8"/>
      <c r="S58" s="8"/>
      <c r="T58" s="8"/>
      <c r="U58" s="8"/>
      <c r="V58" s="8"/>
      <c r="W58" s="8"/>
      <c r="X58" s="8"/>
      <c r="Y58" s="8"/>
      <c r="Z58" s="8"/>
    </row>
    <row r="59">
      <c r="A59" s="8"/>
      <c r="B59" s="8"/>
      <c r="C59" s="8"/>
      <c r="D59" s="8"/>
      <c r="E59" s="8"/>
      <c r="F59" s="8"/>
      <c r="G59" s="8"/>
      <c r="H59" s="8"/>
      <c r="I59" s="8"/>
      <c r="J59" s="8"/>
      <c r="K59" s="8"/>
      <c r="L59" s="8"/>
      <c r="M59" s="8"/>
      <c r="N59" s="8"/>
      <c r="O59" s="8"/>
      <c r="P59" s="8"/>
      <c r="Q59" s="8"/>
      <c r="R59" s="8"/>
      <c r="S59" s="8"/>
      <c r="T59" s="8"/>
      <c r="U59" s="8"/>
      <c r="V59" s="8"/>
      <c r="W59" s="8"/>
      <c r="X59" s="8"/>
      <c r="Y59" s="8"/>
      <c r="Z59" s="8"/>
    </row>
    <row r="60">
      <c r="A60" s="8"/>
      <c r="B60" s="8"/>
      <c r="C60" s="8"/>
      <c r="D60" s="8"/>
      <c r="E60" s="8"/>
      <c r="F60" s="8"/>
      <c r="G60" s="8"/>
      <c r="H60" s="8"/>
      <c r="I60" s="8"/>
      <c r="J60" s="8"/>
      <c r="K60" s="8"/>
      <c r="L60" s="8"/>
      <c r="M60" s="8"/>
      <c r="N60" s="8"/>
      <c r="O60" s="8"/>
      <c r="P60" s="8"/>
      <c r="Q60" s="8"/>
      <c r="R60" s="8"/>
      <c r="S60" s="8"/>
      <c r="T60" s="8"/>
      <c r="U60" s="8"/>
      <c r="V60" s="8"/>
      <c r="W60" s="8"/>
      <c r="X60" s="8"/>
      <c r="Y60" s="8"/>
      <c r="Z60" s="8"/>
    </row>
    <row r="61">
      <c r="A61" s="8"/>
      <c r="B61" s="8"/>
      <c r="C61" s="8"/>
      <c r="D61" s="8"/>
      <c r="E61" s="8"/>
      <c r="F61" s="8"/>
      <c r="G61" s="8"/>
      <c r="H61" s="8"/>
      <c r="I61" s="8"/>
      <c r="J61" s="8"/>
      <c r="K61" s="8"/>
      <c r="L61" s="8"/>
      <c r="M61" s="8"/>
      <c r="N61" s="8"/>
      <c r="O61" s="8"/>
      <c r="P61" s="8"/>
      <c r="Q61" s="8"/>
      <c r="R61" s="8"/>
      <c r="S61" s="8"/>
      <c r="T61" s="8"/>
      <c r="U61" s="8"/>
      <c r="V61" s="8"/>
      <c r="W61" s="8"/>
      <c r="X61" s="8"/>
      <c r="Y61" s="8"/>
      <c r="Z61" s="8"/>
    </row>
    <row r="62">
      <c r="A62" s="8"/>
      <c r="B62" s="8"/>
      <c r="C62" s="8"/>
      <c r="D62" s="8"/>
      <c r="E62" s="8"/>
      <c r="F62" s="8"/>
      <c r="G62" s="8"/>
      <c r="H62" s="8"/>
      <c r="I62" s="8"/>
      <c r="J62" s="8"/>
      <c r="K62" s="8"/>
      <c r="L62" s="8"/>
      <c r="M62" s="8"/>
      <c r="N62" s="8"/>
      <c r="O62" s="8"/>
      <c r="P62" s="8"/>
      <c r="Q62" s="8"/>
      <c r="R62" s="8"/>
      <c r="S62" s="8"/>
      <c r="T62" s="8"/>
      <c r="U62" s="8"/>
      <c r="V62" s="8"/>
      <c r="W62" s="8"/>
      <c r="X62" s="8"/>
      <c r="Y62" s="8"/>
      <c r="Z62" s="8"/>
    </row>
    <row r="63">
      <c r="A63" s="8"/>
      <c r="B63" s="8"/>
      <c r="C63" s="8"/>
      <c r="D63" s="8"/>
      <c r="E63" s="8"/>
      <c r="F63" s="8"/>
      <c r="G63" s="8"/>
      <c r="H63" s="8"/>
      <c r="I63" s="8"/>
      <c r="J63" s="8"/>
      <c r="K63" s="8"/>
      <c r="L63" s="8"/>
      <c r="M63" s="8"/>
      <c r="N63" s="8"/>
      <c r="O63" s="8"/>
      <c r="P63" s="8"/>
      <c r="Q63" s="8"/>
      <c r="R63" s="8"/>
      <c r="S63" s="8"/>
      <c r="T63" s="8"/>
      <c r="U63" s="8"/>
      <c r="V63" s="8"/>
      <c r="W63" s="8"/>
      <c r="X63" s="8"/>
      <c r="Y63" s="8"/>
      <c r="Z63" s="8"/>
    </row>
    <row r="64">
      <c r="A64" s="8"/>
      <c r="B64" s="8"/>
      <c r="C64" s="8"/>
      <c r="D64" s="8"/>
      <c r="E64" s="8"/>
      <c r="F64" s="8"/>
      <c r="G64" s="8"/>
      <c r="H64" s="8"/>
      <c r="I64" s="8"/>
      <c r="J64" s="8"/>
      <c r="K64" s="8"/>
      <c r="L64" s="8"/>
      <c r="M64" s="8"/>
      <c r="N64" s="8"/>
      <c r="O64" s="8"/>
      <c r="P64" s="8"/>
      <c r="Q64" s="8"/>
      <c r="R64" s="8"/>
      <c r="S64" s="8"/>
      <c r="T64" s="8"/>
      <c r="U64" s="8"/>
      <c r="V64" s="8"/>
      <c r="W64" s="8"/>
      <c r="X64" s="8"/>
      <c r="Y64" s="8"/>
      <c r="Z64" s="8"/>
    </row>
    <row r="65">
      <c r="A65" s="8"/>
      <c r="B65" s="8"/>
      <c r="C65" s="8"/>
      <c r="D65" s="8"/>
      <c r="E65" s="8"/>
      <c r="F65" s="8"/>
      <c r="G65" s="8"/>
      <c r="H65" s="8"/>
      <c r="I65" s="8"/>
      <c r="J65" s="8"/>
      <c r="K65" s="8"/>
      <c r="L65" s="8"/>
      <c r="M65" s="8"/>
      <c r="N65" s="8"/>
      <c r="O65" s="8"/>
      <c r="P65" s="8"/>
      <c r="Q65" s="8"/>
      <c r="R65" s="8"/>
      <c r="S65" s="8"/>
      <c r="T65" s="8"/>
      <c r="U65" s="8"/>
      <c r="V65" s="8"/>
      <c r="W65" s="8"/>
      <c r="X65" s="8"/>
      <c r="Y65" s="8"/>
      <c r="Z65" s="8"/>
    </row>
    <row r="66">
      <c r="A66" s="8"/>
      <c r="B66" s="8"/>
      <c r="C66" s="8"/>
      <c r="D66" s="8"/>
      <c r="E66" s="8"/>
      <c r="F66" s="8"/>
      <c r="G66" s="8"/>
      <c r="H66" s="8"/>
      <c r="I66" s="8"/>
      <c r="J66" s="8"/>
      <c r="K66" s="8"/>
      <c r="L66" s="8"/>
      <c r="M66" s="8"/>
      <c r="N66" s="8"/>
      <c r="O66" s="8"/>
      <c r="P66" s="8"/>
      <c r="Q66" s="8"/>
      <c r="R66" s="8"/>
      <c r="S66" s="8"/>
      <c r="T66" s="8"/>
      <c r="U66" s="8"/>
      <c r="V66" s="8"/>
      <c r="W66" s="8"/>
      <c r="X66" s="8"/>
      <c r="Y66" s="8"/>
      <c r="Z66" s="8"/>
    </row>
    <row r="67">
      <c r="A67" s="8"/>
      <c r="B67" s="8"/>
      <c r="C67" s="8"/>
      <c r="D67" s="8"/>
      <c r="E67" s="8"/>
      <c r="F67" s="8"/>
      <c r="G67" s="8"/>
      <c r="H67" s="8"/>
      <c r="I67" s="8"/>
      <c r="J67" s="8"/>
      <c r="K67" s="8"/>
      <c r="L67" s="8"/>
      <c r="M67" s="8"/>
      <c r="N67" s="8"/>
      <c r="O67" s="8"/>
      <c r="P67" s="8"/>
      <c r="Q67" s="8"/>
      <c r="R67" s="8"/>
      <c r="S67" s="8"/>
      <c r="T67" s="8"/>
      <c r="U67" s="8"/>
      <c r="V67" s="8"/>
      <c r="W67" s="8"/>
      <c r="X67" s="8"/>
      <c r="Y67" s="8"/>
      <c r="Z67" s="8"/>
    </row>
    <row r="68">
      <c r="A68" s="8"/>
      <c r="B68" s="8"/>
      <c r="C68" s="8"/>
      <c r="D68" s="8"/>
      <c r="E68" s="8"/>
      <c r="F68" s="8"/>
      <c r="G68" s="8"/>
      <c r="H68" s="8"/>
      <c r="I68" s="8"/>
      <c r="J68" s="8"/>
      <c r="K68" s="8"/>
      <c r="L68" s="8"/>
      <c r="M68" s="8"/>
      <c r="N68" s="8"/>
      <c r="O68" s="8"/>
      <c r="P68" s="8"/>
      <c r="Q68" s="8"/>
      <c r="R68" s="8"/>
      <c r="S68" s="8"/>
      <c r="T68" s="8"/>
      <c r="U68" s="8"/>
      <c r="V68" s="8"/>
      <c r="W68" s="8"/>
      <c r="X68" s="8"/>
      <c r="Y68" s="8"/>
      <c r="Z68" s="8"/>
    </row>
    <row r="69">
      <c r="A69" s="8"/>
      <c r="B69" s="8"/>
      <c r="C69" s="8"/>
      <c r="D69" s="8"/>
      <c r="E69" s="8"/>
      <c r="F69" s="8"/>
      <c r="G69" s="8"/>
      <c r="H69" s="8"/>
      <c r="I69" s="8"/>
      <c r="J69" s="8"/>
      <c r="K69" s="8"/>
      <c r="L69" s="8"/>
      <c r="M69" s="8"/>
      <c r="N69" s="8"/>
      <c r="O69" s="8"/>
      <c r="P69" s="8"/>
      <c r="Q69" s="8"/>
      <c r="R69" s="8"/>
      <c r="S69" s="8"/>
      <c r="T69" s="8"/>
      <c r="U69" s="8"/>
      <c r="V69" s="8"/>
      <c r="W69" s="8"/>
      <c r="X69" s="8"/>
      <c r="Y69" s="8"/>
      <c r="Z69" s="8"/>
    </row>
    <row r="70">
      <c r="A70" s="8"/>
      <c r="B70" s="8"/>
      <c r="C70" s="8"/>
      <c r="D70" s="8"/>
      <c r="E70" s="8"/>
      <c r="F70" s="8"/>
      <c r="G70" s="8"/>
      <c r="H70" s="8"/>
      <c r="I70" s="8"/>
      <c r="J70" s="8"/>
      <c r="K70" s="8"/>
      <c r="L70" s="8"/>
      <c r="M70" s="8"/>
      <c r="N70" s="8"/>
      <c r="O70" s="8"/>
      <c r="P70" s="8"/>
      <c r="Q70" s="8"/>
      <c r="R70" s="8"/>
      <c r="S70" s="8"/>
      <c r="T70" s="8"/>
      <c r="U70" s="8"/>
      <c r="V70" s="8"/>
      <c r="W70" s="8"/>
      <c r="X70" s="8"/>
      <c r="Y70" s="8"/>
      <c r="Z70" s="8"/>
    </row>
    <row r="71">
      <c r="A71" s="8"/>
      <c r="B71" s="8"/>
      <c r="C71" s="8"/>
      <c r="D71" s="8"/>
      <c r="E71" s="8"/>
      <c r="F71" s="8"/>
      <c r="G71" s="8"/>
      <c r="H71" s="8"/>
      <c r="I71" s="8"/>
      <c r="J71" s="8"/>
      <c r="K71" s="8"/>
      <c r="L71" s="8"/>
      <c r="M71" s="8"/>
      <c r="N71" s="8"/>
      <c r="O71" s="8"/>
      <c r="P71" s="8"/>
      <c r="Q71" s="8"/>
      <c r="R71" s="8"/>
      <c r="S71" s="8"/>
      <c r="T71" s="8"/>
      <c r="U71" s="8"/>
      <c r="V71" s="8"/>
      <c r="W71" s="8"/>
      <c r="X71" s="8"/>
      <c r="Y71" s="8"/>
      <c r="Z71" s="8"/>
    </row>
    <row r="72">
      <c r="A72" s="8"/>
      <c r="B72" s="8"/>
      <c r="C72" s="8"/>
      <c r="D72" s="8"/>
      <c r="E72" s="8"/>
      <c r="F72" s="8"/>
      <c r="G72" s="8"/>
      <c r="H72" s="8"/>
      <c r="I72" s="8"/>
      <c r="J72" s="8"/>
      <c r="K72" s="8"/>
      <c r="L72" s="8"/>
      <c r="M72" s="8"/>
      <c r="N72" s="8"/>
      <c r="O72" s="8"/>
      <c r="P72" s="8"/>
      <c r="Q72" s="8"/>
      <c r="R72" s="8"/>
      <c r="S72" s="8"/>
      <c r="T72" s="8"/>
      <c r="U72" s="8"/>
      <c r="V72" s="8"/>
      <c r="W72" s="8"/>
      <c r="X72" s="8"/>
      <c r="Y72" s="8"/>
      <c r="Z72" s="8"/>
    </row>
    <row r="73">
      <c r="A73" s="8"/>
      <c r="B73" s="8"/>
      <c r="C73" s="8"/>
      <c r="D73" s="8"/>
      <c r="E73" s="8"/>
      <c r="F73" s="8"/>
      <c r="G73" s="8"/>
      <c r="H73" s="8"/>
      <c r="I73" s="8"/>
      <c r="J73" s="8"/>
      <c r="K73" s="8"/>
      <c r="L73" s="8"/>
      <c r="M73" s="8"/>
      <c r="N73" s="8"/>
      <c r="O73" s="8"/>
      <c r="P73" s="8"/>
      <c r="Q73" s="8"/>
      <c r="R73" s="8"/>
      <c r="S73" s="8"/>
      <c r="T73" s="8"/>
      <c r="U73" s="8"/>
      <c r="V73" s="8"/>
      <c r="W73" s="8"/>
      <c r="X73" s="8"/>
      <c r="Y73" s="8"/>
      <c r="Z73" s="8"/>
    </row>
    <row r="74">
      <c r="A74" s="8"/>
      <c r="B74" s="8"/>
      <c r="C74" s="8"/>
      <c r="D74" s="8"/>
      <c r="E74" s="8"/>
      <c r="F74" s="8"/>
      <c r="G74" s="8"/>
      <c r="H74" s="8"/>
      <c r="I74" s="8"/>
      <c r="J74" s="8"/>
      <c r="K74" s="8"/>
      <c r="L74" s="8"/>
      <c r="M74" s="8"/>
      <c r="N74" s="8"/>
      <c r="O74" s="8"/>
      <c r="P74" s="8"/>
      <c r="Q74" s="8"/>
      <c r="R74" s="8"/>
      <c r="S74" s="8"/>
      <c r="T74" s="8"/>
      <c r="U74" s="8"/>
      <c r="V74" s="8"/>
      <c r="W74" s="8"/>
      <c r="X74" s="8"/>
      <c r="Y74" s="8"/>
      <c r="Z74" s="8"/>
    </row>
    <row r="75">
      <c r="A75" s="8"/>
      <c r="B75" s="8"/>
      <c r="C75" s="8"/>
      <c r="D75" s="8"/>
      <c r="E75" s="8"/>
      <c r="F75" s="8"/>
      <c r="G75" s="8"/>
      <c r="H75" s="8"/>
      <c r="I75" s="8"/>
      <c r="J75" s="8"/>
      <c r="K75" s="8"/>
      <c r="L75" s="8"/>
      <c r="M75" s="8"/>
      <c r="N75" s="8"/>
      <c r="O75" s="8"/>
      <c r="P75" s="8"/>
      <c r="Q75" s="8"/>
      <c r="R75" s="8"/>
      <c r="S75" s="8"/>
      <c r="T75" s="8"/>
      <c r="U75" s="8"/>
      <c r="V75" s="8"/>
      <c r="W75" s="8"/>
      <c r="X75" s="8"/>
      <c r="Y75" s="8"/>
      <c r="Z75" s="8"/>
    </row>
    <row r="76">
      <c r="A76" s="8"/>
      <c r="B76" s="8"/>
      <c r="C76" s="8"/>
      <c r="D76" s="8"/>
      <c r="E76" s="8"/>
      <c r="F76" s="8"/>
      <c r="G76" s="8"/>
      <c r="H76" s="8"/>
      <c r="I76" s="8"/>
      <c r="J76" s="8"/>
      <c r="K76" s="8"/>
      <c r="L76" s="8"/>
      <c r="M76" s="8"/>
      <c r="N76" s="8"/>
      <c r="O76" s="8"/>
      <c r="P76" s="8"/>
      <c r="Q76" s="8"/>
      <c r="R76" s="8"/>
      <c r="S76" s="8"/>
      <c r="T76" s="8"/>
      <c r="U76" s="8"/>
      <c r="V76" s="8"/>
      <c r="W76" s="8"/>
      <c r="X76" s="8"/>
      <c r="Y76" s="8"/>
      <c r="Z76" s="8"/>
    </row>
    <row r="77">
      <c r="A77" s="8"/>
      <c r="B77" s="8"/>
      <c r="C77" s="8"/>
      <c r="D77" s="8"/>
      <c r="E77" s="8"/>
      <c r="F77" s="8"/>
      <c r="G77" s="8"/>
      <c r="H77" s="8"/>
      <c r="I77" s="8"/>
      <c r="J77" s="8"/>
      <c r="K77" s="8"/>
      <c r="L77" s="8"/>
      <c r="M77" s="8"/>
      <c r="N77" s="8"/>
      <c r="O77" s="8"/>
      <c r="P77" s="8"/>
      <c r="Q77" s="8"/>
      <c r="R77" s="8"/>
      <c r="S77" s="8"/>
      <c r="T77" s="8"/>
      <c r="U77" s="8"/>
      <c r="V77" s="8"/>
      <c r="W77" s="8"/>
      <c r="X77" s="8"/>
      <c r="Y77" s="8"/>
      <c r="Z77" s="8"/>
    </row>
    <row r="78">
      <c r="A78" s="8"/>
      <c r="B78" s="8"/>
      <c r="C78" s="8"/>
      <c r="D78" s="8"/>
      <c r="E78" s="8"/>
      <c r="F78" s="8"/>
      <c r="G78" s="8"/>
      <c r="H78" s="8"/>
      <c r="I78" s="8"/>
      <c r="J78" s="8"/>
      <c r="K78" s="8"/>
      <c r="L78" s="8"/>
      <c r="M78" s="8"/>
      <c r="N78" s="8"/>
      <c r="O78" s="8"/>
      <c r="P78" s="8"/>
      <c r="Q78" s="8"/>
      <c r="R78" s="8"/>
      <c r="S78" s="8"/>
      <c r="T78" s="8"/>
      <c r="U78" s="8"/>
      <c r="V78" s="8"/>
      <c r="W78" s="8"/>
      <c r="X78" s="8"/>
      <c r="Y78" s="8"/>
      <c r="Z78" s="8"/>
    </row>
    <row r="79">
      <c r="A79" s="8"/>
      <c r="B79" s="8"/>
      <c r="C79" s="8"/>
      <c r="D79" s="8"/>
      <c r="E79" s="8"/>
      <c r="F79" s="8"/>
      <c r="G79" s="8"/>
      <c r="H79" s="8"/>
      <c r="I79" s="8"/>
      <c r="J79" s="8"/>
      <c r="K79" s="8"/>
      <c r="L79" s="8"/>
      <c r="M79" s="8"/>
      <c r="N79" s="8"/>
      <c r="O79" s="8"/>
      <c r="P79" s="8"/>
      <c r="Q79" s="8"/>
      <c r="R79" s="8"/>
      <c r="S79" s="8"/>
      <c r="T79" s="8"/>
      <c r="U79" s="8"/>
      <c r="V79" s="8"/>
      <c r="W79" s="8"/>
      <c r="X79" s="8"/>
      <c r="Y79" s="8"/>
      <c r="Z79" s="8"/>
    </row>
    <row r="80">
      <c r="A80" s="8"/>
      <c r="B80" s="8"/>
      <c r="C80" s="8"/>
      <c r="D80" s="8"/>
      <c r="E80" s="8"/>
      <c r="F80" s="8"/>
      <c r="G80" s="8"/>
      <c r="H80" s="8"/>
      <c r="I80" s="8"/>
      <c r="J80" s="8"/>
      <c r="K80" s="8"/>
      <c r="L80" s="8"/>
      <c r="M80" s="8"/>
      <c r="N80" s="8"/>
      <c r="O80" s="8"/>
      <c r="P80" s="8"/>
      <c r="Q80" s="8"/>
      <c r="R80" s="8"/>
      <c r="S80" s="8"/>
      <c r="T80" s="8"/>
      <c r="U80" s="8"/>
      <c r="V80" s="8"/>
      <c r="W80" s="8"/>
      <c r="X80" s="8"/>
      <c r="Y80" s="8"/>
      <c r="Z80" s="8"/>
    </row>
    <row r="81">
      <c r="A81" s="8"/>
      <c r="B81" s="8"/>
      <c r="C81" s="8"/>
      <c r="D81" s="8"/>
      <c r="E81" s="8"/>
      <c r="F81" s="8"/>
      <c r="G81" s="8"/>
      <c r="H81" s="8"/>
      <c r="I81" s="8"/>
      <c r="J81" s="8"/>
      <c r="K81" s="8"/>
      <c r="L81" s="8"/>
      <c r="M81" s="8"/>
      <c r="N81" s="8"/>
      <c r="O81" s="8"/>
      <c r="P81" s="8"/>
      <c r="Q81" s="8"/>
      <c r="R81" s="8"/>
      <c r="S81" s="8"/>
      <c r="T81" s="8"/>
      <c r="U81" s="8"/>
      <c r="V81" s="8"/>
      <c r="W81" s="8"/>
      <c r="X81" s="8"/>
      <c r="Y81" s="8"/>
      <c r="Z81" s="8"/>
    </row>
    <row r="82">
      <c r="A82" s="8"/>
      <c r="B82" s="8"/>
      <c r="C82" s="8"/>
      <c r="D82" s="8"/>
      <c r="E82" s="8"/>
      <c r="F82" s="8"/>
      <c r="G82" s="8"/>
      <c r="H82" s="8"/>
      <c r="I82" s="8"/>
      <c r="J82" s="8"/>
      <c r="K82" s="8"/>
      <c r="L82" s="8"/>
      <c r="M82" s="8"/>
      <c r="N82" s="8"/>
      <c r="O82" s="8"/>
      <c r="P82" s="8"/>
      <c r="Q82" s="8"/>
      <c r="R82" s="8"/>
      <c r="S82" s="8"/>
      <c r="T82" s="8"/>
      <c r="U82" s="8"/>
      <c r="V82" s="8"/>
      <c r="W82" s="8"/>
      <c r="X82" s="8"/>
      <c r="Y82" s="8"/>
      <c r="Z82" s="8"/>
    </row>
    <row r="83">
      <c r="A83" s="8"/>
      <c r="B83" s="8"/>
      <c r="C83" s="8"/>
      <c r="D83" s="8"/>
      <c r="E83" s="8"/>
      <c r="F83" s="8"/>
      <c r="G83" s="8"/>
      <c r="H83" s="8"/>
      <c r="I83" s="8"/>
      <c r="J83" s="8"/>
      <c r="K83" s="8"/>
      <c r="L83" s="8"/>
      <c r="M83" s="8"/>
      <c r="N83" s="8"/>
      <c r="O83" s="8"/>
      <c r="P83" s="8"/>
      <c r="Q83" s="8"/>
      <c r="R83" s="8"/>
      <c r="S83" s="8"/>
      <c r="T83" s="8"/>
      <c r="U83" s="8"/>
      <c r="V83" s="8"/>
      <c r="W83" s="8"/>
      <c r="X83" s="8"/>
      <c r="Y83" s="8"/>
      <c r="Z83" s="8"/>
    </row>
    <row r="84">
      <c r="A84" s="8"/>
      <c r="B84" s="8"/>
      <c r="C84" s="8"/>
      <c r="D84" s="8"/>
      <c r="E84" s="8"/>
      <c r="F84" s="8"/>
      <c r="G84" s="8"/>
      <c r="H84" s="8"/>
      <c r="I84" s="8"/>
      <c r="J84" s="8"/>
      <c r="K84" s="8"/>
      <c r="L84" s="8"/>
      <c r="M84" s="8"/>
      <c r="N84" s="8"/>
      <c r="O84" s="8"/>
      <c r="P84" s="8"/>
      <c r="Q84" s="8"/>
      <c r="R84" s="8"/>
      <c r="S84" s="8"/>
      <c r="T84" s="8"/>
      <c r="U84" s="8"/>
      <c r="V84" s="8"/>
      <c r="W84" s="8"/>
      <c r="X84" s="8"/>
      <c r="Y84" s="8"/>
      <c r="Z84" s="8"/>
    </row>
    <row r="85">
      <c r="A85" s="8"/>
      <c r="B85" s="8"/>
      <c r="C85" s="8"/>
      <c r="D85" s="8"/>
      <c r="E85" s="8"/>
      <c r="F85" s="8"/>
      <c r="G85" s="8"/>
      <c r="H85" s="8"/>
      <c r="I85" s="8"/>
      <c r="J85" s="8"/>
      <c r="K85" s="8"/>
      <c r="L85" s="8"/>
      <c r="M85" s="8"/>
      <c r="N85" s="8"/>
      <c r="O85" s="8"/>
      <c r="P85" s="8"/>
      <c r="Q85" s="8"/>
      <c r="R85" s="8"/>
      <c r="S85" s="8"/>
      <c r="T85" s="8"/>
      <c r="U85" s="8"/>
      <c r="V85" s="8"/>
      <c r="W85" s="8"/>
      <c r="X85" s="8"/>
      <c r="Y85" s="8"/>
      <c r="Z85" s="8"/>
    </row>
    <row r="86">
      <c r="A86" s="8"/>
      <c r="B86" s="8"/>
      <c r="C86" s="8"/>
      <c r="D86" s="8"/>
      <c r="E86" s="8"/>
      <c r="F86" s="8"/>
      <c r="G86" s="8"/>
      <c r="H86" s="8"/>
      <c r="I86" s="8"/>
      <c r="J86" s="8"/>
      <c r="K86" s="8"/>
      <c r="L86" s="8"/>
      <c r="M86" s="8"/>
      <c r="N86" s="8"/>
      <c r="O86" s="8"/>
      <c r="P86" s="8"/>
      <c r="Q86" s="8"/>
      <c r="R86" s="8"/>
      <c r="S86" s="8"/>
      <c r="T86" s="8"/>
      <c r="U86" s="8"/>
      <c r="V86" s="8"/>
      <c r="W86" s="8"/>
      <c r="X86" s="8"/>
      <c r="Y86" s="8"/>
      <c r="Z86" s="8"/>
    </row>
    <row r="87">
      <c r="A87" s="8"/>
      <c r="B87" s="8"/>
      <c r="C87" s="8"/>
      <c r="D87" s="8"/>
      <c r="E87" s="8"/>
      <c r="F87" s="8"/>
      <c r="G87" s="8"/>
      <c r="H87" s="8"/>
      <c r="I87" s="8"/>
      <c r="J87" s="8"/>
      <c r="K87" s="8"/>
      <c r="L87" s="8"/>
      <c r="M87" s="8"/>
      <c r="N87" s="8"/>
      <c r="O87" s="8"/>
      <c r="P87" s="8"/>
      <c r="Q87" s="8"/>
      <c r="R87" s="8"/>
      <c r="S87" s="8"/>
      <c r="T87" s="8"/>
      <c r="U87" s="8"/>
      <c r="V87" s="8"/>
      <c r="W87" s="8"/>
      <c r="X87" s="8"/>
      <c r="Y87" s="8"/>
      <c r="Z87" s="8"/>
    </row>
    <row r="88">
      <c r="A88" s="8"/>
      <c r="B88" s="8"/>
      <c r="C88" s="8"/>
      <c r="D88" s="8"/>
      <c r="E88" s="8"/>
      <c r="F88" s="8"/>
      <c r="G88" s="8"/>
      <c r="H88" s="8"/>
      <c r="I88" s="8"/>
      <c r="J88" s="8"/>
      <c r="K88" s="8"/>
      <c r="L88" s="8"/>
      <c r="M88" s="8"/>
      <c r="N88" s="8"/>
      <c r="O88" s="8"/>
      <c r="P88" s="8"/>
      <c r="Q88" s="8"/>
      <c r="R88" s="8"/>
      <c r="S88" s="8"/>
      <c r="T88" s="8"/>
      <c r="U88" s="8"/>
      <c r="V88" s="8"/>
      <c r="W88" s="8"/>
      <c r="X88" s="8"/>
      <c r="Y88" s="8"/>
      <c r="Z88" s="8"/>
    </row>
    <row r="89">
      <c r="A89" s="8"/>
      <c r="B89" s="8"/>
      <c r="C89" s="8"/>
      <c r="D89" s="8"/>
      <c r="E89" s="8"/>
      <c r="F89" s="8"/>
      <c r="G89" s="8"/>
      <c r="H89" s="8"/>
      <c r="I89" s="8"/>
      <c r="J89" s="8"/>
      <c r="K89" s="8"/>
      <c r="L89" s="8"/>
      <c r="M89" s="8"/>
      <c r="N89" s="8"/>
      <c r="O89" s="8"/>
      <c r="P89" s="8"/>
      <c r="Q89" s="8"/>
      <c r="R89" s="8"/>
      <c r="S89" s="8"/>
      <c r="T89" s="8"/>
      <c r="U89" s="8"/>
      <c r="V89" s="8"/>
      <c r="W89" s="8"/>
      <c r="X89" s="8"/>
      <c r="Y89" s="8"/>
      <c r="Z89" s="8"/>
    </row>
    <row r="90">
      <c r="A90" s="8"/>
      <c r="B90" s="8"/>
      <c r="C90" s="8"/>
      <c r="D90" s="8"/>
      <c r="E90" s="8"/>
      <c r="F90" s="8"/>
      <c r="G90" s="8"/>
      <c r="H90" s="8"/>
      <c r="I90" s="8"/>
      <c r="J90" s="8"/>
      <c r="K90" s="8"/>
      <c r="L90" s="8"/>
      <c r="M90" s="8"/>
      <c r="N90" s="8"/>
      <c r="O90" s="8"/>
      <c r="P90" s="8"/>
      <c r="Q90" s="8"/>
      <c r="R90" s="8"/>
      <c r="S90" s="8"/>
      <c r="T90" s="8"/>
      <c r="U90" s="8"/>
      <c r="V90" s="8"/>
      <c r="W90" s="8"/>
      <c r="X90" s="8"/>
      <c r="Y90" s="8"/>
      <c r="Z90" s="8"/>
    </row>
    <row r="91">
      <c r="A91" s="8"/>
      <c r="B91" s="8"/>
      <c r="C91" s="8"/>
      <c r="D91" s="8"/>
      <c r="E91" s="8"/>
      <c r="F91" s="8"/>
      <c r="G91" s="8"/>
      <c r="H91" s="8"/>
      <c r="I91" s="8"/>
      <c r="J91" s="8"/>
      <c r="K91" s="8"/>
      <c r="L91" s="8"/>
      <c r="M91" s="8"/>
      <c r="N91" s="8"/>
      <c r="O91" s="8"/>
      <c r="P91" s="8"/>
      <c r="Q91" s="8"/>
      <c r="R91" s="8"/>
      <c r="S91" s="8"/>
      <c r="T91" s="8"/>
      <c r="U91" s="8"/>
      <c r="V91" s="8"/>
      <c r="W91" s="8"/>
      <c r="X91" s="8"/>
      <c r="Y91" s="8"/>
      <c r="Z91" s="8"/>
    </row>
    <row r="92">
      <c r="A92" s="8"/>
      <c r="B92" s="8"/>
      <c r="C92" s="8"/>
      <c r="D92" s="8"/>
      <c r="E92" s="8"/>
      <c r="F92" s="8"/>
      <c r="G92" s="8"/>
      <c r="H92" s="8"/>
      <c r="I92" s="8"/>
      <c r="J92" s="8"/>
      <c r="K92" s="8"/>
      <c r="L92" s="8"/>
      <c r="M92" s="8"/>
      <c r="N92" s="8"/>
      <c r="O92" s="8"/>
      <c r="P92" s="8"/>
      <c r="Q92" s="8"/>
      <c r="R92" s="8"/>
      <c r="S92" s="8"/>
      <c r="T92" s="8"/>
      <c r="U92" s="8"/>
      <c r="V92" s="8"/>
      <c r="W92" s="8"/>
      <c r="X92" s="8"/>
      <c r="Y92" s="8"/>
      <c r="Z92" s="8"/>
    </row>
    <row r="93">
      <c r="A93" s="8"/>
      <c r="B93" s="8"/>
      <c r="C93" s="8"/>
      <c r="D93" s="8"/>
      <c r="E93" s="8"/>
      <c r="F93" s="8"/>
      <c r="G93" s="8"/>
      <c r="H93" s="8"/>
      <c r="I93" s="8"/>
      <c r="J93" s="8"/>
      <c r="K93" s="8"/>
      <c r="L93" s="8"/>
      <c r="M93" s="8"/>
      <c r="N93" s="8"/>
      <c r="O93" s="8"/>
      <c r="P93" s="8"/>
      <c r="Q93" s="8"/>
      <c r="R93" s="8"/>
      <c r="S93" s="8"/>
      <c r="T93" s="8"/>
      <c r="U93" s="8"/>
      <c r="V93" s="8"/>
      <c r="W93" s="8"/>
      <c r="X93" s="8"/>
      <c r="Y93" s="8"/>
      <c r="Z93" s="8"/>
    </row>
    <row r="94">
      <c r="A94" s="8"/>
      <c r="B94" s="8"/>
      <c r="C94" s="8"/>
      <c r="D94" s="8"/>
      <c r="E94" s="8"/>
      <c r="F94" s="8"/>
      <c r="G94" s="8"/>
      <c r="H94" s="8"/>
      <c r="I94" s="8"/>
      <c r="J94" s="8"/>
      <c r="K94" s="8"/>
      <c r="L94" s="8"/>
      <c r="M94" s="8"/>
      <c r="N94" s="8"/>
      <c r="O94" s="8"/>
      <c r="P94" s="8"/>
      <c r="Q94" s="8"/>
      <c r="R94" s="8"/>
      <c r="S94" s="8"/>
      <c r="T94" s="8"/>
      <c r="U94" s="8"/>
      <c r="V94" s="8"/>
      <c r="W94" s="8"/>
      <c r="X94" s="8"/>
      <c r="Y94" s="8"/>
      <c r="Z94" s="8"/>
    </row>
    <row r="95">
      <c r="A95" s="8"/>
      <c r="B95" s="8"/>
      <c r="C95" s="8"/>
      <c r="D95" s="8"/>
      <c r="E95" s="8"/>
      <c r="F95" s="8"/>
      <c r="G95" s="8"/>
      <c r="H95" s="8"/>
      <c r="I95" s="8"/>
      <c r="J95" s="8"/>
      <c r="K95" s="8"/>
      <c r="L95" s="8"/>
      <c r="M95" s="8"/>
      <c r="N95" s="8"/>
      <c r="O95" s="8"/>
      <c r="P95" s="8"/>
      <c r="Q95" s="8"/>
      <c r="R95" s="8"/>
      <c r="S95" s="8"/>
      <c r="T95" s="8"/>
      <c r="U95" s="8"/>
      <c r="V95" s="8"/>
      <c r="W95" s="8"/>
      <c r="X95" s="8"/>
      <c r="Y95" s="8"/>
      <c r="Z95" s="8"/>
    </row>
    <row r="96">
      <c r="A96" s="8"/>
      <c r="B96" s="8"/>
      <c r="C96" s="8"/>
      <c r="D96" s="8"/>
      <c r="E96" s="8"/>
      <c r="F96" s="8"/>
      <c r="G96" s="8"/>
      <c r="H96" s="8"/>
      <c r="I96" s="8"/>
      <c r="J96" s="8"/>
      <c r="K96" s="8"/>
      <c r="L96" s="8"/>
      <c r="M96" s="8"/>
      <c r="N96" s="8"/>
      <c r="O96" s="8"/>
      <c r="P96" s="8"/>
      <c r="Q96" s="8"/>
      <c r="R96" s="8"/>
      <c r="S96" s="8"/>
      <c r="T96" s="8"/>
      <c r="U96" s="8"/>
      <c r="V96" s="8"/>
      <c r="W96" s="8"/>
      <c r="X96" s="8"/>
      <c r="Y96" s="8"/>
      <c r="Z96" s="8"/>
    </row>
    <row r="97">
      <c r="A97" s="8"/>
      <c r="B97" s="8"/>
      <c r="C97" s="8"/>
      <c r="D97" s="8"/>
      <c r="E97" s="8"/>
      <c r="F97" s="8"/>
      <c r="G97" s="8"/>
      <c r="H97" s="8"/>
      <c r="I97" s="8"/>
      <c r="J97" s="8"/>
      <c r="K97" s="8"/>
      <c r="L97" s="8"/>
      <c r="M97" s="8"/>
      <c r="N97" s="8"/>
      <c r="O97" s="8"/>
      <c r="P97" s="8"/>
      <c r="Q97" s="8"/>
      <c r="R97" s="8"/>
      <c r="S97" s="8"/>
      <c r="T97" s="8"/>
      <c r="U97" s="8"/>
      <c r="V97" s="8"/>
      <c r="W97" s="8"/>
      <c r="X97" s="8"/>
      <c r="Y97" s="8"/>
      <c r="Z97" s="8"/>
    </row>
    <row r="98">
      <c r="A98" s="8"/>
      <c r="B98" s="8"/>
      <c r="C98" s="8"/>
      <c r="D98" s="8"/>
      <c r="E98" s="8"/>
      <c r="F98" s="8"/>
      <c r="G98" s="8"/>
      <c r="H98" s="8"/>
      <c r="I98" s="8"/>
      <c r="J98" s="8"/>
      <c r="K98" s="8"/>
      <c r="L98" s="8"/>
      <c r="M98" s="8"/>
      <c r="N98" s="8"/>
      <c r="O98" s="8"/>
      <c r="P98" s="8"/>
      <c r="Q98" s="8"/>
      <c r="R98" s="8"/>
      <c r="S98" s="8"/>
      <c r="T98" s="8"/>
      <c r="U98" s="8"/>
      <c r="V98" s="8"/>
      <c r="W98" s="8"/>
      <c r="X98" s="8"/>
      <c r="Y98" s="8"/>
      <c r="Z98" s="8"/>
    </row>
    <row r="99">
      <c r="A99" s="8"/>
      <c r="B99" s="8"/>
      <c r="C99" s="8"/>
      <c r="D99" s="8"/>
      <c r="E99" s="8"/>
      <c r="F99" s="8"/>
      <c r="G99" s="8"/>
      <c r="H99" s="8"/>
      <c r="I99" s="8"/>
      <c r="J99" s="8"/>
      <c r="K99" s="8"/>
      <c r="L99" s="8"/>
      <c r="M99" s="8"/>
      <c r="N99" s="8"/>
      <c r="O99" s="8"/>
      <c r="P99" s="8"/>
      <c r="Q99" s="8"/>
      <c r="R99" s="8"/>
      <c r="S99" s="8"/>
      <c r="T99" s="8"/>
      <c r="U99" s="8"/>
      <c r="V99" s="8"/>
      <c r="W99" s="8"/>
      <c r="X99" s="8"/>
      <c r="Y99" s="8"/>
      <c r="Z99" s="8"/>
    </row>
    <row r="100">
      <c r="A100" s="8"/>
      <c r="B100" s="8"/>
      <c r="C100" s="8"/>
      <c r="D100" s="8"/>
      <c r="E100" s="8"/>
      <c r="F100" s="8"/>
      <c r="G100" s="8"/>
      <c r="H100" s="8"/>
      <c r="I100" s="8"/>
      <c r="J100" s="8"/>
      <c r="K100" s="8"/>
      <c r="L100" s="8"/>
      <c r="M100" s="8"/>
      <c r="N100" s="8"/>
      <c r="O100" s="8"/>
      <c r="P100" s="8"/>
      <c r="Q100" s="8"/>
      <c r="R100" s="8"/>
      <c r="S100" s="8"/>
      <c r="T100" s="8"/>
      <c r="U100" s="8"/>
      <c r="V100" s="8"/>
      <c r="W100" s="8"/>
      <c r="X100" s="8"/>
      <c r="Y100" s="8"/>
      <c r="Z100" s="8"/>
    </row>
    <row r="101">
      <c r="A101" s="8"/>
      <c r="B101" s="8"/>
      <c r="C101" s="8"/>
      <c r="D101" s="8"/>
      <c r="E101" s="8"/>
      <c r="F101" s="8"/>
      <c r="G101" s="8"/>
      <c r="H101" s="8"/>
      <c r="I101" s="8"/>
      <c r="J101" s="8"/>
      <c r="K101" s="8"/>
      <c r="L101" s="8"/>
      <c r="M101" s="8"/>
      <c r="N101" s="8"/>
      <c r="O101" s="8"/>
      <c r="P101" s="8"/>
      <c r="Q101" s="8"/>
      <c r="R101" s="8"/>
      <c r="S101" s="8"/>
      <c r="T101" s="8"/>
      <c r="U101" s="8"/>
      <c r="V101" s="8"/>
      <c r="W101" s="8"/>
      <c r="X101" s="8"/>
      <c r="Y101" s="8"/>
      <c r="Z101" s="8"/>
    </row>
    <row r="102">
      <c r="A102" s="8"/>
      <c r="B102" s="8"/>
      <c r="C102" s="8"/>
      <c r="D102" s="8"/>
      <c r="E102" s="8"/>
      <c r="F102" s="8"/>
      <c r="G102" s="8"/>
      <c r="H102" s="8"/>
      <c r="I102" s="8"/>
      <c r="J102" s="8"/>
      <c r="K102" s="8"/>
      <c r="L102" s="8"/>
      <c r="M102" s="8"/>
      <c r="N102" s="8"/>
      <c r="O102" s="8"/>
      <c r="P102" s="8"/>
      <c r="Q102" s="8"/>
      <c r="R102" s="8"/>
      <c r="S102" s="8"/>
      <c r="T102" s="8"/>
      <c r="U102" s="8"/>
      <c r="V102" s="8"/>
      <c r="W102" s="8"/>
      <c r="X102" s="8"/>
      <c r="Y102" s="8"/>
      <c r="Z102" s="8"/>
    </row>
    <row r="103">
      <c r="A103" s="8"/>
      <c r="B103" s="8"/>
      <c r="C103" s="8"/>
      <c r="D103" s="8"/>
      <c r="E103" s="8"/>
      <c r="F103" s="8"/>
      <c r="G103" s="8"/>
      <c r="H103" s="8"/>
      <c r="I103" s="8"/>
      <c r="J103" s="8"/>
      <c r="K103" s="8"/>
      <c r="L103" s="8"/>
      <c r="M103" s="8"/>
      <c r="N103" s="8"/>
      <c r="O103" s="8"/>
      <c r="P103" s="8"/>
      <c r="Q103" s="8"/>
      <c r="R103" s="8"/>
      <c r="S103" s="8"/>
      <c r="T103" s="8"/>
      <c r="U103" s="8"/>
      <c r="V103" s="8"/>
      <c r="W103" s="8"/>
      <c r="X103" s="8"/>
      <c r="Y103" s="8"/>
      <c r="Z103" s="8"/>
    </row>
    <row r="104">
      <c r="A104" s="8"/>
      <c r="B104" s="8"/>
      <c r="C104" s="8"/>
      <c r="D104" s="8"/>
      <c r="E104" s="8"/>
      <c r="F104" s="8"/>
      <c r="G104" s="8"/>
      <c r="H104" s="8"/>
      <c r="I104" s="8"/>
      <c r="J104" s="8"/>
      <c r="K104" s="8"/>
      <c r="L104" s="8"/>
      <c r="M104" s="8"/>
      <c r="N104" s="8"/>
      <c r="O104" s="8"/>
      <c r="P104" s="8"/>
      <c r="Q104" s="8"/>
      <c r="R104" s="8"/>
      <c r="S104" s="8"/>
      <c r="T104" s="8"/>
      <c r="U104" s="8"/>
      <c r="V104" s="8"/>
      <c r="W104" s="8"/>
      <c r="X104" s="8"/>
      <c r="Y104" s="8"/>
      <c r="Z104" s="8"/>
    </row>
    <row r="105">
      <c r="A105" s="8"/>
      <c r="B105" s="8"/>
      <c r="C105" s="8"/>
      <c r="D105" s="8"/>
      <c r="E105" s="8"/>
      <c r="F105" s="8"/>
      <c r="G105" s="8"/>
      <c r="H105" s="8"/>
      <c r="I105" s="8"/>
      <c r="J105" s="8"/>
      <c r="K105" s="8"/>
      <c r="L105" s="8"/>
      <c r="M105" s="8"/>
      <c r="N105" s="8"/>
      <c r="O105" s="8"/>
      <c r="P105" s="8"/>
      <c r="Q105" s="8"/>
      <c r="R105" s="8"/>
      <c r="S105" s="8"/>
      <c r="T105" s="8"/>
      <c r="U105" s="8"/>
      <c r="V105" s="8"/>
      <c r="W105" s="8"/>
      <c r="X105" s="8"/>
      <c r="Y105" s="8"/>
      <c r="Z105" s="8"/>
    </row>
    <row r="106">
      <c r="A106" s="8"/>
      <c r="B106" s="8"/>
      <c r="C106" s="8"/>
      <c r="D106" s="8"/>
      <c r="E106" s="8"/>
      <c r="F106" s="8"/>
      <c r="G106" s="8"/>
      <c r="H106" s="8"/>
      <c r="I106" s="8"/>
      <c r="J106" s="8"/>
      <c r="K106" s="8"/>
      <c r="L106" s="8"/>
      <c r="M106" s="8"/>
      <c r="N106" s="8"/>
      <c r="O106" s="8"/>
      <c r="P106" s="8"/>
      <c r="Q106" s="8"/>
      <c r="R106" s="8"/>
      <c r="S106" s="8"/>
      <c r="T106" s="8"/>
      <c r="U106" s="8"/>
      <c r="V106" s="8"/>
      <c r="W106" s="8"/>
      <c r="X106" s="8"/>
      <c r="Y106" s="8"/>
      <c r="Z106" s="8"/>
    </row>
    <row r="107">
      <c r="A107" s="8"/>
      <c r="B107" s="8"/>
      <c r="C107" s="8"/>
      <c r="D107" s="8"/>
      <c r="E107" s="8"/>
      <c r="F107" s="8"/>
      <c r="G107" s="8"/>
      <c r="H107" s="8"/>
      <c r="I107" s="8"/>
      <c r="J107" s="8"/>
      <c r="K107" s="8"/>
      <c r="L107" s="8"/>
      <c r="M107" s="8"/>
      <c r="N107" s="8"/>
      <c r="O107" s="8"/>
      <c r="P107" s="8"/>
      <c r="Q107" s="8"/>
      <c r="R107" s="8"/>
      <c r="S107" s="8"/>
      <c r="T107" s="8"/>
      <c r="U107" s="8"/>
      <c r="V107" s="8"/>
      <c r="W107" s="8"/>
      <c r="X107" s="8"/>
      <c r="Y107" s="8"/>
      <c r="Z107" s="8"/>
    </row>
    <row r="108">
      <c r="A108" s="8"/>
      <c r="B108" s="8"/>
      <c r="C108" s="8"/>
      <c r="D108" s="8"/>
      <c r="E108" s="8"/>
      <c r="F108" s="8"/>
      <c r="G108" s="8"/>
      <c r="H108" s="8"/>
      <c r="I108" s="8"/>
      <c r="J108" s="8"/>
      <c r="K108" s="8"/>
      <c r="L108" s="8"/>
      <c r="M108" s="8"/>
      <c r="N108" s="8"/>
      <c r="O108" s="8"/>
      <c r="P108" s="8"/>
      <c r="Q108" s="8"/>
      <c r="R108" s="8"/>
      <c r="S108" s="8"/>
      <c r="T108" s="8"/>
      <c r="U108" s="8"/>
      <c r="V108" s="8"/>
      <c r="W108" s="8"/>
      <c r="X108" s="8"/>
      <c r="Y108" s="8"/>
      <c r="Z108" s="8"/>
    </row>
    <row r="109">
      <c r="A109" s="8"/>
      <c r="B109" s="8"/>
      <c r="C109" s="8"/>
      <c r="D109" s="8"/>
      <c r="E109" s="8"/>
      <c r="F109" s="8"/>
      <c r="G109" s="8"/>
      <c r="H109" s="8"/>
      <c r="I109" s="8"/>
      <c r="J109" s="8"/>
      <c r="K109" s="8"/>
      <c r="L109" s="8"/>
      <c r="M109" s="8"/>
      <c r="N109" s="8"/>
      <c r="O109" s="8"/>
      <c r="P109" s="8"/>
      <c r="Q109" s="8"/>
      <c r="R109" s="8"/>
      <c r="S109" s="8"/>
      <c r="T109" s="8"/>
      <c r="U109" s="8"/>
      <c r="V109" s="8"/>
      <c r="W109" s="8"/>
      <c r="X109" s="8"/>
      <c r="Y109" s="8"/>
      <c r="Z109" s="8"/>
    </row>
    <row r="110">
      <c r="A110" s="8"/>
      <c r="B110" s="8"/>
      <c r="C110" s="8"/>
      <c r="D110" s="8"/>
      <c r="E110" s="8"/>
      <c r="F110" s="8"/>
      <c r="G110" s="8"/>
      <c r="H110" s="8"/>
      <c r="I110" s="8"/>
      <c r="J110" s="8"/>
      <c r="K110" s="8"/>
      <c r="L110" s="8"/>
      <c r="M110" s="8"/>
      <c r="N110" s="8"/>
      <c r="O110" s="8"/>
      <c r="P110" s="8"/>
      <c r="Q110" s="8"/>
      <c r="R110" s="8"/>
      <c r="S110" s="8"/>
      <c r="T110" s="8"/>
      <c r="U110" s="8"/>
      <c r="V110" s="8"/>
      <c r="W110" s="8"/>
      <c r="X110" s="8"/>
      <c r="Y110" s="8"/>
      <c r="Z110" s="8"/>
    </row>
    <row r="111">
      <c r="A111" s="8"/>
      <c r="B111" s="8"/>
      <c r="C111" s="8"/>
      <c r="D111" s="8"/>
      <c r="E111" s="8"/>
      <c r="F111" s="8"/>
      <c r="G111" s="8"/>
      <c r="H111" s="8"/>
      <c r="I111" s="8"/>
      <c r="J111" s="8"/>
      <c r="K111" s="8"/>
      <c r="L111" s="8"/>
      <c r="M111" s="8"/>
      <c r="N111" s="8"/>
      <c r="O111" s="8"/>
      <c r="P111" s="8"/>
      <c r="Q111" s="8"/>
      <c r="R111" s="8"/>
      <c r="S111" s="8"/>
      <c r="T111" s="8"/>
      <c r="U111" s="8"/>
      <c r="V111" s="8"/>
      <c r="W111" s="8"/>
      <c r="X111" s="8"/>
      <c r="Y111" s="8"/>
      <c r="Z111" s="8"/>
    </row>
    <row r="112">
      <c r="A112" s="8"/>
      <c r="B112" s="8"/>
      <c r="C112" s="8"/>
      <c r="D112" s="8"/>
      <c r="E112" s="8"/>
      <c r="F112" s="8"/>
      <c r="G112" s="8"/>
      <c r="H112" s="8"/>
      <c r="I112" s="8"/>
      <c r="J112" s="8"/>
      <c r="K112" s="8"/>
      <c r="L112" s="8"/>
      <c r="M112" s="8"/>
      <c r="N112" s="8"/>
      <c r="O112" s="8"/>
      <c r="P112" s="8"/>
      <c r="Q112" s="8"/>
      <c r="R112" s="8"/>
      <c r="S112" s="8"/>
      <c r="T112" s="8"/>
      <c r="U112" s="8"/>
      <c r="V112" s="8"/>
      <c r="W112" s="8"/>
      <c r="X112" s="8"/>
      <c r="Y112" s="8"/>
      <c r="Z112" s="8"/>
    </row>
    <row r="113">
      <c r="A113" s="8"/>
      <c r="B113" s="8"/>
      <c r="C113" s="8"/>
      <c r="D113" s="8"/>
      <c r="E113" s="8"/>
      <c r="F113" s="8"/>
      <c r="G113" s="8"/>
      <c r="H113" s="8"/>
      <c r="I113" s="8"/>
      <c r="J113" s="8"/>
      <c r="K113" s="8"/>
      <c r="L113" s="8"/>
      <c r="M113" s="8"/>
      <c r="N113" s="8"/>
      <c r="O113" s="8"/>
      <c r="P113" s="8"/>
      <c r="Q113" s="8"/>
      <c r="R113" s="8"/>
      <c r="S113" s="8"/>
      <c r="T113" s="8"/>
      <c r="U113" s="8"/>
      <c r="V113" s="8"/>
      <c r="W113" s="8"/>
      <c r="X113" s="8"/>
      <c r="Y113" s="8"/>
      <c r="Z113" s="8"/>
    </row>
    <row r="114">
      <c r="A114" s="8"/>
      <c r="B114" s="8"/>
      <c r="C114" s="8"/>
      <c r="D114" s="8"/>
      <c r="E114" s="8"/>
      <c r="F114" s="8"/>
      <c r="G114" s="8"/>
      <c r="H114" s="8"/>
      <c r="I114" s="8"/>
      <c r="J114" s="8"/>
      <c r="K114" s="8"/>
      <c r="L114" s="8"/>
      <c r="M114" s="8"/>
      <c r="N114" s="8"/>
      <c r="O114" s="8"/>
      <c r="P114" s="8"/>
      <c r="Q114" s="8"/>
      <c r="R114" s="8"/>
      <c r="S114" s="8"/>
      <c r="T114" s="8"/>
      <c r="U114" s="8"/>
      <c r="V114" s="8"/>
      <c r="W114" s="8"/>
      <c r="X114" s="8"/>
      <c r="Y114" s="8"/>
      <c r="Z114" s="8"/>
    </row>
    <row r="115">
      <c r="A115" s="8"/>
      <c r="B115" s="8"/>
      <c r="C115" s="8"/>
      <c r="D115" s="8"/>
      <c r="E115" s="8"/>
      <c r="F115" s="8"/>
      <c r="G115" s="8"/>
      <c r="H115" s="8"/>
      <c r="I115" s="8"/>
      <c r="J115" s="8"/>
      <c r="K115" s="8"/>
      <c r="L115" s="8"/>
      <c r="M115" s="8"/>
      <c r="N115" s="8"/>
      <c r="O115" s="8"/>
      <c r="P115" s="8"/>
      <c r="Q115" s="8"/>
      <c r="R115" s="8"/>
      <c r="S115" s="8"/>
      <c r="T115" s="8"/>
      <c r="U115" s="8"/>
      <c r="V115" s="8"/>
      <c r="W115" s="8"/>
      <c r="X115" s="8"/>
      <c r="Y115" s="8"/>
      <c r="Z115" s="8"/>
    </row>
    <row r="116">
      <c r="A116" s="8"/>
      <c r="B116" s="8"/>
      <c r="C116" s="8"/>
      <c r="D116" s="8"/>
      <c r="E116" s="8"/>
      <c r="F116" s="8"/>
      <c r="G116" s="8"/>
      <c r="H116" s="8"/>
      <c r="I116" s="8"/>
      <c r="J116" s="8"/>
      <c r="K116" s="8"/>
      <c r="L116" s="8"/>
      <c r="M116" s="8"/>
      <c r="N116" s="8"/>
      <c r="O116" s="8"/>
      <c r="P116" s="8"/>
      <c r="Q116" s="8"/>
      <c r="R116" s="8"/>
      <c r="S116" s="8"/>
      <c r="T116" s="8"/>
      <c r="U116" s="8"/>
      <c r="V116" s="8"/>
      <c r="W116" s="8"/>
      <c r="X116" s="8"/>
      <c r="Y116" s="8"/>
      <c r="Z116" s="8"/>
    </row>
    <row r="117">
      <c r="A117" s="8"/>
      <c r="B117" s="8"/>
      <c r="C117" s="8"/>
      <c r="D117" s="8"/>
      <c r="E117" s="8"/>
      <c r="F117" s="8"/>
      <c r="G117" s="8"/>
      <c r="H117" s="8"/>
      <c r="I117" s="8"/>
      <c r="J117" s="8"/>
      <c r="K117" s="8"/>
      <c r="L117" s="8"/>
      <c r="M117" s="8"/>
      <c r="N117" s="8"/>
      <c r="O117" s="8"/>
      <c r="P117" s="8"/>
      <c r="Q117" s="8"/>
      <c r="R117" s="8"/>
      <c r="S117" s="8"/>
      <c r="T117" s="8"/>
      <c r="U117" s="8"/>
      <c r="V117" s="8"/>
      <c r="W117" s="8"/>
      <c r="X117" s="8"/>
      <c r="Y117" s="8"/>
      <c r="Z117" s="8"/>
    </row>
    <row r="118">
      <c r="A118" s="8"/>
      <c r="B118" s="8"/>
      <c r="C118" s="8"/>
      <c r="D118" s="8"/>
      <c r="E118" s="8"/>
      <c r="F118" s="8"/>
      <c r="G118" s="8"/>
      <c r="H118" s="8"/>
      <c r="I118" s="8"/>
      <c r="J118" s="8"/>
      <c r="K118" s="8"/>
      <c r="L118" s="8"/>
      <c r="M118" s="8"/>
      <c r="N118" s="8"/>
      <c r="O118" s="8"/>
      <c r="P118" s="8"/>
      <c r="Q118" s="8"/>
      <c r="R118" s="8"/>
      <c r="S118" s="8"/>
      <c r="T118" s="8"/>
      <c r="U118" s="8"/>
      <c r="V118" s="8"/>
      <c r="W118" s="8"/>
      <c r="X118" s="8"/>
      <c r="Y118" s="8"/>
      <c r="Z118" s="8"/>
    </row>
    <row r="119">
      <c r="A119" s="8"/>
      <c r="B119" s="8"/>
      <c r="C119" s="8"/>
      <c r="D119" s="8"/>
      <c r="E119" s="8"/>
      <c r="F119" s="8"/>
      <c r="G119" s="8"/>
      <c r="H119" s="8"/>
      <c r="I119" s="8"/>
      <c r="J119" s="8"/>
      <c r="K119" s="8"/>
      <c r="L119" s="8"/>
      <c r="M119" s="8"/>
      <c r="N119" s="8"/>
      <c r="O119" s="8"/>
      <c r="P119" s="8"/>
      <c r="Q119" s="8"/>
      <c r="R119" s="8"/>
      <c r="S119" s="8"/>
      <c r="T119" s="8"/>
      <c r="U119" s="8"/>
      <c r="V119" s="8"/>
      <c r="W119" s="8"/>
      <c r="X119" s="8"/>
      <c r="Y119" s="8"/>
      <c r="Z119" s="8"/>
    </row>
    <row r="120">
      <c r="A120" s="8"/>
      <c r="B120" s="8"/>
      <c r="C120" s="8"/>
      <c r="D120" s="8"/>
      <c r="E120" s="8"/>
      <c r="F120" s="8"/>
      <c r="G120" s="8"/>
      <c r="H120" s="8"/>
      <c r="I120" s="8"/>
      <c r="J120" s="8"/>
      <c r="K120" s="8"/>
      <c r="L120" s="8"/>
      <c r="M120" s="8"/>
      <c r="N120" s="8"/>
      <c r="O120" s="8"/>
      <c r="P120" s="8"/>
      <c r="Q120" s="8"/>
      <c r="R120" s="8"/>
      <c r="S120" s="8"/>
      <c r="T120" s="8"/>
      <c r="U120" s="8"/>
      <c r="V120" s="8"/>
      <c r="W120" s="8"/>
      <c r="X120" s="8"/>
      <c r="Y120" s="8"/>
      <c r="Z120" s="8"/>
    </row>
    <row r="121">
      <c r="A121" s="8"/>
      <c r="B121" s="8"/>
      <c r="C121" s="8"/>
      <c r="D121" s="8"/>
      <c r="E121" s="8"/>
      <c r="F121" s="8"/>
      <c r="G121" s="8"/>
      <c r="H121" s="8"/>
      <c r="I121" s="8"/>
      <c r="J121" s="8"/>
      <c r="K121" s="8"/>
      <c r="L121" s="8"/>
      <c r="M121" s="8"/>
      <c r="N121" s="8"/>
      <c r="O121" s="8"/>
      <c r="P121" s="8"/>
      <c r="Q121" s="8"/>
      <c r="R121" s="8"/>
      <c r="S121" s="8"/>
      <c r="T121" s="8"/>
      <c r="U121" s="8"/>
      <c r="V121" s="8"/>
      <c r="W121" s="8"/>
      <c r="X121" s="8"/>
      <c r="Y121" s="8"/>
      <c r="Z121" s="8"/>
    </row>
    <row r="122">
      <c r="A122" s="8"/>
      <c r="B122" s="8"/>
      <c r="C122" s="8"/>
      <c r="D122" s="8"/>
      <c r="E122" s="8"/>
      <c r="F122" s="8"/>
      <c r="G122" s="8"/>
      <c r="H122" s="8"/>
      <c r="I122" s="8"/>
      <c r="J122" s="8"/>
      <c r="K122" s="8"/>
      <c r="L122" s="8"/>
      <c r="M122" s="8"/>
      <c r="N122" s="8"/>
      <c r="O122" s="8"/>
      <c r="P122" s="8"/>
      <c r="Q122" s="8"/>
      <c r="R122" s="8"/>
      <c r="S122" s="8"/>
      <c r="T122" s="8"/>
      <c r="U122" s="8"/>
      <c r="V122" s="8"/>
      <c r="W122" s="8"/>
      <c r="X122" s="8"/>
      <c r="Y122" s="8"/>
      <c r="Z122" s="8"/>
    </row>
    <row r="123">
      <c r="A123" s="8"/>
      <c r="B123" s="8"/>
      <c r="C123" s="8"/>
      <c r="D123" s="8"/>
      <c r="E123" s="8"/>
      <c r="F123" s="8"/>
      <c r="G123" s="8"/>
      <c r="H123" s="8"/>
      <c r="I123" s="8"/>
      <c r="J123" s="8"/>
      <c r="K123" s="8"/>
      <c r="L123" s="8"/>
      <c r="M123" s="8"/>
      <c r="N123" s="8"/>
      <c r="O123" s="8"/>
      <c r="P123" s="8"/>
      <c r="Q123" s="8"/>
      <c r="R123" s="8"/>
      <c r="S123" s="8"/>
      <c r="T123" s="8"/>
      <c r="U123" s="8"/>
      <c r="V123" s="8"/>
      <c r="W123" s="8"/>
      <c r="X123" s="8"/>
      <c r="Y123" s="8"/>
      <c r="Z123" s="8"/>
    </row>
    <row r="124">
      <c r="A124" s="8"/>
      <c r="B124" s="8"/>
      <c r="C124" s="8"/>
      <c r="D124" s="8"/>
      <c r="E124" s="8"/>
      <c r="F124" s="8"/>
      <c r="G124" s="8"/>
      <c r="H124" s="8"/>
      <c r="I124" s="8"/>
      <c r="J124" s="8"/>
      <c r="K124" s="8"/>
      <c r="L124" s="8"/>
      <c r="M124" s="8"/>
      <c r="N124" s="8"/>
      <c r="O124" s="8"/>
      <c r="P124" s="8"/>
      <c r="Q124" s="8"/>
      <c r="R124" s="8"/>
      <c r="S124" s="8"/>
      <c r="T124" s="8"/>
      <c r="U124" s="8"/>
      <c r="V124" s="8"/>
      <c r="W124" s="8"/>
      <c r="X124" s="8"/>
      <c r="Y124" s="8"/>
      <c r="Z124" s="8"/>
    </row>
    <row r="125">
      <c r="A125" s="8"/>
      <c r="B125" s="8"/>
      <c r="C125" s="8"/>
      <c r="D125" s="8"/>
      <c r="E125" s="8"/>
      <c r="F125" s="8"/>
      <c r="G125" s="8"/>
      <c r="H125" s="8"/>
      <c r="I125" s="8"/>
      <c r="J125" s="8"/>
      <c r="K125" s="8"/>
      <c r="L125" s="8"/>
      <c r="M125" s="8"/>
      <c r="N125" s="8"/>
      <c r="O125" s="8"/>
      <c r="P125" s="8"/>
      <c r="Q125" s="8"/>
      <c r="R125" s="8"/>
      <c r="S125" s="8"/>
      <c r="T125" s="8"/>
      <c r="U125" s="8"/>
      <c r="V125" s="8"/>
      <c r="W125" s="8"/>
      <c r="X125" s="8"/>
      <c r="Y125" s="8"/>
      <c r="Z125" s="8"/>
    </row>
    <row r="126">
      <c r="A126" s="8"/>
      <c r="B126" s="8"/>
      <c r="C126" s="8"/>
      <c r="D126" s="8"/>
      <c r="E126" s="8"/>
      <c r="F126" s="8"/>
      <c r="G126" s="8"/>
      <c r="H126" s="8"/>
      <c r="I126" s="8"/>
      <c r="J126" s="8"/>
      <c r="K126" s="8"/>
      <c r="L126" s="8"/>
      <c r="M126" s="8"/>
      <c r="N126" s="8"/>
      <c r="O126" s="8"/>
      <c r="P126" s="8"/>
      <c r="Q126" s="8"/>
      <c r="R126" s="8"/>
      <c r="S126" s="8"/>
      <c r="T126" s="8"/>
      <c r="U126" s="8"/>
      <c r="V126" s="8"/>
      <c r="W126" s="8"/>
      <c r="X126" s="8"/>
      <c r="Y126" s="8"/>
      <c r="Z126" s="8"/>
    </row>
    <row r="127">
      <c r="A127" s="8"/>
      <c r="B127" s="8"/>
      <c r="C127" s="8"/>
      <c r="D127" s="8"/>
      <c r="E127" s="8"/>
      <c r="F127" s="8"/>
      <c r="G127" s="8"/>
      <c r="H127" s="8"/>
      <c r="I127" s="8"/>
      <c r="J127" s="8"/>
      <c r="K127" s="8"/>
      <c r="L127" s="8"/>
      <c r="M127" s="8"/>
      <c r="N127" s="8"/>
      <c r="O127" s="8"/>
      <c r="P127" s="8"/>
      <c r="Q127" s="8"/>
      <c r="R127" s="8"/>
      <c r="S127" s="8"/>
      <c r="T127" s="8"/>
      <c r="U127" s="8"/>
      <c r="V127" s="8"/>
      <c r="W127" s="8"/>
      <c r="X127" s="8"/>
      <c r="Y127" s="8"/>
      <c r="Z127" s="8"/>
    </row>
    <row r="128">
      <c r="A128" s="8"/>
      <c r="B128" s="8"/>
      <c r="C128" s="8"/>
      <c r="D128" s="8"/>
      <c r="E128" s="8"/>
      <c r="F128" s="8"/>
      <c r="G128" s="8"/>
      <c r="H128" s="8"/>
      <c r="I128" s="8"/>
      <c r="J128" s="8"/>
      <c r="K128" s="8"/>
      <c r="L128" s="8"/>
      <c r="M128" s="8"/>
      <c r="N128" s="8"/>
      <c r="O128" s="8"/>
      <c r="P128" s="8"/>
      <c r="Q128" s="8"/>
      <c r="R128" s="8"/>
      <c r="S128" s="8"/>
      <c r="T128" s="8"/>
      <c r="U128" s="8"/>
      <c r="V128" s="8"/>
      <c r="W128" s="8"/>
      <c r="X128" s="8"/>
      <c r="Y128" s="8"/>
      <c r="Z128" s="8"/>
    </row>
    <row r="129">
      <c r="A129" s="8"/>
      <c r="B129" s="8"/>
      <c r="C129" s="8"/>
      <c r="D129" s="8"/>
      <c r="E129" s="8"/>
      <c r="F129" s="8"/>
      <c r="G129" s="8"/>
      <c r="H129" s="8"/>
      <c r="I129" s="8"/>
      <c r="J129" s="8"/>
      <c r="K129" s="8"/>
      <c r="L129" s="8"/>
      <c r="M129" s="8"/>
      <c r="N129" s="8"/>
      <c r="O129" s="8"/>
      <c r="P129" s="8"/>
      <c r="Q129" s="8"/>
      <c r="R129" s="8"/>
      <c r="S129" s="8"/>
      <c r="T129" s="8"/>
      <c r="U129" s="8"/>
      <c r="V129" s="8"/>
      <c r="W129" s="8"/>
      <c r="X129" s="8"/>
      <c r="Y129" s="8"/>
      <c r="Z129" s="8"/>
    </row>
    <row r="130">
      <c r="A130" s="8"/>
      <c r="B130" s="8"/>
      <c r="C130" s="8"/>
      <c r="D130" s="8"/>
      <c r="E130" s="8"/>
      <c r="F130" s="8"/>
      <c r="G130" s="8"/>
      <c r="H130" s="8"/>
      <c r="I130" s="8"/>
      <c r="J130" s="8"/>
      <c r="K130" s="8"/>
      <c r="L130" s="8"/>
      <c r="M130" s="8"/>
      <c r="N130" s="8"/>
      <c r="O130" s="8"/>
      <c r="P130" s="8"/>
      <c r="Q130" s="8"/>
      <c r="R130" s="8"/>
      <c r="S130" s="8"/>
      <c r="T130" s="8"/>
      <c r="U130" s="8"/>
      <c r="V130" s="8"/>
      <c r="W130" s="8"/>
      <c r="X130" s="8"/>
      <c r="Y130" s="8"/>
      <c r="Z130" s="8"/>
    </row>
    <row r="131">
      <c r="A131" s="8"/>
      <c r="B131" s="8"/>
      <c r="C131" s="8"/>
      <c r="D131" s="8"/>
      <c r="E131" s="8"/>
      <c r="F131" s="8"/>
      <c r="G131" s="8"/>
      <c r="H131" s="8"/>
      <c r="I131" s="8"/>
      <c r="J131" s="8"/>
      <c r="K131" s="8"/>
      <c r="L131" s="8"/>
      <c r="M131" s="8"/>
      <c r="N131" s="8"/>
      <c r="O131" s="8"/>
      <c r="P131" s="8"/>
      <c r="Q131" s="8"/>
      <c r="R131" s="8"/>
      <c r="S131" s="8"/>
      <c r="T131" s="8"/>
      <c r="U131" s="8"/>
      <c r="V131" s="8"/>
      <c r="W131" s="8"/>
      <c r="X131" s="8"/>
      <c r="Y131" s="8"/>
      <c r="Z131" s="8"/>
    </row>
    <row r="132">
      <c r="A132" s="8"/>
      <c r="B132" s="8"/>
      <c r="C132" s="8"/>
      <c r="D132" s="8"/>
      <c r="E132" s="8"/>
      <c r="F132" s="8"/>
      <c r="G132" s="8"/>
      <c r="H132" s="8"/>
      <c r="I132" s="8"/>
      <c r="J132" s="8"/>
      <c r="K132" s="8"/>
      <c r="L132" s="8"/>
      <c r="M132" s="8"/>
      <c r="N132" s="8"/>
      <c r="O132" s="8"/>
      <c r="P132" s="8"/>
      <c r="Q132" s="8"/>
      <c r="R132" s="8"/>
      <c r="S132" s="8"/>
      <c r="T132" s="8"/>
      <c r="U132" s="8"/>
      <c r="V132" s="8"/>
      <c r="W132" s="8"/>
      <c r="X132" s="8"/>
      <c r="Y132" s="8"/>
      <c r="Z132" s="8"/>
    </row>
    <row r="133">
      <c r="A133" s="8"/>
      <c r="B133" s="8"/>
      <c r="C133" s="8"/>
      <c r="D133" s="8"/>
      <c r="E133" s="8"/>
      <c r="F133" s="8"/>
      <c r="G133" s="8"/>
      <c r="H133" s="8"/>
      <c r="I133" s="8"/>
      <c r="J133" s="8"/>
      <c r="K133" s="8"/>
      <c r="L133" s="8"/>
      <c r="M133" s="8"/>
      <c r="N133" s="8"/>
      <c r="O133" s="8"/>
      <c r="P133" s="8"/>
      <c r="Q133" s="8"/>
      <c r="R133" s="8"/>
      <c r="S133" s="8"/>
      <c r="T133" s="8"/>
      <c r="U133" s="8"/>
      <c r="V133" s="8"/>
      <c r="W133" s="8"/>
      <c r="X133" s="8"/>
      <c r="Y133" s="8"/>
      <c r="Z133" s="8"/>
    </row>
    <row r="134">
      <c r="A134" s="8"/>
      <c r="B134" s="8"/>
      <c r="C134" s="8"/>
      <c r="D134" s="8"/>
      <c r="E134" s="8"/>
      <c r="F134" s="8"/>
      <c r="G134" s="8"/>
      <c r="H134" s="8"/>
      <c r="I134" s="8"/>
      <c r="J134" s="8"/>
      <c r="K134" s="8"/>
      <c r="L134" s="8"/>
      <c r="M134" s="8"/>
      <c r="N134" s="8"/>
      <c r="O134" s="8"/>
      <c r="P134" s="8"/>
      <c r="Q134" s="8"/>
      <c r="R134" s="8"/>
      <c r="S134" s="8"/>
      <c r="T134" s="8"/>
      <c r="U134" s="8"/>
      <c r="V134" s="8"/>
      <c r="W134" s="8"/>
      <c r="X134" s="8"/>
      <c r="Y134" s="8"/>
      <c r="Z134" s="8"/>
    </row>
    <row r="135">
      <c r="A135" s="8"/>
      <c r="B135" s="8"/>
      <c r="C135" s="8"/>
      <c r="D135" s="8"/>
      <c r="E135" s="8"/>
      <c r="F135" s="8"/>
      <c r="G135" s="8"/>
      <c r="H135" s="8"/>
      <c r="I135" s="8"/>
      <c r="J135" s="8"/>
      <c r="K135" s="8"/>
      <c r="L135" s="8"/>
      <c r="M135" s="8"/>
      <c r="N135" s="8"/>
      <c r="O135" s="8"/>
      <c r="P135" s="8"/>
      <c r="Q135" s="8"/>
      <c r="R135" s="8"/>
      <c r="S135" s="8"/>
      <c r="T135" s="8"/>
      <c r="U135" s="8"/>
      <c r="V135" s="8"/>
      <c r="W135" s="8"/>
      <c r="X135" s="8"/>
      <c r="Y135" s="8"/>
      <c r="Z135" s="8"/>
    </row>
    <row r="136">
      <c r="A136" s="8"/>
      <c r="B136" s="8"/>
      <c r="C136" s="8"/>
      <c r="D136" s="8"/>
      <c r="E136" s="8"/>
      <c r="F136" s="8"/>
      <c r="G136" s="8"/>
      <c r="H136" s="8"/>
      <c r="I136" s="8"/>
      <c r="J136" s="8"/>
      <c r="K136" s="8"/>
      <c r="L136" s="8"/>
      <c r="M136" s="8"/>
      <c r="N136" s="8"/>
      <c r="O136" s="8"/>
      <c r="P136" s="8"/>
      <c r="Q136" s="8"/>
      <c r="R136" s="8"/>
      <c r="S136" s="8"/>
      <c r="T136" s="8"/>
      <c r="U136" s="8"/>
      <c r="V136" s="8"/>
      <c r="W136" s="8"/>
      <c r="X136" s="8"/>
      <c r="Y136" s="8"/>
      <c r="Z136" s="8"/>
    </row>
    <row r="137">
      <c r="A137" s="8"/>
      <c r="B137" s="8"/>
      <c r="C137" s="8"/>
      <c r="D137" s="8"/>
      <c r="E137" s="8"/>
      <c r="F137" s="8"/>
      <c r="G137" s="8"/>
      <c r="H137" s="8"/>
      <c r="I137" s="8"/>
      <c r="J137" s="8"/>
      <c r="K137" s="8"/>
      <c r="L137" s="8"/>
      <c r="M137" s="8"/>
      <c r="N137" s="8"/>
      <c r="O137" s="8"/>
      <c r="P137" s="8"/>
      <c r="Q137" s="8"/>
      <c r="R137" s="8"/>
      <c r="S137" s="8"/>
      <c r="T137" s="8"/>
      <c r="U137" s="8"/>
      <c r="V137" s="8"/>
      <c r="W137" s="8"/>
      <c r="X137" s="8"/>
      <c r="Y137" s="8"/>
      <c r="Z137" s="8"/>
    </row>
    <row r="138">
      <c r="A138" s="8"/>
      <c r="B138" s="8"/>
      <c r="C138" s="8"/>
      <c r="D138" s="8"/>
      <c r="E138" s="8"/>
      <c r="F138" s="8"/>
      <c r="G138" s="8"/>
      <c r="H138" s="8"/>
      <c r="I138" s="8"/>
      <c r="J138" s="8"/>
      <c r="K138" s="8"/>
      <c r="L138" s="8"/>
      <c r="M138" s="8"/>
      <c r="N138" s="8"/>
      <c r="O138" s="8"/>
      <c r="P138" s="8"/>
      <c r="Q138" s="8"/>
      <c r="R138" s="8"/>
      <c r="S138" s="8"/>
      <c r="T138" s="8"/>
      <c r="U138" s="8"/>
      <c r="V138" s="8"/>
      <c r="W138" s="8"/>
      <c r="X138" s="8"/>
      <c r="Y138" s="8"/>
      <c r="Z138" s="8"/>
    </row>
    <row r="139">
      <c r="A139" s="8"/>
      <c r="B139" s="8"/>
      <c r="C139" s="8"/>
      <c r="D139" s="8"/>
      <c r="E139" s="8"/>
      <c r="F139" s="8"/>
      <c r="G139" s="8"/>
      <c r="H139" s="8"/>
      <c r="I139" s="8"/>
      <c r="J139" s="8"/>
      <c r="K139" s="8"/>
      <c r="L139" s="8"/>
      <c r="M139" s="8"/>
      <c r="N139" s="8"/>
      <c r="O139" s="8"/>
      <c r="P139" s="8"/>
      <c r="Q139" s="8"/>
      <c r="R139" s="8"/>
      <c r="S139" s="8"/>
      <c r="T139" s="8"/>
      <c r="U139" s="8"/>
      <c r="V139" s="8"/>
      <c r="W139" s="8"/>
      <c r="X139" s="8"/>
      <c r="Y139" s="8"/>
      <c r="Z139" s="8"/>
    </row>
    <row r="140">
      <c r="A140" s="8"/>
      <c r="B140" s="8"/>
      <c r="C140" s="8"/>
      <c r="D140" s="8"/>
      <c r="E140" s="8"/>
      <c r="F140" s="8"/>
      <c r="G140" s="8"/>
      <c r="H140" s="8"/>
      <c r="I140" s="8"/>
      <c r="J140" s="8"/>
      <c r="K140" s="8"/>
      <c r="L140" s="8"/>
      <c r="M140" s="8"/>
      <c r="N140" s="8"/>
      <c r="O140" s="8"/>
      <c r="P140" s="8"/>
      <c r="Q140" s="8"/>
      <c r="R140" s="8"/>
      <c r="S140" s="8"/>
      <c r="T140" s="8"/>
      <c r="U140" s="8"/>
      <c r="V140" s="8"/>
      <c r="W140" s="8"/>
      <c r="X140" s="8"/>
      <c r="Y140" s="8"/>
      <c r="Z140" s="8"/>
    </row>
    <row r="141">
      <c r="A141" s="8"/>
      <c r="B141" s="8"/>
      <c r="C141" s="8"/>
      <c r="D141" s="8"/>
      <c r="E141" s="8"/>
      <c r="F141" s="8"/>
      <c r="G141" s="8"/>
      <c r="H141" s="8"/>
      <c r="I141" s="8"/>
      <c r="J141" s="8"/>
      <c r="K141" s="8"/>
      <c r="L141" s="8"/>
      <c r="M141" s="8"/>
      <c r="N141" s="8"/>
      <c r="O141" s="8"/>
      <c r="P141" s="8"/>
      <c r="Q141" s="8"/>
      <c r="R141" s="8"/>
      <c r="S141" s="8"/>
      <c r="T141" s="8"/>
      <c r="U141" s="8"/>
      <c r="V141" s="8"/>
      <c r="W141" s="8"/>
      <c r="X141" s="8"/>
      <c r="Y141" s="8"/>
      <c r="Z141" s="8"/>
    </row>
    <row r="142">
      <c r="A142" s="8"/>
      <c r="B142" s="8"/>
      <c r="C142" s="8"/>
      <c r="D142" s="8"/>
      <c r="E142" s="8"/>
      <c r="F142" s="8"/>
      <c r="G142" s="8"/>
      <c r="H142" s="8"/>
      <c r="I142" s="8"/>
      <c r="J142" s="8"/>
      <c r="K142" s="8"/>
      <c r="L142" s="8"/>
      <c r="M142" s="8"/>
      <c r="N142" s="8"/>
      <c r="O142" s="8"/>
      <c r="P142" s="8"/>
      <c r="Q142" s="8"/>
      <c r="R142" s="8"/>
      <c r="S142" s="8"/>
      <c r="T142" s="8"/>
      <c r="U142" s="8"/>
      <c r="V142" s="8"/>
      <c r="W142" s="8"/>
      <c r="X142" s="8"/>
      <c r="Y142" s="8"/>
      <c r="Z142" s="8"/>
    </row>
    <row r="143">
      <c r="A143" s="8"/>
      <c r="B143" s="8"/>
      <c r="C143" s="8"/>
      <c r="D143" s="8"/>
      <c r="E143" s="8"/>
      <c r="F143" s="8"/>
      <c r="G143" s="8"/>
      <c r="H143" s="8"/>
      <c r="I143" s="8"/>
      <c r="J143" s="8"/>
      <c r="K143" s="8"/>
      <c r="L143" s="8"/>
      <c r="M143" s="8"/>
      <c r="N143" s="8"/>
      <c r="O143" s="8"/>
      <c r="P143" s="8"/>
      <c r="Q143" s="8"/>
      <c r="R143" s="8"/>
      <c r="S143" s="8"/>
      <c r="T143" s="8"/>
      <c r="U143" s="8"/>
      <c r="V143" s="8"/>
      <c r="W143" s="8"/>
      <c r="X143" s="8"/>
      <c r="Y143" s="8"/>
      <c r="Z143" s="8"/>
    </row>
    <row r="144">
      <c r="A144" s="8"/>
      <c r="B144" s="8"/>
      <c r="C144" s="8"/>
      <c r="D144" s="8"/>
      <c r="E144" s="8"/>
      <c r="F144" s="8"/>
      <c r="G144" s="8"/>
      <c r="H144" s="8"/>
      <c r="I144" s="8"/>
      <c r="J144" s="8"/>
      <c r="K144" s="8"/>
      <c r="L144" s="8"/>
      <c r="M144" s="8"/>
      <c r="N144" s="8"/>
      <c r="O144" s="8"/>
      <c r="P144" s="8"/>
      <c r="Q144" s="8"/>
      <c r="R144" s="8"/>
      <c r="S144" s="8"/>
      <c r="T144" s="8"/>
      <c r="U144" s="8"/>
      <c r="V144" s="8"/>
      <c r="W144" s="8"/>
      <c r="X144" s="8"/>
      <c r="Y144" s="8"/>
      <c r="Z144" s="8"/>
    </row>
    <row r="145">
      <c r="A145" s="8"/>
      <c r="B145" s="8"/>
      <c r="C145" s="8"/>
      <c r="D145" s="8"/>
      <c r="E145" s="8"/>
      <c r="F145" s="8"/>
      <c r="G145" s="8"/>
      <c r="H145" s="8"/>
      <c r="I145" s="8"/>
      <c r="J145" s="8"/>
      <c r="K145" s="8"/>
      <c r="L145" s="8"/>
      <c r="M145" s="8"/>
      <c r="N145" s="8"/>
      <c r="O145" s="8"/>
      <c r="P145" s="8"/>
      <c r="Q145" s="8"/>
      <c r="R145" s="8"/>
      <c r="S145" s="8"/>
      <c r="T145" s="8"/>
      <c r="U145" s="8"/>
      <c r="V145" s="8"/>
      <c r="W145" s="8"/>
      <c r="X145" s="8"/>
      <c r="Y145" s="8"/>
      <c r="Z145" s="8"/>
    </row>
    <row r="146">
      <c r="A146" s="8"/>
      <c r="B146" s="8"/>
      <c r="C146" s="8"/>
      <c r="D146" s="8"/>
      <c r="E146" s="8"/>
      <c r="F146" s="8"/>
      <c r="G146" s="8"/>
      <c r="H146" s="8"/>
      <c r="I146" s="8"/>
      <c r="J146" s="8"/>
      <c r="K146" s="8"/>
      <c r="L146" s="8"/>
      <c r="M146" s="8"/>
      <c r="N146" s="8"/>
      <c r="O146" s="8"/>
      <c r="P146" s="8"/>
      <c r="Q146" s="8"/>
      <c r="R146" s="8"/>
      <c r="S146" s="8"/>
      <c r="T146" s="8"/>
      <c r="U146" s="8"/>
      <c r="V146" s="8"/>
      <c r="W146" s="8"/>
      <c r="X146" s="8"/>
      <c r="Y146" s="8"/>
      <c r="Z146" s="8"/>
    </row>
    <row r="147">
      <c r="A147" s="8"/>
      <c r="B147" s="8"/>
      <c r="C147" s="8"/>
      <c r="D147" s="8"/>
      <c r="E147" s="8"/>
      <c r="F147" s="8"/>
      <c r="G147" s="8"/>
      <c r="H147" s="8"/>
      <c r="I147" s="8"/>
      <c r="J147" s="8"/>
      <c r="K147" s="8"/>
      <c r="L147" s="8"/>
      <c r="M147" s="8"/>
      <c r="N147" s="8"/>
      <c r="O147" s="8"/>
      <c r="P147" s="8"/>
      <c r="Q147" s="8"/>
      <c r="R147" s="8"/>
      <c r="S147" s="8"/>
      <c r="T147" s="8"/>
      <c r="U147" s="8"/>
      <c r="V147" s="8"/>
      <c r="W147" s="8"/>
      <c r="X147" s="8"/>
      <c r="Y147" s="8"/>
      <c r="Z147" s="8"/>
    </row>
    <row r="148">
      <c r="A148" s="8"/>
      <c r="B148" s="8"/>
      <c r="C148" s="8"/>
      <c r="D148" s="8"/>
      <c r="E148" s="8"/>
      <c r="F148" s="8"/>
      <c r="G148" s="8"/>
      <c r="H148" s="8"/>
      <c r="I148" s="8"/>
      <c r="J148" s="8"/>
      <c r="K148" s="8"/>
      <c r="L148" s="8"/>
      <c r="M148" s="8"/>
      <c r="N148" s="8"/>
      <c r="O148" s="8"/>
      <c r="P148" s="8"/>
      <c r="Q148" s="8"/>
      <c r="R148" s="8"/>
      <c r="S148" s="8"/>
      <c r="T148" s="8"/>
      <c r="U148" s="8"/>
      <c r="V148" s="8"/>
      <c r="W148" s="8"/>
      <c r="X148" s="8"/>
      <c r="Y148" s="8"/>
      <c r="Z148" s="8"/>
    </row>
    <row r="149">
      <c r="A149" s="8"/>
      <c r="B149" s="8"/>
      <c r="C149" s="8"/>
      <c r="D149" s="8"/>
      <c r="E149" s="8"/>
      <c r="F149" s="8"/>
      <c r="G149" s="8"/>
      <c r="H149" s="8"/>
      <c r="I149" s="8"/>
      <c r="J149" s="8"/>
      <c r="K149" s="8"/>
      <c r="L149" s="8"/>
      <c r="M149" s="8"/>
      <c r="N149" s="8"/>
      <c r="O149" s="8"/>
      <c r="P149" s="8"/>
      <c r="Q149" s="8"/>
      <c r="R149" s="8"/>
      <c r="S149" s="8"/>
      <c r="T149" s="8"/>
      <c r="U149" s="8"/>
      <c r="V149" s="8"/>
      <c r="W149" s="8"/>
      <c r="X149" s="8"/>
      <c r="Y149" s="8"/>
      <c r="Z149" s="8"/>
    </row>
    <row r="150">
      <c r="A150" s="8"/>
      <c r="B150" s="8"/>
      <c r="C150" s="8"/>
      <c r="D150" s="8"/>
      <c r="E150" s="8"/>
      <c r="F150" s="8"/>
      <c r="G150" s="8"/>
      <c r="H150" s="8"/>
      <c r="I150" s="8"/>
      <c r="J150" s="8"/>
      <c r="K150" s="8"/>
      <c r="L150" s="8"/>
      <c r="M150" s="8"/>
      <c r="N150" s="8"/>
      <c r="O150" s="8"/>
      <c r="P150" s="8"/>
      <c r="Q150" s="8"/>
      <c r="R150" s="8"/>
      <c r="S150" s="8"/>
      <c r="T150" s="8"/>
      <c r="U150" s="8"/>
      <c r="V150" s="8"/>
      <c r="W150" s="8"/>
      <c r="X150" s="8"/>
      <c r="Y150" s="8"/>
      <c r="Z150" s="8"/>
    </row>
    <row r="151">
      <c r="A151" s="8"/>
      <c r="B151" s="8"/>
      <c r="C151" s="8"/>
      <c r="D151" s="8"/>
      <c r="E151" s="8"/>
      <c r="F151" s="8"/>
      <c r="G151" s="8"/>
      <c r="H151" s="8"/>
      <c r="I151" s="8"/>
      <c r="J151" s="8"/>
      <c r="K151" s="8"/>
      <c r="L151" s="8"/>
      <c r="M151" s="8"/>
      <c r="N151" s="8"/>
      <c r="O151" s="8"/>
      <c r="P151" s="8"/>
      <c r="Q151" s="8"/>
      <c r="R151" s="8"/>
      <c r="S151" s="8"/>
      <c r="T151" s="8"/>
      <c r="U151" s="8"/>
      <c r="V151" s="8"/>
      <c r="W151" s="8"/>
      <c r="X151" s="8"/>
      <c r="Y151" s="8"/>
      <c r="Z151" s="8"/>
    </row>
    <row r="152">
      <c r="A152" s="8"/>
      <c r="B152" s="8"/>
      <c r="C152" s="8"/>
      <c r="D152" s="8"/>
      <c r="E152" s="8"/>
      <c r="F152" s="8"/>
      <c r="G152" s="8"/>
      <c r="H152" s="8"/>
      <c r="I152" s="8"/>
      <c r="J152" s="8"/>
      <c r="K152" s="8"/>
      <c r="L152" s="8"/>
      <c r="M152" s="8"/>
      <c r="N152" s="8"/>
      <c r="O152" s="8"/>
      <c r="P152" s="8"/>
      <c r="Q152" s="8"/>
      <c r="R152" s="8"/>
      <c r="S152" s="8"/>
      <c r="T152" s="8"/>
      <c r="U152" s="8"/>
      <c r="V152" s="8"/>
      <c r="W152" s="8"/>
      <c r="X152" s="8"/>
      <c r="Y152" s="8"/>
      <c r="Z152" s="8"/>
    </row>
    <row r="153">
      <c r="A153" s="8"/>
      <c r="B153" s="8"/>
      <c r="C153" s="8"/>
      <c r="D153" s="8"/>
      <c r="E153" s="8"/>
      <c r="F153" s="8"/>
      <c r="G153" s="8"/>
      <c r="H153" s="8"/>
      <c r="I153" s="8"/>
      <c r="J153" s="8"/>
      <c r="K153" s="8"/>
      <c r="L153" s="8"/>
      <c r="M153" s="8"/>
      <c r="N153" s="8"/>
      <c r="O153" s="8"/>
      <c r="P153" s="8"/>
      <c r="Q153" s="8"/>
      <c r="R153" s="8"/>
      <c r="S153" s="8"/>
      <c r="T153" s="8"/>
      <c r="U153" s="8"/>
      <c r="V153" s="8"/>
      <c r="W153" s="8"/>
      <c r="X153" s="8"/>
      <c r="Y153" s="8"/>
      <c r="Z153" s="8"/>
    </row>
    <row r="154">
      <c r="A154" s="8"/>
      <c r="B154" s="8"/>
      <c r="C154" s="8"/>
      <c r="D154" s="8"/>
      <c r="E154" s="8"/>
      <c r="F154" s="8"/>
      <c r="G154" s="8"/>
      <c r="H154" s="8"/>
      <c r="I154" s="8"/>
      <c r="J154" s="8"/>
      <c r="K154" s="8"/>
      <c r="L154" s="8"/>
      <c r="M154" s="8"/>
      <c r="N154" s="8"/>
      <c r="O154" s="8"/>
      <c r="P154" s="8"/>
      <c r="Q154" s="8"/>
      <c r="R154" s="8"/>
      <c r="S154" s="8"/>
      <c r="T154" s="8"/>
      <c r="U154" s="8"/>
      <c r="V154" s="8"/>
      <c r="W154" s="8"/>
      <c r="X154" s="8"/>
      <c r="Y154" s="8"/>
      <c r="Z154" s="8"/>
    </row>
    <row r="155">
      <c r="A155" s="8"/>
      <c r="B155" s="8"/>
      <c r="C155" s="8"/>
      <c r="D155" s="8"/>
      <c r="E155" s="8"/>
      <c r="F155" s="8"/>
      <c r="G155" s="8"/>
      <c r="H155" s="8"/>
      <c r="I155" s="8"/>
      <c r="J155" s="8"/>
      <c r="K155" s="8"/>
      <c r="L155" s="8"/>
      <c r="M155" s="8"/>
      <c r="N155" s="8"/>
      <c r="O155" s="8"/>
      <c r="P155" s="8"/>
      <c r="Q155" s="8"/>
      <c r="R155" s="8"/>
      <c r="S155" s="8"/>
      <c r="T155" s="8"/>
      <c r="U155" s="8"/>
      <c r="V155" s="8"/>
      <c r="W155" s="8"/>
      <c r="X155" s="8"/>
      <c r="Y155" s="8"/>
      <c r="Z155" s="8"/>
    </row>
    <row r="156">
      <c r="A156" s="8"/>
      <c r="B156" s="8"/>
      <c r="C156" s="8"/>
      <c r="D156" s="8"/>
      <c r="E156" s="8"/>
      <c r="F156" s="8"/>
      <c r="G156" s="8"/>
      <c r="H156" s="8"/>
      <c r="I156" s="8"/>
      <c r="J156" s="8"/>
      <c r="K156" s="8"/>
      <c r="L156" s="8"/>
      <c r="M156" s="8"/>
      <c r="N156" s="8"/>
      <c r="O156" s="8"/>
      <c r="P156" s="8"/>
      <c r="Q156" s="8"/>
      <c r="R156" s="8"/>
      <c r="S156" s="8"/>
      <c r="T156" s="8"/>
      <c r="U156" s="8"/>
      <c r="V156" s="8"/>
      <c r="W156" s="8"/>
      <c r="X156" s="8"/>
      <c r="Y156" s="8"/>
      <c r="Z156" s="8"/>
    </row>
    <row r="157">
      <c r="A157" s="8"/>
      <c r="B157" s="8"/>
      <c r="C157" s="8"/>
      <c r="D157" s="8"/>
      <c r="E157" s="8"/>
      <c r="F157" s="8"/>
      <c r="G157" s="8"/>
      <c r="H157" s="8"/>
      <c r="I157" s="8"/>
      <c r="J157" s="8"/>
      <c r="K157" s="8"/>
      <c r="L157" s="8"/>
      <c r="M157" s="8"/>
      <c r="N157" s="8"/>
      <c r="O157" s="8"/>
      <c r="P157" s="8"/>
      <c r="Q157" s="8"/>
      <c r="R157" s="8"/>
      <c r="S157" s="8"/>
      <c r="T157" s="8"/>
      <c r="U157" s="8"/>
      <c r="V157" s="8"/>
      <c r="W157" s="8"/>
      <c r="X157" s="8"/>
      <c r="Y157" s="8"/>
      <c r="Z157" s="8"/>
    </row>
    <row r="158">
      <c r="A158" s="8"/>
      <c r="B158" s="8"/>
      <c r="C158" s="8"/>
      <c r="D158" s="8"/>
      <c r="E158" s="8"/>
      <c r="F158" s="8"/>
      <c r="G158" s="8"/>
      <c r="H158" s="8"/>
      <c r="I158" s="8"/>
      <c r="J158" s="8"/>
      <c r="K158" s="8"/>
      <c r="L158" s="8"/>
      <c r="M158" s="8"/>
      <c r="N158" s="8"/>
      <c r="O158" s="8"/>
      <c r="P158" s="8"/>
      <c r="Q158" s="8"/>
      <c r="R158" s="8"/>
      <c r="S158" s="8"/>
      <c r="T158" s="8"/>
      <c r="U158" s="8"/>
      <c r="V158" s="8"/>
      <c r="W158" s="8"/>
      <c r="X158" s="8"/>
      <c r="Y158" s="8"/>
      <c r="Z158" s="8"/>
    </row>
    <row r="159">
      <c r="A159" s="8"/>
      <c r="B159" s="8"/>
      <c r="C159" s="8"/>
      <c r="D159" s="8"/>
      <c r="E159" s="8"/>
      <c r="F159" s="8"/>
      <c r="G159" s="8"/>
      <c r="H159" s="8"/>
      <c r="I159" s="8"/>
      <c r="J159" s="8"/>
      <c r="K159" s="8"/>
      <c r="L159" s="8"/>
      <c r="M159" s="8"/>
      <c r="N159" s="8"/>
      <c r="O159" s="8"/>
      <c r="P159" s="8"/>
      <c r="Q159" s="8"/>
      <c r="R159" s="8"/>
      <c r="S159" s="8"/>
      <c r="T159" s="8"/>
      <c r="U159" s="8"/>
      <c r="V159" s="8"/>
      <c r="W159" s="8"/>
      <c r="X159" s="8"/>
      <c r="Y159" s="8"/>
      <c r="Z159" s="8"/>
    </row>
    <row r="160">
      <c r="A160" s="8"/>
      <c r="B160" s="8"/>
      <c r="C160" s="8"/>
      <c r="D160" s="8"/>
      <c r="E160" s="8"/>
      <c r="F160" s="8"/>
      <c r="G160" s="8"/>
      <c r="H160" s="8"/>
      <c r="I160" s="8"/>
      <c r="J160" s="8"/>
      <c r="K160" s="8"/>
      <c r="L160" s="8"/>
      <c r="M160" s="8"/>
      <c r="N160" s="8"/>
      <c r="O160" s="8"/>
      <c r="P160" s="8"/>
      <c r="Q160" s="8"/>
      <c r="R160" s="8"/>
      <c r="S160" s="8"/>
      <c r="T160" s="8"/>
      <c r="U160" s="8"/>
      <c r="V160" s="8"/>
      <c r="W160" s="8"/>
      <c r="X160" s="8"/>
      <c r="Y160" s="8"/>
      <c r="Z160" s="8"/>
    </row>
    <row r="161">
      <c r="A161" s="8"/>
      <c r="B161" s="8"/>
      <c r="C161" s="8"/>
      <c r="D161" s="8"/>
      <c r="E161" s="8"/>
      <c r="F161" s="8"/>
      <c r="G161" s="8"/>
      <c r="H161" s="8"/>
      <c r="I161" s="8"/>
      <c r="J161" s="8"/>
      <c r="K161" s="8"/>
      <c r="L161" s="8"/>
      <c r="M161" s="8"/>
      <c r="N161" s="8"/>
      <c r="O161" s="8"/>
      <c r="P161" s="8"/>
      <c r="Q161" s="8"/>
      <c r="R161" s="8"/>
      <c r="S161" s="8"/>
      <c r="T161" s="8"/>
      <c r="U161" s="8"/>
      <c r="V161" s="8"/>
      <c r="W161" s="8"/>
      <c r="X161" s="8"/>
      <c r="Y161" s="8"/>
      <c r="Z161" s="8"/>
    </row>
    <row r="162">
      <c r="A162" s="8"/>
      <c r="B162" s="8"/>
      <c r="C162" s="8"/>
      <c r="D162" s="8"/>
      <c r="E162" s="8"/>
      <c r="F162" s="8"/>
      <c r="G162" s="8"/>
      <c r="H162" s="8"/>
      <c r="I162" s="8"/>
      <c r="J162" s="8"/>
      <c r="K162" s="8"/>
      <c r="L162" s="8"/>
      <c r="M162" s="8"/>
      <c r="N162" s="8"/>
      <c r="O162" s="8"/>
      <c r="P162" s="8"/>
      <c r="Q162" s="8"/>
      <c r="R162" s="8"/>
      <c r="S162" s="8"/>
      <c r="T162" s="8"/>
      <c r="U162" s="8"/>
      <c r="V162" s="8"/>
      <c r="W162" s="8"/>
      <c r="X162" s="8"/>
      <c r="Y162" s="8"/>
      <c r="Z162" s="8"/>
    </row>
    <row r="163">
      <c r="A163" s="8"/>
      <c r="B163" s="8"/>
      <c r="C163" s="8"/>
      <c r="D163" s="8"/>
      <c r="E163" s="8"/>
      <c r="F163" s="8"/>
      <c r="G163" s="8"/>
      <c r="H163" s="8"/>
      <c r="I163" s="8"/>
      <c r="J163" s="8"/>
      <c r="K163" s="8"/>
      <c r="L163" s="8"/>
      <c r="M163" s="8"/>
      <c r="N163" s="8"/>
      <c r="O163" s="8"/>
      <c r="P163" s="8"/>
      <c r="Q163" s="8"/>
      <c r="R163" s="8"/>
      <c r="S163" s="8"/>
      <c r="T163" s="8"/>
      <c r="U163" s="8"/>
      <c r="V163" s="8"/>
      <c r="W163" s="8"/>
      <c r="X163" s="8"/>
      <c r="Y163" s="8"/>
      <c r="Z163" s="8"/>
    </row>
    <row r="164">
      <c r="A164" s="8"/>
      <c r="B164" s="8"/>
      <c r="C164" s="8"/>
      <c r="D164" s="8"/>
      <c r="E164" s="8"/>
      <c r="F164" s="8"/>
      <c r="G164" s="8"/>
      <c r="H164" s="8"/>
      <c r="I164" s="8"/>
      <c r="J164" s="8"/>
      <c r="K164" s="8"/>
      <c r="L164" s="8"/>
      <c r="M164" s="8"/>
      <c r="N164" s="8"/>
      <c r="O164" s="8"/>
      <c r="P164" s="8"/>
      <c r="Q164" s="8"/>
      <c r="R164" s="8"/>
      <c r="S164" s="8"/>
      <c r="T164" s="8"/>
      <c r="U164" s="8"/>
      <c r="V164" s="8"/>
      <c r="W164" s="8"/>
      <c r="X164" s="8"/>
      <c r="Y164" s="8"/>
      <c r="Z164" s="8"/>
    </row>
    <row r="165">
      <c r="A165" s="8"/>
      <c r="B165" s="8"/>
      <c r="C165" s="8"/>
      <c r="D165" s="8"/>
      <c r="E165" s="8"/>
      <c r="F165" s="8"/>
      <c r="G165" s="8"/>
      <c r="H165" s="8"/>
      <c r="I165" s="8"/>
      <c r="J165" s="8"/>
      <c r="K165" s="8"/>
      <c r="L165" s="8"/>
      <c r="M165" s="8"/>
      <c r="N165" s="8"/>
      <c r="O165" s="8"/>
      <c r="P165" s="8"/>
      <c r="Q165" s="8"/>
      <c r="R165" s="8"/>
      <c r="S165" s="8"/>
      <c r="T165" s="8"/>
      <c r="U165" s="8"/>
      <c r="V165" s="8"/>
      <c r="W165" s="8"/>
      <c r="X165" s="8"/>
      <c r="Y165" s="8"/>
      <c r="Z165" s="8"/>
    </row>
    <row r="166">
      <c r="A166" s="8"/>
      <c r="B166" s="8"/>
      <c r="C166" s="8"/>
      <c r="D166" s="8"/>
      <c r="E166" s="8"/>
      <c r="F166" s="8"/>
      <c r="G166" s="8"/>
      <c r="H166" s="8"/>
      <c r="I166" s="8"/>
      <c r="J166" s="8"/>
      <c r="K166" s="8"/>
      <c r="L166" s="8"/>
      <c r="M166" s="8"/>
      <c r="N166" s="8"/>
      <c r="O166" s="8"/>
      <c r="P166" s="8"/>
      <c r="Q166" s="8"/>
      <c r="R166" s="8"/>
      <c r="S166" s="8"/>
      <c r="T166" s="8"/>
      <c r="U166" s="8"/>
      <c r="V166" s="8"/>
      <c r="W166" s="8"/>
      <c r="X166" s="8"/>
      <c r="Y166" s="8"/>
      <c r="Z166" s="8"/>
    </row>
    <row r="167">
      <c r="A167" s="8"/>
      <c r="B167" s="8"/>
      <c r="C167" s="8"/>
      <c r="D167" s="8"/>
      <c r="E167" s="8"/>
      <c r="F167" s="8"/>
      <c r="G167" s="8"/>
      <c r="H167" s="8"/>
      <c r="I167" s="8"/>
      <c r="J167" s="8"/>
      <c r="K167" s="8"/>
      <c r="L167" s="8"/>
      <c r="M167" s="8"/>
      <c r="N167" s="8"/>
      <c r="O167" s="8"/>
      <c r="P167" s="8"/>
      <c r="Q167" s="8"/>
      <c r="R167" s="8"/>
      <c r="S167" s="8"/>
      <c r="T167" s="8"/>
      <c r="U167" s="8"/>
      <c r="V167" s="8"/>
      <c r="W167" s="8"/>
      <c r="X167" s="8"/>
      <c r="Y167" s="8"/>
      <c r="Z167" s="8"/>
    </row>
    <row r="168">
      <c r="A168" s="8"/>
      <c r="B168" s="8"/>
      <c r="C168" s="8"/>
      <c r="D168" s="8"/>
      <c r="E168" s="8"/>
      <c r="F168" s="8"/>
      <c r="G168" s="8"/>
      <c r="H168" s="8"/>
      <c r="I168" s="8"/>
      <c r="J168" s="8"/>
      <c r="K168" s="8"/>
      <c r="L168" s="8"/>
      <c r="M168" s="8"/>
      <c r="N168" s="8"/>
      <c r="O168" s="8"/>
      <c r="P168" s="8"/>
      <c r="Q168" s="8"/>
      <c r="R168" s="8"/>
      <c r="S168" s="8"/>
      <c r="T168" s="8"/>
      <c r="U168" s="8"/>
      <c r="V168" s="8"/>
      <c r="W168" s="8"/>
      <c r="X168" s="8"/>
      <c r="Y168" s="8"/>
      <c r="Z168" s="8"/>
    </row>
    <row r="169">
      <c r="A169" s="8"/>
      <c r="B169" s="8"/>
      <c r="C169" s="8"/>
      <c r="D169" s="8"/>
      <c r="E169" s="8"/>
      <c r="F169" s="8"/>
      <c r="G169" s="8"/>
      <c r="H169" s="8"/>
      <c r="I169" s="8"/>
      <c r="J169" s="8"/>
      <c r="K169" s="8"/>
      <c r="L169" s="8"/>
      <c r="M169" s="8"/>
      <c r="N169" s="8"/>
      <c r="O169" s="8"/>
      <c r="P169" s="8"/>
      <c r="Q169" s="8"/>
      <c r="R169" s="8"/>
      <c r="S169" s="8"/>
      <c r="T169" s="8"/>
      <c r="U169" s="8"/>
      <c r="V169" s="8"/>
      <c r="W169" s="8"/>
      <c r="X169" s="8"/>
      <c r="Y169" s="8"/>
      <c r="Z169" s="8"/>
    </row>
    <row r="170">
      <c r="A170" s="8"/>
      <c r="B170" s="8"/>
      <c r="C170" s="8"/>
      <c r="D170" s="8"/>
      <c r="E170" s="8"/>
      <c r="F170" s="8"/>
      <c r="G170" s="8"/>
      <c r="H170" s="8"/>
      <c r="I170" s="8"/>
      <c r="J170" s="8"/>
      <c r="K170" s="8"/>
      <c r="L170" s="8"/>
      <c r="M170" s="8"/>
      <c r="N170" s="8"/>
      <c r="O170" s="8"/>
      <c r="P170" s="8"/>
      <c r="Q170" s="8"/>
      <c r="R170" s="8"/>
      <c r="S170" s="8"/>
      <c r="T170" s="8"/>
      <c r="U170" s="8"/>
      <c r="V170" s="8"/>
      <c r="W170" s="8"/>
      <c r="X170" s="8"/>
      <c r="Y170" s="8"/>
      <c r="Z170" s="8"/>
    </row>
    <row r="171">
      <c r="A171" s="8"/>
      <c r="B171" s="8"/>
      <c r="C171" s="8"/>
      <c r="D171" s="8"/>
      <c r="E171" s="8"/>
      <c r="F171" s="8"/>
      <c r="G171" s="8"/>
      <c r="H171" s="8"/>
      <c r="I171" s="8"/>
      <c r="J171" s="8"/>
      <c r="K171" s="8"/>
      <c r="L171" s="8"/>
      <c r="M171" s="8"/>
      <c r="N171" s="8"/>
      <c r="O171" s="8"/>
      <c r="P171" s="8"/>
      <c r="Q171" s="8"/>
      <c r="R171" s="8"/>
      <c r="S171" s="8"/>
      <c r="T171" s="8"/>
      <c r="U171" s="8"/>
      <c r="V171" s="8"/>
      <c r="W171" s="8"/>
      <c r="X171" s="8"/>
      <c r="Y171" s="8"/>
      <c r="Z171" s="8"/>
    </row>
    <row r="172">
      <c r="A172" s="8"/>
      <c r="B172" s="8"/>
      <c r="C172" s="8"/>
      <c r="D172" s="8"/>
      <c r="E172" s="8"/>
      <c r="F172" s="8"/>
      <c r="G172" s="8"/>
      <c r="H172" s="8"/>
      <c r="I172" s="8"/>
      <c r="J172" s="8"/>
      <c r="K172" s="8"/>
      <c r="L172" s="8"/>
      <c r="M172" s="8"/>
      <c r="N172" s="8"/>
      <c r="O172" s="8"/>
      <c r="P172" s="8"/>
      <c r="Q172" s="8"/>
      <c r="R172" s="8"/>
      <c r="S172" s="8"/>
      <c r="T172" s="8"/>
      <c r="U172" s="8"/>
      <c r="V172" s="8"/>
      <c r="W172" s="8"/>
      <c r="X172" s="8"/>
      <c r="Y172" s="8"/>
      <c r="Z172" s="8"/>
    </row>
    <row r="173">
      <c r="A173" s="8"/>
      <c r="B173" s="8"/>
      <c r="C173" s="8"/>
      <c r="D173" s="8"/>
      <c r="E173" s="8"/>
      <c r="F173" s="8"/>
      <c r="G173" s="8"/>
      <c r="H173" s="8"/>
      <c r="I173" s="8"/>
      <c r="J173" s="8"/>
      <c r="K173" s="8"/>
      <c r="L173" s="8"/>
      <c r="M173" s="8"/>
      <c r="N173" s="8"/>
      <c r="O173" s="8"/>
      <c r="P173" s="8"/>
      <c r="Q173" s="8"/>
      <c r="R173" s="8"/>
      <c r="S173" s="8"/>
      <c r="T173" s="8"/>
      <c r="U173" s="8"/>
      <c r="V173" s="8"/>
      <c r="W173" s="8"/>
      <c r="X173" s="8"/>
      <c r="Y173" s="8"/>
      <c r="Z173" s="8"/>
    </row>
    <row r="174">
      <c r="A174" s="8"/>
      <c r="B174" s="8"/>
      <c r="C174" s="8"/>
      <c r="D174" s="8"/>
      <c r="E174" s="8"/>
      <c r="F174" s="8"/>
      <c r="G174" s="8"/>
      <c r="H174" s="8"/>
      <c r="I174" s="8"/>
      <c r="J174" s="8"/>
      <c r="K174" s="8"/>
      <c r="L174" s="8"/>
      <c r="M174" s="8"/>
      <c r="N174" s="8"/>
      <c r="O174" s="8"/>
      <c r="P174" s="8"/>
      <c r="Q174" s="8"/>
      <c r="R174" s="8"/>
      <c r="S174" s="8"/>
      <c r="T174" s="8"/>
      <c r="U174" s="8"/>
      <c r="V174" s="8"/>
      <c r="W174" s="8"/>
      <c r="X174" s="8"/>
      <c r="Y174" s="8"/>
      <c r="Z174" s="8"/>
    </row>
    <row r="175">
      <c r="A175" s="8"/>
      <c r="B175" s="8"/>
      <c r="C175" s="8"/>
      <c r="D175" s="8"/>
      <c r="E175" s="8"/>
      <c r="F175" s="8"/>
      <c r="G175" s="8"/>
      <c r="H175" s="8"/>
      <c r="I175" s="8"/>
      <c r="J175" s="8"/>
      <c r="K175" s="8"/>
      <c r="L175" s="8"/>
      <c r="M175" s="8"/>
      <c r="N175" s="8"/>
      <c r="O175" s="8"/>
      <c r="P175" s="8"/>
      <c r="Q175" s="8"/>
      <c r="R175" s="8"/>
      <c r="S175" s="8"/>
      <c r="T175" s="8"/>
      <c r="U175" s="8"/>
      <c r="V175" s="8"/>
      <c r="W175" s="8"/>
      <c r="X175" s="8"/>
      <c r="Y175" s="8"/>
      <c r="Z175" s="8"/>
    </row>
    <row r="176">
      <c r="A176" s="8"/>
      <c r="B176" s="8"/>
      <c r="C176" s="8"/>
      <c r="D176" s="8"/>
      <c r="E176" s="8"/>
      <c r="F176" s="8"/>
      <c r="G176" s="8"/>
      <c r="H176" s="8"/>
      <c r="I176" s="8"/>
      <c r="J176" s="8"/>
      <c r="K176" s="8"/>
      <c r="L176" s="8"/>
      <c r="M176" s="8"/>
      <c r="N176" s="8"/>
      <c r="O176" s="8"/>
      <c r="P176" s="8"/>
      <c r="Q176" s="8"/>
      <c r="R176" s="8"/>
      <c r="S176" s="8"/>
      <c r="T176" s="8"/>
      <c r="U176" s="8"/>
      <c r="V176" s="8"/>
      <c r="W176" s="8"/>
      <c r="X176" s="8"/>
      <c r="Y176" s="8"/>
      <c r="Z176" s="8"/>
    </row>
    <row r="177">
      <c r="A177" s="8"/>
      <c r="B177" s="8"/>
      <c r="C177" s="8"/>
      <c r="D177" s="8"/>
      <c r="E177" s="8"/>
      <c r="F177" s="8"/>
      <c r="G177" s="8"/>
      <c r="H177" s="8"/>
      <c r="I177" s="8"/>
      <c r="J177" s="8"/>
      <c r="K177" s="8"/>
      <c r="L177" s="8"/>
      <c r="M177" s="8"/>
      <c r="N177" s="8"/>
      <c r="O177" s="8"/>
      <c r="P177" s="8"/>
      <c r="Q177" s="8"/>
      <c r="R177" s="8"/>
      <c r="S177" s="8"/>
      <c r="T177" s="8"/>
      <c r="U177" s="8"/>
      <c r="V177" s="8"/>
      <c r="W177" s="8"/>
      <c r="X177" s="8"/>
      <c r="Y177" s="8"/>
      <c r="Z177" s="8"/>
    </row>
    <row r="178">
      <c r="A178" s="8"/>
      <c r="B178" s="8"/>
      <c r="C178" s="8"/>
      <c r="D178" s="8"/>
      <c r="E178" s="8"/>
      <c r="F178" s="8"/>
      <c r="G178" s="8"/>
      <c r="H178" s="8"/>
      <c r="I178" s="8"/>
      <c r="J178" s="8"/>
      <c r="K178" s="8"/>
      <c r="L178" s="8"/>
      <c r="M178" s="8"/>
      <c r="N178" s="8"/>
      <c r="O178" s="8"/>
      <c r="P178" s="8"/>
      <c r="Q178" s="8"/>
      <c r="R178" s="8"/>
      <c r="S178" s="8"/>
      <c r="T178" s="8"/>
      <c r="U178" s="8"/>
      <c r="V178" s="8"/>
      <c r="W178" s="8"/>
      <c r="X178" s="8"/>
      <c r="Y178" s="8"/>
      <c r="Z178" s="8"/>
    </row>
    <row r="179">
      <c r="A179" s="8"/>
      <c r="B179" s="8"/>
      <c r="C179" s="8"/>
      <c r="D179" s="8"/>
      <c r="E179" s="8"/>
      <c r="F179" s="8"/>
      <c r="G179" s="8"/>
      <c r="H179" s="8"/>
      <c r="I179" s="8"/>
      <c r="J179" s="8"/>
      <c r="K179" s="8"/>
      <c r="L179" s="8"/>
      <c r="M179" s="8"/>
      <c r="N179" s="8"/>
      <c r="O179" s="8"/>
      <c r="P179" s="8"/>
      <c r="Q179" s="8"/>
      <c r="R179" s="8"/>
      <c r="S179" s="8"/>
      <c r="T179" s="8"/>
      <c r="U179" s="8"/>
      <c r="V179" s="8"/>
      <c r="W179" s="8"/>
      <c r="X179" s="8"/>
      <c r="Y179" s="8"/>
      <c r="Z179" s="8"/>
    </row>
    <row r="180">
      <c r="A180" s="8"/>
      <c r="B180" s="8"/>
      <c r="C180" s="8"/>
      <c r="D180" s="8"/>
      <c r="E180" s="8"/>
      <c r="F180" s="8"/>
      <c r="G180" s="8"/>
      <c r="H180" s="8"/>
      <c r="I180" s="8"/>
      <c r="J180" s="8"/>
      <c r="K180" s="8"/>
      <c r="L180" s="8"/>
      <c r="M180" s="8"/>
      <c r="N180" s="8"/>
      <c r="O180" s="8"/>
      <c r="P180" s="8"/>
      <c r="Q180" s="8"/>
      <c r="R180" s="8"/>
      <c r="S180" s="8"/>
      <c r="T180" s="8"/>
      <c r="U180" s="8"/>
      <c r="V180" s="8"/>
      <c r="W180" s="8"/>
      <c r="X180" s="8"/>
      <c r="Y180" s="8"/>
      <c r="Z180" s="8"/>
    </row>
    <row r="181">
      <c r="A181" s="8"/>
      <c r="B181" s="8"/>
      <c r="C181" s="8"/>
      <c r="D181" s="8"/>
      <c r="E181" s="8"/>
      <c r="F181" s="8"/>
      <c r="G181" s="8"/>
      <c r="H181" s="8"/>
      <c r="I181" s="8"/>
      <c r="J181" s="8"/>
      <c r="K181" s="8"/>
      <c r="L181" s="8"/>
      <c r="M181" s="8"/>
      <c r="N181" s="8"/>
      <c r="O181" s="8"/>
      <c r="P181" s="8"/>
      <c r="Q181" s="8"/>
      <c r="R181" s="8"/>
      <c r="S181" s="8"/>
      <c r="T181" s="8"/>
      <c r="U181" s="8"/>
      <c r="V181" s="8"/>
      <c r="W181" s="8"/>
      <c r="X181" s="8"/>
      <c r="Y181" s="8"/>
      <c r="Z181" s="8"/>
    </row>
    <row r="182">
      <c r="A182" s="8"/>
      <c r="B182" s="8"/>
      <c r="C182" s="8"/>
      <c r="D182" s="8"/>
      <c r="E182" s="8"/>
      <c r="F182" s="8"/>
      <c r="G182" s="8"/>
      <c r="H182" s="8"/>
      <c r="I182" s="8"/>
      <c r="J182" s="8"/>
      <c r="K182" s="8"/>
      <c r="L182" s="8"/>
      <c r="M182" s="8"/>
      <c r="N182" s="8"/>
      <c r="O182" s="8"/>
      <c r="P182" s="8"/>
      <c r="Q182" s="8"/>
      <c r="R182" s="8"/>
      <c r="S182" s="8"/>
      <c r="T182" s="8"/>
      <c r="U182" s="8"/>
      <c r="V182" s="8"/>
      <c r="W182" s="8"/>
      <c r="X182" s="8"/>
      <c r="Y182" s="8"/>
      <c r="Z182" s="8"/>
    </row>
    <row r="183">
      <c r="A183" s="8"/>
      <c r="B183" s="8"/>
      <c r="C183" s="8"/>
      <c r="D183" s="8"/>
      <c r="E183" s="8"/>
      <c r="F183" s="8"/>
      <c r="G183" s="8"/>
      <c r="H183" s="8"/>
      <c r="I183" s="8"/>
      <c r="J183" s="8"/>
      <c r="K183" s="8"/>
      <c r="L183" s="8"/>
      <c r="M183" s="8"/>
      <c r="N183" s="8"/>
      <c r="O183" s="8"/>
      <c r="P183" s="8"/>
      <c r="Q183" s="8"/>
      <c r="R183" s="8"/>
      <c r="S183" s="8"/>
      <c r="T183" s="8"/>
      <c r="U183" s="8"/>
      <c r="V183" s="8"/>
      <c r="W183" s="8"/>
      <c r="X183" s="8"/>
      <c r="Y183" s="8"/>
      <c r="Z183" s="8"/>
    </row>
    <row r="184">
      <c r="A184" s="8"/>
      <c r="B184" s="8"/>
      <c r="C184" s="8"/>
      <c r="D184" s="8"/>
      <c r="E184" s="8"/>
      <c r="F184" s="8"/>
      <c r="G184" s="8"/>
      <c r="H184" s="8"/>
      <c r="I184" s="8"/>
      <c r="J184" s="8"/>
      <c r="K184" s="8"/>
      <c r="L184" s="8"/>
      <c r="M184" s="8"/>
      <c r="N184" s="8"/>
      <c r="O184" s="8"/>
      <c r="P184" s="8"/>
      <c r="Q184" s="8"/>
      <c r="R184" s="8"/>
      <c r="S184" s="8"/>
      <c r="T184" s="8"/>
      <c r="U184" s="8"/>
      <c r="V184" s="8"/>
      <c r="W184" s="8"/>
      <c r="X184" s="8"/>
      <c r="Y184" s="8"/>
      <c r="Z184" s="8"/>
    </row>
    <row r="185">
      <c r="A185" s="8"/>
      <c r="B185" s="8"/>
      <c r="C185" s="8"/>
      <c r="D185" s="8"/>
      <c r="E185" s="8"/>
      <c r="F185" s="8"/>
      <c r="G185" s="8"/>
      <c r="H185" s="8"/>
      <c r="I185" s="8"/>
      <c r="J185" s="8"/>
      <c r="K185" s="8"/>
      <c r="L185" s="8"/>
      <c r="M185" s="8"/>
      <c r="N185" s="8"/>
      <c r="O185" s="8"/>
      <c r="P185" s="8"/>
      <c r="Q185" s="8"/>
      <c r="R185" s="8"/>
      <c r="S185" s="8"/>
      <c r="T185" s="8"/>
      <c r="U185" s="8"/>
      <c r="V185" s="8"/>
      <c r="W185" s="8"/>
      <c r="X185" s="8"/>
      <c r="Y185" s="8"/>
      <c r="Z185" s="8"/>
    </row>
    <row r="186">
      <c r="A186" s="8"/>
      <c r="B186" s="8"/>
      <c r="C186" s="8"/>
      <c r="D186" s="8"/>
      <c r="E186" s="8"/>
      <c r="F186" s="8"/>
      <c r="G186" s="8"/>
      <c r="H186" s="8"/>
      <c r="I186" s="8"/>
      <c r="J186" s="8"/>
      <c r="K186" s="8"/>
      <c r="L186" s="8"/>
      <c r="M186" s="8"/>
      <c r="N186" s="8"/>
      <c r="O186" s="8"/>
      <c r="P186" s="8"/>
      <c r="Q186" s="8"/>
      <c r="R186" s="8"/>
      <c r="S186" s="8"/>
      <c r="T186" s="8"/>
      <c r="U186" s="8"/>
      <c r="V186" s="8"/>
      <c r="W186" s="8"/>
      <c r="X186" s="8"/>
      <c r="Y186" s="8"/>
      <c r="Z186" s="8"/>
    </row>
    <row r="187">
      <c r="A187" s="8"/>
      <c r="B187" s="8"/>
      <c r="C187" s="8"/>
      <c r="D187" s="8"/>
      <c r="E187" s="8"/>
      <c r="F187" s="8"/>
      <c r="G187" s="8"/>
      <c r="H187" s="8"/>
      <c r="I187" s="8"/>
      <c r="J187" s="8"/>
      <c r="K187" s="8"/>
      <c r="L187" s="8"/>
      <c r="M187" s="8"/>
      <c r="N187" s="8"/>
      <c r="O187" s="8"/>
      <c r="P187" s="8"/>
      <c r="Q187" s="8"/>
      <c r="R187" s="8"/>
      <c r="S187" s="8"/>
      <c r="T187" s="8"/>
      <c r="U187" s="8"/>
      <c r="V187" s="8"/>
      <c r="W187" s="8"/>
      <c r="X187" s="8"/>
      <c r="Y187" s="8"/>
      <c r="Z187" s="8"/>
    </row>
    <row r="188">
      <c r="A188" s="8"/>
      <c r="B188" s="8"/>
      <c r="C188" s="8"/>
      <c r="D188" s="8"/>
      <c r="E188" s="8"/>
      <c r="F188" s="8"/>
      <c r="G188" s="8"/>
      <c r="H188" s="8"/>
      <c r="I188" s="8"/>
      <c r="J188" s="8"/>
      <c r="K188" s="8"/>
      <c r="L188" s="8"/>
      <c r="M188" s="8"/>
      <c r="N188" s="8"/>
      <c r="O188" s="8"/>
      <c r="P188" s="8"/>
      <c r="Q188" s="8"/>
      <c r="R188" s="8"/>
      <c r="S188" s="8"/>
      <c r="T188" s="8"/>
      <c r="U188" s="8"/>
      <c r="V188" s="8"/>
      <c r="W188" s="8"/>
      <c r="X188" s="8"/>
      <c r="Y188" s="8"/>
      <c r="Z188" s="8"/>
    </row>
    <row r="189">
      <c r="A189" s="8"/>
      <c r="B189" s="8"/>
      <c r="C189" s="8"/>
      <c r="D189" s="8"/>
      <c r="E189" s="8"/>
      <c r="F189" s="8"/>
      <c r="G189" s="8"/>
      <c r="H189" s="8"/>
      <c r="I189" s="8"/>
      <c r="J189" s="8"/>
      <c r="K189" s="8"/>
      <c r="L189" s="8"/>
      <c r="M189" s="8"/>
      <c r="N189" s="8"/>
      <c r="O189" s="8"/>
      <c r="P189" s="8"/>
      <c r="Q189" s="8"/>
      <c r="R189" s="8"/>
      <c r="S189" s="8"/>
      <c r="T189" s="8"/>
      <c r="U189" s="8"/>
      <c r="V189" s="8"/>
      <c r="W189" s="8"/>
      <c r="X189" s="8"/>
      <c r="Y189" s="8"/>
      <c r="Z189" s="8"/>
    </row>
    <row r="190">
      <c r="A190" s="8"/>
      <c r="B190" s="8"/>
      <c r="C190" s="8"/>
      <c r="D190" s="8"/>
      <c r="E190" s="8"/>
      <c r="F190" s="8"/>
      <c r="G190" s="8"/>
      <c r="H190" s="8"/>
      <c r="I190" s="8"/>
      <c r="J190" s="8"/>
      <c r="K190" s="8"/>
      <c r="L190" s="8"/>
      <c r="M190" s="8"/>
      <c r="N190" s="8"/>
      <c r="O190" s="8"/>
      <c r="P190" s="8"/>
      <c r="Q190" s="8"/>
      <c r="R190" s="8"/>
      <c r="S190" s="8"/>
      <c r="T190" s="8"/>
      <c r="U190" s="8"/>
      <c r="V190" s="8"/>
      <c r="W190" s="8"/>
      <c r="X190" s="8"/>
      <c r="Y190" s="8"/>
      <c r="Z190" s="8"/>
    </row>
    <row r="191">
      <c r="A191" s="8"/>
      <c r="B191" s="8"/>
      <c r="C191" s="8"/>
      <c r="D191" s="8"/>
      <c r="E191" s="8"/>
      <c r="F191" s="8"/>
      <c r="G191" s="8"/>
      <c r="H191" s="8"/>
      <c r="I191" s="8"/>
      <c r="J191" s="8"/>
      <c r="K191" s="8"/>
      <c r="L191" s="8"/>
      <c r="M191" s="8"/>
      <c r="N191" s="8"/>
      <c r="O191" s="8"/>
      <c r="P191" s="8"/>
      <c r="Q191" s="8"/>
      <c r="R191" s="8"/>
      <c r="S191" s="8"/>
      <c r="T191" s="8"/>
      <c r="U191" s="8"/>
      <c r="V191" s="8"/>
      <c r="W191" s="8"/>
      <c r="X191" s="8"/>
      <c r="Y191" s="8"/>
      <c r="Z191" s="8"/>
    </row>
    <row r="192">
      <c r="A192" s="8"/>
      <c r="B192" s="8"/>
      <c r="C192" s="8"/>
      <c r="D192" s="8"/>
      <c r="E192" s="8"/>
      <c r="F192" s="8"/>
      <c r="G192" s="8"/>
      <c r="H192" s="8"/>
      <c r="I192" s="8"/>
      <c r="J192" s="8"/>
      <c r="K192" s="8"/>
      <c r="L192" s="8"/>
      <c r="M192" s="8"/>
      <c r="N192" s="8"/>
      <c r="O192" s="8"/>
      <c r="P192" s="8"/>
      <c r="Q192" s="8"/>
      <c r="R192" s="8"/>
      <c r="S192" s="8"/>
      <c r="T192" s="8"/>
      <c r="U192" s="8"/>
      <c r="V192" s="8"/>
      <c r="W192" s="8"/>
      <c r="X192" s="8"/>
      <c r="Y192" s="8"/>
      <c r="Z192" s="8"/>
    </row>
    <row r="193">
      <c r="A193" s="8"/>
      <c r="B193" s="8"/>
      <c r="C193" s="8"/>
      <c r="D193" s="8"/>
      <c r="E193" s="8"/>
      <c r="F193" s="8"/>
      <c r="G193" s="8"/>
      <c r="H193" s="8"/>
      <c r="I193" s="8"/>
      <c r="J193" s="8"/>
      <c r="K193" s="8"/>
      <c r="L193" s="8"/>
      <c r="M193" s="8"/>
      <c r="N193" s="8"/>
      <c r="O193" s="8"/>
      <c r="P193" s="8"/>
      <c r="Q193" s="8"/>
      <c r="R193" s="8"/>
      <c r="S193" s="8"/>
      <c r="T193" s="8"/>
      <c r="U193" s="8"/>
      <c r="V193" s="8"/>
      <c r="W193" s="8"/>
      <c r="X193" s="8"/>
      <c r="Y193" s="8"/>
      <c r="Z193" s="8"/>
    </row>
    <row r="194">
      <c r="A194" s="8"/>
      <c r="B194" s="8"/>
      <c r="C194" s="8"/>
      <c r="D194" s="8"/>
      <c r="E194" s="8"/>
      <c r="F194" s="8"/>
      <c r="G194" s="8"/>
      <c r="H194" s="8"/>
      <c r="I194" s="8"/>
      <c r="J194" s="8"/>
      <c r="K194" s="8"/>
      <c r="L194" s="8"/>
      <c r="M194" s="8"/>
      <c r="N194" s="8"/>
      <c r="O194" s="8"/>
      <c r="P194" s="8"/>
      <c r="Q194" s="8"/>
      <c r="R194" s="8"/>
      <c r="S194" s="8"/>
      <c r="T194" s="8"/>
      <c r="U194" s="8"/>
      <c r="V194" s="8"/>
      <c r="W194" s="8"/>
      <c r="X194" s="8"/>
      <c r="Y194" s="8"/>
      <c r="Z194" s="8"/>
    </row>
    <row r="195">
      <c r="A195" s="8"/>
      <c r="B195" s="8"/>
      <c r="C195" s="8"/>
      <c r="D195" s="8"/>
      <c r="E195" s="8"/>
      <c r="F195" s="8"/>
      <c r="G195" s="8"/>
      <c r="H195" s="8"/>
      <c r="I195" s="8"/>
      <c r="J195" s="8"/>
      <c r="K195" s="8"/>
      <c r="L195" s="8"/>
      <c r="M195" s="8"/>
      <c r="N195" s="8"/>
      <c r="O195" s="8"/>
      <c r="P195" s="8"/>
      <c r="Q195" s="8"/>
      <c r="R195" s="8"/>
      <c r="S195" s="8"/>
      <c r="T195" s="8"/>
      <c r="U195" s="8"/>
      <c r="V195" s="8"/>
      <c r="W195" s="8"/>
      <c r="X195" s="8"/>
      <c r="Y195" s="8"/>
      <c r="Z195" s="8"/>
    </row>
    <row r="196">
      <c r="A196" s="8"/>
      <c r="B196" s="8"/>
      <c r="C196" s="8"/>
      <c r="D196" s="8"/>
      <c r="E196" s="8"/>
      <c r="F196" s="8"/>
      <c r="G196" s="8"/>
      <c r="H196" s="8"/>
      <c r="I196" s="8"/>
      <c r="J196" s="8"/>
      <c r="K196" s="8"/>
      <c r="L196" s="8"/>
      <c r="M196" s="8"/>
      <c r="N196" s="8"/>
      <c r="O196" s="8"/>
      <c r="P196" s="8"/>
      <c r="Q196" s="8"/>
      <c r="R196" s="8"/>
      <c r="S196" s="8"/>
      <c r="T196" s="8"/>
      <c r="U196" s="8"/>
      <c r="V196" s="8"/>
      <c r="W196" s="8"/>
      <c r="X196" s="8"/>
      <c r="Y196" s="8"/>
      <c r="Z196" s="8"/>
    </row>
    <row r="197">
      <c r="A197" s="8"/>
      <c r="B197" s="8"/>
      <c r="C197" s="8"/>
      <c r="D197" s="8"/>
      <c r="E197" s="8"/>
      <c r="F197" s="8"/>
      <c r="G197" s="8"/>
      <c r="H197" s="8"/>
      <c r="I197" s="8"/>
      <c r="J197" s="8"/>
      <c r="K197" s="8"/>
      <c r="L197" s="8"/>
      <c r="M197" s="8"/>
      <c r="N197" s="8"/>
      <c r="O197" s="8"/>
      <c r="P197" s="8"/>
      <c r="Q197" s="8"/>
      <c r="R197" s="8"/>
      <c r="S197" s="8"/>
      <c r="T197" s="8"/>
      <c r="U197" s="8"/>
      <c r="V197" s="8"/>
      <c r="W197" s="8"/>
      <c r="X197" s="8"/>
      <c r="Y197" s="8"/>
      <c r="Z197" s="8"/>
    </row>
    <row r="198">
      <c r="A198" s="8"/>
      <c r="B198" s="8"/>
      <c r="C198" s="8"/>
      <c r="D198" s="8"/>
      <c r="E198" s="8"/>
      <c r="F198" s="8"/>
      <c r="G198" s="8"/>
      <c r="H198" s="8"/>
      <c r="I198" s="8"/>
      <c r="J198" s="8"/>
      <c r="K198" s="8"/>
      <c r="L198" s="8"/>
      <c r="M198" s="8"/>
      <c r="N198" s="8"/>
      <c r="O198" s="8"/>
      <c r="P198" s="8"/>
      <c r="Q198" s="8"/>
      <c r="R198" s="8"/>
      <c r="S198" s="8"/>
      <c r="T198" s="8"/>
      <c r="U198" s="8"/>
      <c r="V198" s="8"/>
      <c r="W198" s="8"/>
      <c r="X198" s="8"/>
      <c r="Y198" s="8"/>
      <c r="Z198" s="8"/>
    </row>
    <row r="199">
      <c r="A199" s="8"/>
      <c r="B199" s="8"/>
      <c r="C199" s="8"/>
      <c r="D199" s="8"/>
      <c r="E199" s="8"/>
      <c r="F199" s="8"/>
      <c r="G199" s="8"/>
      <c r="H199" s="8"/>
      <c r="I199" s="8"/>
      <c r="J199" s="8"/>
      <c r="K199" s="8"/>
      <c r="L199" s="8"/>
      <c r="M199" s="8"/>
      <c r="N199" s="8"/>
      <c r="O199" s="8"/>
      <c r="P199" s="8"/>
      <c r="Q199" s="8"/>
      <c r="R199" s="8"/>
      <c r="S199" s="8"/>
      <c r="T199" s="8"/>
      <c r="U199" s="8"/>
      <c r="V199" s="8"/>
      <c r="W199" s="8"/>
      <c r="X199" s="8"/>
      <c r="Y199" s="8"/>
      <c r="Z199" s="8"/>
    </row>
    <row r="200">
      <c r="A200" s="8"/>
      <c r="B200" s="8"/>
      <c r="C200" s="8"/>
      <c r="D200" s="8"/>
      <c r="E200" s="8"/>
      <c r="F200" s="8"/>
      <c r="G200" s="8"/>
      <c r="H200" s="8"/>
      <c r="I200" s="8"/>
      <c r="J200" s="8"/>
      <c r="K200" s="8"/>
      <c r="L200" s="8"/>
      <c r="M200" s="8"/>
      <c r="N200" s="8"/>
      <c r="O200" s="8"/>
      <c r="P200" s="8"/>
      <c r="Q200" s="8"/>
      <c r="R200" s="8"/>
      <c r="S200" s="8"/>
      <c r="T200" s="8"/>
      <c r="U200" s="8"/>
      <c r="V200" s="8"/>
      <c r="W200" s="8"/>
      <c r="X200" s="8"/>
      <c r="Y200" s="8"/>
      <c r="Z200" s="8"/>
    </row>
    <row r="201">
      <c r="A201" s="8"/>
      <c r="B201" s="8"/>
      <c r="C201" s="8"/>
      <c r="D201" s="8"/>
      <c r="E201" s="8"/>
      <c r="F201" s="8"/>
      <c r="G201" s="8"/>
      <c r="H201" s="8"/>
      <c r="I201" s="8"/>
      <c r="J201" s="8"/>
      <c r="K201" s="8"/>
      <c r="L201" s="8"/>
      <c r="M201" s="8"/>
      <c r="N201" s="8"/>
      <c r="O201" s="8"/>
      <c r="P201" s="8"/>
      <c r="Q201" s="8"/>
      <c r="R201" s="8"/>
      <c r="S201" s="8"/>
      <c r="T201" s="8"/>
      <c r="U201" s="8"/>
      <c r="V201" s="8"/>
      <c r="W201" s="8"/>
      <c r="X201" s="8"/>
      <c r="Y201" s="8"/>
      <c r="Z201" s="8"/>
    </row>
    <row r="202">
      <c r="A202" s="8"/>
      <c r="B202" s="8"/>
      <c r="C202" s="8"/>
      <c r="D202" s="8"/>
      <c r="E202" s="8"/>
      <c r="F202" s="8"/>
      <c r="G202" s="8"/>
      <c r="H202" s="8"/>
      <c r="I202" s="8"/>
      <c r="J202" s="8"/>
      <c r="K202" s="8"/>
      <c r="L202" s="8"/>
      <c r="M202" s="8"/>
      <c r="N202" s="8"/>
      <c r="O202" s="8"/>
      <c r="P202" s="8"/>
      <c r="Q202" s="8"/>
      <c r="R202" s="8"/>
      <c r="S202" s="8"/>
      <c r="T202" s="8"/>
      <c r="U202" s="8"/>
      <c r="V202" s="8"/>
      <c r="W202" s="8"/>
      <c r="X202" s="8"/>
      <c r="Y202" s="8"/>
      <c r="Z202" s="8"/>
    </row>
    <row r="203">
      <c r="A203" s="8"/>
      <c r="B203" s="8"/>
      <c r="C203" s="8"/>
      <c r="D203" s="8"/>
      <c r="E203" s="8"/>
      <c r="F203" s="8"/>
      <c r="G203" s="8"/>
      <c r="H203" s="8"/>
      <c r="I203" s="8"/>
      <c r="J203" s="8"/>
      <c r="K203" s="8"/>
      <c r="L203" s="8"/>
      <c r="M203" s="8"/>
      <c r="N203" s="8"/>
      <c r="O203" s="8"/>
      <c r="P203" s="8"/>
      <c r="Q203" s="8"/>
      <c r="R203" s="8"/>
      <c r="S203" s="8"/>
      <c r="T203" s="8"/>
      <c r="U203" s="8"/>
      <c r="V203" s="8"/>
      <c r="W203" s="8"/>
      <c r="X203" s="8"/>
      <c r="Y203" s="8"/>
      <c r="Z203" s="8"/>
    </row>
    <row r="204">
      <c r="A204" s="8"/>
      <c r="B204" s="8"/>
      <c r="C204" s="8"/>
      <c r="D204" s="8"/>
      <c r="E204" s="8"/>
      <c r="F204" s="8"/>
      <c r="G204" s="8"/>
      <c r="H204" s="8"/>
      <c r="I204" s="8"/>
      <c r="J204" s="8"/>
      <c r="K204" s="8"/>
      <c r="L204" s="8"/>
      <c r="M204" s="8"/>
      <c r="N204" s="8"/>
      <c r="O204" s="8"/>
      <c r="P204" s="8"/>
      <c r="Q204" s="8"/>
      <c r="R204" s="8"/>
      <c r="S204" s="8"/>
      <c r="T204" s="8"/>
      <c r="U204" s="8"/>
      <c r="V204" s="8"/>
      <c r="W204" s="8"/>
      <c r="X204" s="8"/>
      <c r="Y204" s="8"/>
      <c r="Z204" s="8"/>
    </row>
    <row r="205">
      <c r="A205" s="8"/>
      <c r="B205" s="8"/>
      <c r="C205" s="8"/>
      <c r="D205" s="8"/>
      <c r="E205" s="8"/>
      <c r="F205" s="8"/>
      <c r="G205" s="8"/>
      <c r="H205" s="8"/>
      <c r="I205" s="8"/>
      <c r="J205" s="8"/>
      <c r="K205" s="8"/>
      <c r="L205" s="8"/>
      <c r="M205" s="8"/>
      <c r="N205" s="8"/>
      <c r="O205" s="8"/>
      <c r="P205" s="8"/>
      <c r="Q205" s="8"/>
      <c r="R205" s="8"/>
      <c r="S205" s="8"/>
      <c r="T205" s="8"/>
      <c r="U205" s="8"/>
      <c r="V205" s="8"/>
      <c r="W205" s="8"/>
      <c r="X205" s="8"/>
      <c r="Y205" s="8"/>
      <c r="Z205" s="8"/>
    </row>
    <row r="206">
      <c r="A206" s="8"/>
      <c r="B206" s="8"/>
      <c r="C206" s="8"/>
      <c r="D206" s="8"/>
      <c r="E206" s="8"/>
      <c r="F206" s="8"/>
      <c r="G206" s="8"/>
      <c r="H206" s="8"/>
      <c r="I206" s="8"/>
      <c r="J206" s="8"/>
      <c r="K206" s="8"/>
      <c r="L206" s="8"/>
      <c r="M206" s="8"/>
      <c r="N206" s="8"/>
      <c r="O206" s="8"/>
      <c r="P206" s="8"/>
      <c r="Q206" s="8"/>
      <c r="R206" s="8"/>
      <c r="S206" s="8"/>
      <c r="T206" s="8"/>
      <c r="U206" s="8"/>
      <c r="V206" s="8"/>
      <c r="W206" s="8"/>
      <c r="X206" s="8"/>
      <c r="Y206" s="8"/>
      <c r="Z206" s="8"/>
    </row>
    <row r="207">
      <c r="A207" s="8"/>
      <c r="B207" s="8"/>
      <c r="C207" s="8"/>
      <c r="D207" s="8"/>
      <c r="E207" s="8"/>
      <c r="F207" s="8"/>
      <c r="G207" s="8"/>
      <c r="H207" s="8"/>
      <c r="I207" s="8"/>
      <c r="J207" s="8"/>
      <c r="K207" s="8"/>
      <c r="L207" s="8"/>
      <c r="M207" s="8"/>
      <c r="N207" s="8"/>
      <c r="O207" s="8"/>
      <c r="P207" s="8"/>
      <c r="Q207" s="8"/>
      <c r="R207" s="8"/>
      <c r="S207" s="8"/>
      <c r="T207" s="8"/>
      <c r="U207" s="8"/>
      <c r="V207" s="8"/>
      <c r="W207" s="8"/>
      <c r="X207" s="8"/>
      <c r="Y207" s="8"/>
      <c r="Z207" s="8"/>
    </row>
    <row r="208">
      <c r="A208" s="8"/>
      <c r="B208" s="8"/>
      <c r="C208" s="8"/>
      <c r="D208" s="8"/>
      <c r="E208" s="8"/>
      <c r="F208" s="8"/>
      <c r="G208" s="8"/>
      <c r="H208" s="8"/>
      <c r="I208" s="8"/>
      <c r="J208" s="8"/>
      <c r="K208" s="8"/>
      <c r="L208" s="8"/>
      <c r="M208" s="8"/>
      <c r="N208" s="8"/>
      <c r="O208" s="8"/>
      <c r="P208" s="8"/>
      <c r="Q208" s="8"/>
      <c r="R208" s="8"/>
      <c r="S208" s="8"/>
      <c r="T208" s="8"/>
      <c r="U208" s="8"/>
      <c r="V208" s="8"/>
      <c r="W208" s="8"/>
      <c r="X208" s="8"/>
      <c r="Y208" s="8"/>
      <c r="Z208" s="8"/>
    </row>
    <row r="209">
      <c r="A209" s="8"/>
      <c r="B209" s="8"/>
      <c r="C209" s="8"/>
      <c r="D209" s="8"/>
      <c r="E209" s="8"/>
      <c r="F209" s="8"/>
      <c r="G209" s="8"/>
      <c r="H209" s="8"/>
      <c r="I209" s="8"/>
      <c r="J209" s="8"/>
      <c r="K209" s="8"/>
      <c r="L209" s="8"/>
      <c r="M209" s="8"/>
      <c r="N209" s="8"/>
      <c r="O209" s="8"/>
      <c r="P209" s="8"/>
      <c r="Q209" s="8"/>
      <c r="R209" s="8"/>
      <c r="S209" s="8"/>
      <c r="T209" s="8"/>
      <c r="U209" s="8"/>
      <c r="V209" s="8"/>
      <c r="W209" s="8"/>
      <c r="X209" s="8"/>
      <c r="Y209" s="8"/>
      <c r="Z209" s="8"/>
    </row>
    <row r="210">
      <c r="A210" s="8"/>
      <c r="B210" s="8"/>
      <c r="C210" s="8"/>
      <c r="D210" s="8"/>
      <c r="E210" s="8"/>
      <c r="F210" s="8"/>
      <c r="G210" s="8"/>
      <c r="H210" s="8"/>
      <c r="I210" s="8"/>
      <c r="J210" s="8"/>
      <c r="K210" s="8"/>
      <c r="L210" s="8"/>
      <c r="M210" s="8"/>
      <c r="N210" s="8"/>
      <c r="O210" s="8"/>
      <c r="P210" s="8"/>
      <c r="Q210" s="8"/>
      <c r="R210" s="8"/>
      <c r="S210" s="8"/>
      <c r="T210" s="8"/>
      <c r="U210" s="8"/>
      <c r="V210" s="8"/>
      <c r="W210" s="8"/>
      <c r="X210" s="8"/>
      <c r="Y210" s="8"/>
      <c r="Z210" s="8"/>
    </row>
    <row r="211">
      <c r="A211" s="8"/>
      <c r="B211" s="8"/>
      <c r="C211" s="8"/>
      <c r="D211" s="8"/>
      <c r="E211" s="8"/>
      <c r="F211" s="8"/>
      <c r="G211" s="8"/>
      <c r="H211" s="8"/>
      <c r="I211" s="8"/>
      <c r="J211" s="8"/>
      <c r="K211" s="8"/>
      <c r="L211" s="8"/>
      <c r="M211" s="8"/>
      <c r="N211" s="8"/>
      <c r="O211" s="8"/>
      <c r="P211" s="8"/>
      <c r="Q211" s="8"/>
      <c r="R211" s="8"/>
      <c r="S211" s="8"/>
      <c r="T211" s="8"/>
      <c r="U211" s="8"/>
      <c r="V211" s="8"/>
      <c r="W211" s="8"/>
      <c r="X211" s="8"/>
      <c r="Y211" s="8"/>
      <c r="Z211" s="8"/>
    </row>
    <row r="212">
      <c r="A212" s="8"/>
      <c r="B212" s="8"/>
      <c r="C212" s="8"/>
      <c r="D212" s="8"/>
      <c r="E212" s="8"/>
      <c r="F212" s="8"/>
      <c r="G212" s="8"/>
      <c r="H212" s="8"/>
      <c r="I212" s="8"/>
      <c r="J212" s="8"/>
      <c r="K212" s="8"/>
      <c r="L212" s="8"/>
      <c r="M212" s="8"/>
      <c r="N212" s="8"/>
      <c r="O212" s="8"/>
      <c r="P212" s="8"/>
      <c r="Q212" s="8"/>
      <c r="R212" s="8"/>
      <c r="S212" s="8"/>
      <c r="T212" s="8"/>
      <c r="U212" s="8"/>
      <c r="V212" s="8"/>
      <c r="W212" s="8"/>
      <c r="X212" s="8"/>
      <c r="Y212" s="8"/>
      <c r="Z212" s="8"/>
    </row>
    <row r="213">
      <c r="A213" s="8"/>
      <c r="B213" s="8"/>
      <c r="C213" s="8"/>
      <c r="D213" s="8"/>
      <c r="E213" s="8"/>
      <c r="F213" s="8"/>
      <c r="G213" s="8"/>
      <c r="H213" s="8"/>
      <c r="I213" s="8"/>
      <c r="J213" s="8"/>
      <c r="K213" s="8"/>
      <c r="L213" s="8"/>
      <c r="M213" s="8"/>
      <c r="N213" s="8"/>
      <c r="O213" s="8"/>
      <c r="P213" s="8"/>
      <c r="Q213" s="8"/>
      <c r="R213" s="8"/>
      <c r="S213" s="8"/>
      <c r="T213" s="8"/>
      <c r="U213" s="8"/>
      <c r="V213" s="8"/>
      <c r="W213" s="8"/>
      <c r="X213" s="8"/>
      <c r="Y213" s="8"/>
      <c r="Z213" s="8"/>
    </row>
    <row r="214">
      <c r="A214" s="8"/>
      <c r="B214" s="8"/>
      <c r="C214" s="8"/>
      <c r="D214" s="8"/>
      <c r="E214" s="8"/>
      <c r="F214" s="8"/>
      <c r="G214" s="8"/>
      <c r="H214" s="8"/>
      <c r="I214" s="8"/>
      <c r="J214" s="8"/>
      <c r="K214" s="8"/>
      <c r="L214" s="8"/>
      <c r="M214" s="8"/>
      <c r="N214" s="8"/>
      <c r="O214" s="8"/>
      <c r="P214" s="8"/>
      <c r="Q214" s="8"/>
      <c r="R214" s="8"/>
      <c r="S214" s="8"/>
      <c r="T214" s="8"/>
      <c r="U214" s="8"/>
      <c r="V214" s="8"/>
      <c r="W214" s="8"/>
      <c r="X214" s="8"/>
      <c r="Y214" s="8"/>
      <c r="Z214" s="8"/>
    </row>
    <row r="215">
      <c r="A215" s="8"/>
      <c r="B215" s="8"/>
      <c r="C215" s="8"/>
      <c r="D215" s="8"/>
      <c r="E215" s="8"/>
      <c r="F215" s="8"/>
      <c r="G215" s="8"/>
      <c r="H215" s="8"/>
      <c r="I215" s="8"/>
      <c r="J215" s="8"/>
      <c r="K215" s="8"/>
      <c r="L215" s="8"/>
      <c r="M215" s="8"/>
      <c r="N215" s="8"/>
      <c r="O215" s="8"/>
      <c r="P215" s="8"/>
      <c r="Q215" s="8"/>
      <c r="R215" s="8"/>
      <c r="S215" s="8"/>
      <c r="T215" s="8"/>
      <c r="U215" s="8"/>
      <c r="V215" s="8"/>
      <c r="W215" s="8"/>
      <c r="X215" s="8"/>
      <c r="Y215" s="8"/>
      <c r="Z215" s="8"/>
    </row>
    <row r="216">
      <c r="A216" s="8"/>
      <c r="B216" s="8"/>
      <c r="C216" s="8"/>
      <c r="D216" s="8"/>
      <c r="E216" s="8"/>
      <c r="F216" s="8"/>
      <c r="G216" s="8"/>
      <c r="H216" s="8"/>
      <c r="I216" s="8"/>
      <c r="J216" s="8"/>
      <c r="K216" s="8"/>
      <c r="L216" s="8"/>
      <c r="M216" s="8"/>
      <c r="N216" s="8"/>
      <c r="O216" s="8"/>
      <c r="P216" s="8"/>
      <c r="Q216" s="8"/>
      <c r="R216" s="8"/>
      <c r="S216" s="8"/>
      <c r="T216" s="8"/>
      <c r="U216" s="8"/>
      <c r="V216" s="8"/>
      <c r="W216" s="8"/>
      <c r="X216" s="8"/>
      <c r="Y216" s="8"/>
      <c r="Z216" s="8"/>
    </row>
    <row r="217">
      <c r="A217" s="8"/>
      <c r="B217" s="8"/>
      <c r="C217" s="8"/>
      <c r="D217" s="8"/>
      <c r="E217" s="8"/>
      <c r="F217" s="8"/>
      <c r="G217" s="8"/>
      <c r="H217" s="8"/>
      <c r="I217" s="8"/>
      <c r="J217" s="8"/>
      <c r="K217" s="8"/>
      <c r="L217" s="8"/>
      <c r="M217" s="8"/>
      <c r="N217" s="8"/>
      <c r="O217" s="8"/>
      <c r="P217" s="8"/>
      <c r="Q217" s="8"/>
      <c r="R217" s="8"/>
      <c r="S217" s="8"/>
      <c r="T217" s="8"/>
      <c r="U217" s="8"/>
      <c r="V217" s="8"/>
      <c r="W217" s="8"/>
      <c r="X217" s="8"/>
      <c r="Y217" s="8"/>
      <c r="Z217" s="8"/>
    </row>
    <row r="218">
      <c r="A218" s="8"/>
      <c r="B218" s="8"/>
      <c r="C218" s="8"/>
      <c r="D218" s="8"/>
      <c r="E218" s="8"/>
      <c r="F218" s="8"/>
      <c r="G218" s="8"/>
      <c r="H218" s="8"/>
      <c r="I218" s="8"/>
      <c r="J218" s="8"/>
      <c r="K218" s="8"/>
      <c r="L218" s="8"/>
      <c r="M218" s="8"/>
      <c r="N218" s="8"/>
      <c r="O218" s="8"/>
      <c r="P218" s="8"/>
      <c r="Q218" s="8"/>
      <c r="R218" s="8"/>
      <c r="S218" s="8"/>
      <c r="T218" s="8"/>
      <c r="U218" s="8"/>
      <c r="V218" s="8"/>
      <c r="W218" s="8"/>
      <c r="X218" s="8"/>
      <c r="Y218" s="8"/>
      <c r="Z218" s="8"/>
    </row>
    <row r="219">
      <c r="A219" s="8"/>
      <c r="B219" s="8"/>
      <c r="C219" s="8"/>
      <c r="D219" s="8"/>
      <c r="E219" s="8"/>
      <c r="F219" s="8"/>
      <c r="G219" s="8"/>
      <c r="H219" s="8"/>
      <c r="I219" s="8"/>
      <c r="J219" s="8"/>
      <c r="K219" s="8"/>
      <c r="L219" s="8"/>
      <c r="M219" s="8"/>
      <c r="N219" s="8"/>
      <c r="O219" s="8"/>
      <c r="P219" s="8"/>
      <c r="Q219" s="8"/>
      <c r="R219" s="8"/>
      <c r="S219" s="8"/>
      <c r="T219" s="8"/>
      <c r="U219" s="8"/>
      <c r="V219" s="8"/>
      <c r="W219" s="8"/>
      <c r="X219" s="8"/>
      <c r="Y219" s="8"/>
      <c r="Z219" s="8"/>
    </row>
    <row r="220">
      <c r="A220" s="8"/>
      <c r="B220" s="8"/>
      <c r="C220" s="8"/>
      <c r="D220" s="8"/>
      <c r="E220" s="8"/>
      <c r="F220" s="8"/>
      <c r="G220" s="8"/>
      <c r="H220" s="8"/>
      <c r="I220" s="8"/>
      <c r="J220" s="8"/>
      <c r="K220" s="8"/>
      <c r="L220" s="8"/>
      <c r="M220" s="8"/>
      <c r="N220" s="8"/>
      <c r="O220" s="8"/>
      <c r="P220" s="8"/>
      <c r="Q220" s="8"/>
      <c r="R220" s="8"/>
      <c r="S220" s="8"/>
      <c r="T220" s="8"/>
      <c r="U220" s="8"/>
      <c r="V220" s="8"/>
      <c r="W220" s="8"/>
      <c r="X220" s="8"/>
      <c r="Y220" s="8"/>
      <c r="Z220" s="8"/>
    </row>
    <row r="221">
      <c r="A221" s="8"/>
      <c r="B221" s="8"/>
      <c r="C221" s="8"/>
      <c r="D221" s="8"/>
      <c r="E221" s="8"/>
      <c r="F221" s="8"/>
      <c r="G221" s="8"/>
      <c r="H221" s="8"/>
      <c r="I221" s="8"/>
      <c r="J221" s="8"/>
      <c r="K221" s="8"/>
      <c r="L221" s="8"/>
      <c r="M221" s="8"/>
      <c r="N221" s="8"/>
      <c r="O221" s="8"/>
      <c r="P221" s="8"/>
      <c r="Q221" s="8"/>
      <c r="R221" s="8"/>
      <c r="S221" s="8"/>
      <c r="T221" s="8"/>
      <c r="U221" s="8"/>
      <c r="V221" s="8"/>
      <c r="W221" s="8"/>
      <c r="X221" s="8"/>
      <c r="Y221" s="8"/>
      <c r="Z221" s="8"/>
    </row>
    <row r="222">
      <c r="A222" s="8"/>
      <c r="B222" s="8"/>
      <c r="C222" s="8"/>
      <c r="D222" s="8"/>
      <c r="E222" s="8"/>
      <c r="F222" s="8"/>
      <c r="G222" s="8"/>
      <c r="H222" s="8"/>
      <c r="I222" s="8"/>
      <c r="J222" s="8"/>
      <c r="K222" s="8"/>
      <c r="L222" s="8"/>
      <c r="M222" s="8"/>
      <c r="N222" s="8"/>
      <c r="O222" s="8"/>
      <c r="P222" s="8"/>
      <c r="Q222" s="8"/>
      <c r="R222" s="8"/>
      <c r="S222" s="8"/>
      <c r="T222" s="8"/>
      <c r="U222" s="8"/>
      <c r="V222" s="8"/>
      <c r="W222" s="8"/>
      <c r="X222" s="8"/>
      <c r="Y222" s="8"/>
      <c r="Z222" s="8"/>
    </row>
    <row r="223">
      <c r="A223" s="8"/>
      <c r="B223" s="8"/>
      <c r="C223" s="8"/>
      <c r="D223" s="8"/>
      <c r="E223" s="8"/>
      <c r="F223" s="8"/>
      <c r="G223" s="8"/>
      <c r="H223" s="8"/>
      <c r="I223" s="8"/>
      <c r="J223" s="8"/>
      <c r="K223" s="8"/>
      <c r="L223" s="8"/>
      <c r="M223" s="8"/>
      <c r="N223" s="8"/>
      <c r="O223" s="8"/>
      <c r="P223" s="8"/>
      <c r="Q223" s="8"/>
      <c r="R223" s="8"/>
      <c r="S223" s="8"/>
      <c r="T223" s="8"/>
      <c r="U223" s="8"/>
      <c r="V223" s="8"/>
      <c r="W223" s="8"/>
      <c r="X223" s="8"/>
      <c r="Y223" s="8"/>
      <c r="Z223" s="8"/>
    </row>
    <row r="224">
      <c r="A224" s="8"/>
      <c r="B224" s="8"/>
      <c r="C224" s="8"/>
      <c r="D224" s="8"/>
      <c r="E224" s="8"/>
      <c r="F224" s="8"/>
      <c r="G224" s="8"/>
      <c r="H224" s="8"/>
      <c r="I224" s="8"/>
      <c r="J224" s="8"/>
      <c r="K224" s="8"/>
      <c r="L224" s="8"/>
      <c r="M224" s="8"/>
      <c r="N224" s="8"/>
      <c r="O224" s="8"/>
      <c r="P224" s="8"/>
      <c r="Q224" s="8"/>
      <c r="R224" s="8"/>
      <c r="S224" s="8"/>
      <c r="T224" s="8"/>
      <c r="U224" s="8"/>
      <c r="V224" s="8"/>
      <c r="W224" s="8"/>
      <c r="X224" s="8"/>
      <c r="Y224" s="8"/>
      <c r="Z224" s="8"/>
    </row>
    <row r="225">
      <c r="A225" s="8"/>
      <c r="B225" s="8"/>
      <c r="C225" s="8"/>
      <c r="D225" s="8"/>
      <c r="E225" s="8"/>
      <c r="F225" s="8"/>
      <c r="G225" s="8"/>
      <c r="H225" s="8"/>
      <c r="I225" s="8"/>
      <c r="J225" s="8"/>
      <c r="K225" s="8"/>
      <c r="L225" s="8"/>
      <c r="M225" s="8"/>
      <c r="N225" s="8"/>
      <c r="O225" s="8"/>
      <c r="P225" s="8"/>
      <c r="Q225" s="8"/>
      <c r="R225" s="8"/>
      <c r="S225" s="8"/>
      <c r="T225" s="8"/>
      <c r="U225" s="8"/>
      <c r="V225" s="8"/>
      <c r="W225" s="8"/>
      <c r="X225" s="8"/>
      <c r="Y225" s="8"/>
      <c r="Z225" s="8"/>
    </row>
    <row r="226">
      <c r="A226" s="8"/>
      <c r="B226" s="8"/>
      <c r="C226" s="8"/>
      <c r="D226" s="8"/>
      <c r="E226" s="8"/>
      <c r="F226" s="8"/>
      <c r="G226" s="8"/>
      <c r="H226" s="8"/>
      <c r="I226" s="8"/>
      <c r="J226" s="8"/>
      <c r="K226" s="8"/>
      <c r="L226" s="8"/>
      <c r="M226" s="8"/>
      <c r="N226" s="8"/>
      <c r="O226" s="8"/>
      <c r="P226" s="8"/>
      <c r="Q226" s="8"/>
      <c r="R226" s="8"/>
      <c r="S226" s="8"/>
      <c r="T226" s="8"/>
      <c r="U226" s="8"/>
      <c r="V226" s="8"/>
      <c r="W226" s="8"/>
      <c r="X226" s="8"/>
      <c r="Y226" s="8"/>
      <c r="Z226" s="8"/>
    </row>
    <row r="227">
      <c r="A227" s="8"/>
      <c r="B227" s="8"/>
      <c r="C227" s="8"/>
      <c r="D227" s="8"/>
      <c r="E227" s="8"/>
      <c r="F227" s="8"/>
      <c r="G227" s="8"/>
      <c r="H227" s="8"/>
      <c r="I227" s="8"/>
      <c r="J227" s="8"/>
      <c r="K227" s="8"/>
      <c r="L227" s="8"/>
      <c r="M227" s="8"/>
      <c r="N227" s="8"/>
      <c r="O227" s="8"/>
      <c r="P227" s="8"/>
      <c r="Q227" s="8"/>
      <c r="R227" s="8"/>
      <c r="S227" s="8"/>
      <c r="T227" s="8"/>
      <c r="U227" s="8"/>
      <c r="V227" s="8"/>
      <c r="W227" s="8"/>
      <c r="X227" s="8"/>
      <c r="Y227" s="8"/>
      <c r="Z227" s="8"/>
    </row>
    <row r="228">
      <c r="A228" s="8"/>
      <c r="B228" s="8"/>
      <c r="C228" s="8"/>
      <c r="D228" s="8"/>
      <c r="E228" s="8"/>
      <c r="F228" s="8"/>
      <c r="G228" s="8"/>
      <c r="H228" s="8"/>
      <c r="I228" s="8"/>
      <c r="J228" s="8"/>
      <c r="K228" s="8"/>
      <c r="L228" s="8"/>
      <c r="M228" s="8"/>
      <c r="N228" s="8"/>
      <c r="O228" s="8"/>
      <c r="P228" s="8"/>
      <c r="Q228" s="8"/>
      <c r="R228" s="8"/>
      <c r="S228" s="8"/>
      <c r="T228" s="8"/>
      <c r="U228" s="8"/>
      <c r="V228" s="8"/>
      <c r="W228" s="8"/>
      <c r="X228" s="8"/>
      <c r="Y228" s="8"/>
      <c r="Z228" s="8"/>
    </row>
    <row r="229">
      <c r="A229" s="8"/>
      <c r="B229" s="8"/>
      <c r="C229" s="8"/>
      <c r="D229" s="8"/>
      <c r="E229" s="8"/>
      <c r="F229" s="8"/>
      <c r="G229" s="8"/>
      <c r="H229" s="8"/>
      <c r="I229" s="8"/>
      <c r="J229" s="8"/>
      <c r="K229" s="8"/>
      <c r="L229" s="8"/>
      <c r="M229" s="8"/>
      <c r="N229" s="8"/>
      <c r="O229" s="8"/>
      <c r="P229" s="8"/>
      <c r="Q229" s="8"/>
      <c r="R229" s="8"/>
      <c r="S229" s="8"/>
      <c r="T229" s="8"/>
      <c r="U229" s="8"/>
      <c r="V229" s="8"/>
      <c r="W229" s="8"/>
      <c r="X229" s="8"/>
      <c r="Y229" s="8"/>
      <c r="Z229" s="8"/>
    </row>
    <row r="230">
      <c r="A230" s="8"/>
      <c r="B230" s="8"/>
      <c r="C230" s="8"/>
      <c r="D230" s="8"/>
      <c r="E230" s="8"/>
      <c r="F230" s="8"/>
      <c r="G230" s="8"/>
      <c r="H230" s="8"/>
      <c r="I230" s="8"/>
      <c r="J230" s="8"/>
      <c r="K230" s="8"/>
      <c r="L230" s="8"/>
      <c r="M230" s="8"/>
      <c r="N230" s="8"/>
      <c r="O230" s="8"/>
      <c r="P230" s="8"/>
      <c r="Q230" s="8"/>
      <c r="R230" s="8"/>
      <c r="S230" s="8"/>
      <c r="T230" s="8"/>
      <c r="U230" s="8"/>
      <c r="V230" s="8"/>
      <c r="W230" s="8"/>
      <c r="X230" s="8"/>
      <c r="Y230" s="8"/>
      <c r="Z230" s="8"/>
    </row>
    <row r="231">
      <c r="A231" s="8"/>
      <c r="B231" s="8"/>
      <c r="C231" s="8"/>
      <c r="D231" s="8"/>
      <c r="E231" s="8"/>
      <c r="F231" s="8"/>
      <c r="G231" s="8"/>
      <c r="H231" s="8"/>
      <c r="I231" s="8"/>
      <c r="J231" s="8"/>
      <c r="K231" s="8"/>
      <c r="L231" s="8"/>
      <c r="M231" s="8"/>
      <c r="N231" s="8"/>
      <c r="O231" s="8"/>
      <c r="P231" s="8"/>
      <c r="Q231" s="8"/>
      <c r="R231" s="8"/>
      <c r="S231" s="8"/>
      <c r="T231" s="8"/>
      <c r="U231" s="8"/>
      <c r="V231" s="8"/>
      <c r="W231" s="8"/>
      <c r="X231" s="8"/>
      <c r="Y231" s="8"/>
      <c r="Z231" s="8"/>
    </row>
    <row r="232">
      <c r="A232" s="8"/>
      <c r="B232" s="8"/>
      <c r="C232" s="8"/>
      <c r="D232" s="8"/>
      <c r="E232" s="8"/>
      <c r="F232" s="8"/>
      <c r="G232" s="8"/>
      <c r="H232" s="8"/>
      <c r="I232" s="8"/>
      <c r="J232" s="8"/>
      <c r="K232" s="8"/>
      <c r="L232" s="8"/>
      <c r="M232" s="8"/>
      <c r="N232" s="8"/>
      <c r="O232" s="8"/>
      <c r="P232" s="8"/>
      <c r="Q232" s="8"/>
      <c r="R232" s="8"/>
      <c r="S232" s="8"/>
      <c r="T232" s="8"/>
      <c r="U232" s="8"/>
      <c r="V232" s="8"/>
      <c r="W232" s="8"/>
      <c r="X232" s="8"/>
      <c r="Y232" s="8"/>
      <c r="Z232" s="8"/>
    </row>
    <row r="233">
      <c r="A233" s="8"/>
      <c r="B233" s="8"/>
      <c r="C233" s="8"/>
      <c r="D233" s="8"/>
      <c r="E233" s="8"/>
      <c r="F233" s="8"/>
      <c r="G233" s="8"/>
      <c r="H233" s="8"/>
      <c r="I233" s="8"/>
      <c r="J233" s="8"/>
      <c r="K233" s="8"/>
      <c r="L233" s="8"/>
      <c r="M233" s="8"/>
      <c r="N233" s="8"/>
      <c r="O233" s="8"/>
      <c r="P233" s="8"/>
      <c r="Q233" s="8"/>
      <c r="R233" s="8"/>
      <c r="S233" s="8"/>
      <c r="T233" s="8"/>
      <c r="U233" s="8"/>
      <c r="V233" s="8"/>
      <c r="W233" s="8"/>
      <c r="X233" s="8"/>
      <c r="Y233" s="8"/>
      <c r="Z233" s="8"/>
    </row>
    <row r="234">
      <c r="A234" s="8"/>
      <c r="B234" s="8"/>
      <c r="C234" s="8"/>
      <c r="D234" s="8"/>
      <c r="E234" s="8"/>
      <c r="F234" s="8"/>
      <c r="G234" s="8"/>
      <c r="H234" s="8"/>
      <c r="I234" s="8"/>
      <c r="J234" s="8"/>
      <c r="K234" s="8"/>
      <c r="L234" s="8"/>
      <c r="M234" s="8"/>
      <c r="N234" s="8"/>
      <c r="O234" s="8"/>
      <c r="P234" s="8"/>
      <c r="Q234" s="8"/>
      <c r="R234" s="8"/>
      <c r="S234" s="8"/>
      <c r="T234" s="8"/>
      <c r="U234" s="8"/>
      <c r="V234" s="8"/>
      <c r="W234" s="8"/>
      <c r="X234" s="8"/>
      <c r="Y234" s="8"/>
      <c r="Z234" s="8"/>
    </row>
    <row r="235">
      <c r="A235" s="8"/>
      <c r="B235" s="8"/>
      <c r="C235" s="8"/>
      <c r="D235" s="8"/>
      <c r="E235" s="8"/>
      <c r="F235" s="8"/>
      <c r="G235" s="8"/>
      <c r="H235" s="8"/>
      <c r="I235" s="8"/>
      <c r="J235" s="8"/>
      <c r="K235" s="8"/>
      <c r="L235" s="8"/>
      <c r="M235" s="8"/>
      <c r="N235" s="8"/>
      <c r="O235" s="8"/>
      <c r="P235" s="8"/>
      <c r="Q235" s="8"/>
      <c r="R235" s="8"/>
      <c r="S235" s="8"/>
      <c r="T235" s="8"/>
      <c r="U235" s="8"/>
      <c r="V235" s="8"/>
      <c r="W235" s="8"/>
      <c r="X235" s="8"/>
      <c r="Y235" s="8"/>
      <c r="Z235" s="8"/>
    </row>
    <row r="236">
      <c r="A236" s="8"/>
      <c r="B236" s="8"/>
      <c r="C236" s="8"/>
      <c r="D236" s="8"/>
      <c r="E236" s="8"/>
      <c r="F236" s="8"/>
      <c r="G236" s="8"/>
      <c r="H236" s="8"/>
      <c r="I236" s="8"/>
      <c r="J236" s="8"/>
      <c r="K236" s="8"/>
      <c r="L236" s="8"/>
      <c r="M236" s="8"/>
      <c r="N236" s="8"/>
      <c r="O236" s="8"/>
      <c r="P236" s="8"/>
      <c r="Q236" s="8"/>
      <c r="R236" s="8"/>
      <c r="S236" s="8"/>
      <c r="T236" s="8"/>
      <c r="U236" s="8"/>
      <c r="V236" s="8"/>
      <c r="W236" s="8"/>
      <c r="X236" s="8"/>
      <c r="Y236" s="8"/>
      <c r="Z236" s="8"/>
    </row>
    <row r="237">
      <c r="A237" s="8"/>
      <c r="B237" s="8"/>
      <c r="C237" s="8"/>
      <c r="D237" s="8"/>
      <c r="E237" s="8"/>
      <c r="F237" s="8"/>
      <c r="G237" s="8"/>
      <c r="H237" s="8"/>
      <c r="I237" s="8"/>
      <c r="J237" s="8"/>
      <c r="K237" s="8"/>
      <c r="L237" s="8"/>
      <c r="M237" s="8"/>
      <c r="N237" s="8"/>
      <c r="O237" s="8"/>
      <c r="P237" s="8"/>
      <c r="Q237" s="8"/>
      <c r="R237" s="8"/>
      <c r="S237" s="8"/>
      <c r="T237" s="8"/>
      <c r="U237" s="8"/>
      <c r="V237" s="8"/>
      <c r="W237" s="8"/>
      <c r="X237" s="8"/>
      <c r="Y237" s="8"/>
      <c r="Z237" s="8"/>
    </row>
    <row r="238">
      <c r="A238" s="8"/>
      <c r="B238" s="8"/>
      <c r="C238" s="8"/>
      <c r="D238" s="8"/>
      <c r="E238" s="8"/>
      <c r="F238" s="8"/>
      <c r="G238" s="8"/>
      <c r="H238" s="8"/>
      <c r="I238" s="8"/>
      <c r="J238" s="8"/>
      <c r="K238" s="8"/>
      <c r="L238" s="8"/>
      <c r="M238" s="8"/>
      <c r="N238" s="8"/>
      <c r="O238" s="8"/>
      <c r="P238" s="8"/>
      <c r="Q238" s="8"/>
      <c r="R238" s="8"/>
      <c r="S238" s="8"/>
      <c r="T238" s="8"/>
      <c r="U238" s="8"/>
      <c r="V238" s="8"/>
      <c r="W238" s="8"/>
      <c r="X238" s="8"/>
      <c r="Y238" s="8"/>
      <c r="Z238" s="8"/>
    </row>
    <row r="239">
      <c r="A239" s="8"/>
      <c r="B239" s="8"/>
      <c r="C239" s="8"/>
      <c r="D239" s="8"/>
      <c r="E239" s="8"/>
      <c r="F239" s="8"/>
      <c r="G239" s="8"/>
      <c r="H239" s="8"/>
      <c r="I239" s="8"/>
      <c r="J239" s="8"/>
      <c r="K239" s="8"/>
      <c r="L239" s="8"/>
      <c r="M239" s="8"/>
      <c r="N239" s="8"/>
      <c r="O239" s="8"/>
      <c r="P239" s="8"/>
      <c r="Q239" s="8"/>
      <c r="R239" s="8"/>
      <c r="S239" s="8"/>
      <c r="T239" s="8"/>
      <c r="U239" s="8"/>
      <c r="V239" s="8"/>
      <c r="W239" s="8"/>
      <c r="X239" s="8"/>
      <c r="Y239" s="8"/>
      <c r="Z239" s="8"/>
    </row>
    <row r="240">
      <c r="A240" s="8"/>
      <c r="B240" s="8"/>
      <c r="C240" s="8"/>
      <c r="D240" s="8"/>
      <c r="E240" s="8"/>
      <c r="F240" s="8"/>
      <c r="G240" s="8"/>
      <c r="H240" s="8"/>
      <c r="I240" s="8"/>
      <c r="J240" s="8"/>
      <c r="K240" s="8"/>
      <c r="L240" s="8"/>
      <c r="M240" s="8"/>
      <c r="N240" s="8"/>
      <c r="O240" s="8"/>
      <c r="P240" s="8"/>
      <c r="Q240" s="8"/>
      <c r="R240" s="8"/>
      <c r="S240" s="8"/>
      <c r="T240" s="8"/>
      <c r="U240" s="8"/>
      <c r="V240" s="8"/>
      <c r="W240" s="8"/>
      <c r="X240" s="8"/>
      <c r="Y240" s="8"/>
      <c r="Z240" s="8"/>
    </row>
    <row r="241">
      <c r="A241" s="8"/>
      <c r="B241" s="8"/>
      <c r="C241" s="8"/>
      <c r="D241" s="8"/>
      <c r="E241" s="8"/>
      <c r="F241" s="8"/>
      <c r="G241" s="8"/>
      <c r="H241" s="8"/>
      <c r="I241" s="8"/>
      <c r="J241" s="8"/>
      <c r="K241" s="8"/>
      <c r="L241" s="8"/>
      <c r="M241" s="8"/>
      <c r="N241" s="8"/>
      <c r="O241" s="8"/>
      <c r="P241" s="8"/>
      <c r="Q241" s="8"/>
      <c r="R241" s="8"/>
      <c r="S241" s="8"/>
      <c r="T241" s="8"/>
      <c r="U241" s="8"/>
      <c r="V241" s="8"/>
      <c r="W241" s="8"/>
      <c r="X241" s="8"/>
      <c r="Y241" s="8"/>
      <c r="Z241" s="8"/>
    </row>
    <row r="242">
      <c r="A242" s="8"/>
      <c r="B242" s="8"/>
      <c r="C242" s="8"/>
      <c r="D242" s="8"/>
      <c r="E242" s="8"/>
      <c r="F242" s="8"/>
      <c r="G242" s="8"/>
      <c r="H242" s="8"/>
      <c r="I242" s="8"/>
      <c r="J242" s="8"/>
      <c r="K242" s="8"/>
      <c r="L242" s="8"/>
      <c r="M242" s="8"/>
      <c r="N242" s="8"/>
      <c r="O242" s="8"/>
      <c r="P242" s="8"/>
      <c r="Q242" s="8"/>
      <c r="R242" s="8"/>
      <c r="S242" s="8"/>
      <c r="T242" s="8"/>
      <c r="U242" s="8"/>
      <c r="V242" s="8"/>
      <c r="W242" s="8"/>
      <c r="X242" s="8"/>
      <c r="Y242" s="8"/>
      <c r="Z242" s="8"/>
    </row>
    <row r="243">
      <c r="A243" s="8"/>
      <c r="B243" s="8"/>
      <c r="C243" s="8"/>
      <c r="D243" s="8"/>
      <c r="E243" s="8"/>
      <c r="F243" s="8"/>
      <c r="G243" s="8"/>
      <c r="H243" s="8"/>
      <c r="I243" s="8"/>
      <c r="J243" s="8"/>
      <c r="K243" s="8"/>
      <c r="L243" s="8"/>
      <c r="M243" s="8"/>
      <c r="N243" s="8"/>
      <c r="O243" s="8"/>
      <c r="P243" s="8"/>
      <c r="Q243" s="8"/>
      <c r="R243" s="8"/>
      <c r="S243" s="8"/>
      <c r="T243" s="8"/>
      <c r="U243" s="8"/>
      <c r="V243" s="8"/>
      <c r="W243" s="8"/>
      <c r="X243" s="8"/>
      <c r="Y243" s="8"/>
      <c r="Z243" s="8"/>
    </row>
    <row r="244">
      <c r="A244" s="8"/>
      <c r="B244" s="8"/>
      <c r="C244" s="8"/>
      <c r="D244" s="8"/>
      <c r="E244" s="8"/>
      <c r="F244" s="8"/>
      <c r="G244" s="8"/>
      <c r="H244" s="8"/>
      <c r="I244" s="8"/>
      <c r="J244" s="8"/>
      <c r="K244" s="8"/>
      <c r="L244" s="8"/>
      <c r="M244" s="8"/>
      <c r="N244" s="8"/>
      <c r="O244" s="8"/>
      <c r="P244" s="8"/>
      <c r="Q244" s="8"/>
      <c r="R244" s="8"/>
      <c r="S244" s="8"/>
      <c r="T244" s="8"/>
      <c r="U244" s="8"/>
      <c r="V244" s="8"/>
      <c r="W244" s="8"/>
      <c r="X244" s="8"/>
      <c r="Y244" s="8"/>
      <c r="Z244" s="8"/>
    </row>
    <row r="245">
      <c r="A245" s="8"/>
      <c r="B245" s="8"/>
      <c r="C245" s="8"/>
      <c r="D245" s="8"/>
      <c r="E245" s="8"/>
      <c r="F245" s="8"/>
      <c r="G245" s="8"/>
      <c r="H245" s="8"/>
      <c r="I245" s="8"/>
      <c r="J245" s="8"/>
      <c r="K245" s="8"/>
      <c r="L245" s="8"/>
      <c r="M245" s="8"/>
      <c r="N245" s="8"/>
      <c r="O245" s="8"/>
      <c r="P245" s="8"/>
      <c r="Q245" s="8"/>
      <c r="R245" s="8"/>
      <c r="S245" s="8"/>
      <c r="T245" s="8"/>
      <c r="U245" s="8"/>
      <c r="V245" s="8"/>
      <c r="W245" s="8"/>
      <c r="X245" s="8"/>
      <c r="Y245" s="8"/>
      <c r="Z245" s="8"/>
    </row>
    <row r="246">
      <c r="A246" s="8"/>
      <c r="B246" s="8"/>
      <c r="C246" s="8"/>
      <c r="D246" s="8"/>
      <c r="E246" s="8"/>
      <c r="F246" s="8"/>
      <c r="G246" s="8"/>
      <c r="H246" s="8"/>
      <c r="I246" s="8"/>
      <c r="J246" s="8"/>
      <c r="K246" s="8"/>
      <c r="L246" s="8"/>
      <c r="M246" s="8"/>
      <c r="N246" s="8"/>
      <c r="O246" s="8"/>
      <c r="P246" s="8"/>
      <c r="Q246" s="8"/>
      <c r="R246" s="8"/>
      <c r="S246" s="8"/>
      <c r="T246" s="8"/>
      <c r="U246" s="8"/>
      <c r="V246" s="8"/>
      <c r="W246" s="8"/>
      <c r="X246" s="8"/>
      <c r="Y246" s="8"/>
      <c r="Z246" s="8"/>
    </row>
    <row r="247">
      <c r="A247" s="8"/>
      <c r="B247" s="8"/>
      <c r="C247" s="8"/>
      <c r="D247" s="8"/>
      <c r="E247" s="8"/>
      <c r="F247" s="8"/>
      <c r="G247" s="8"/>
      <c r="H247" s="8"/>
      <c r="I247" s="8"/>
      <c r="J247" s="8"/>
      <c r="K247" s="8"/>
      <c r="L247" s="8"/>
      <c r="M247" s="8"/>
      <c r="N247" s="8"/>
      <c r="O247" s="8"/>
      <c r="P247" s="8"/>
      <c r="Q247" s="8"/>
      <c r="R247" s="8"/>
      <c r="S247" s="8"/>
      <c r="T247" s="8"/>
      <c r="U247" s="8"/>
      <c r="V247" s="8"/>
      <c r="W247" s="8"/>
      <c r="X247" s="8"/>
      <c r="Y247" s="8"/>
      <c r="Z247" s="8"/>
    </row>
    <row r="248">
      <c r="A248" s="8"/>
      <c r="B248" s="8"/>
      <c r="C248" s="8"/>
      <c r="D248" s="8"/>
      <c r="E248" s="8"/>
      <c r="F248" s="8"/>
      <c r="G248" s="8"/>
      <c r="H248" s="8"/>
      <c r="I248" s="8"/>
      <c r="J248" s="8"/>
      <c r="K248" s="8"/>
      <c r="L248" s="8"/>
      <c r="M248" s="8"/>
      <c r="N248" s="8"/>
      <c r="O248" s="8"/>
      <c r="P248" s="8"/>
      <c r="Q248" s="8"/>
      <c r="R248" s="8"/>
      <c r="S248" s="8"/>
      <c r="T248" s="8"/>
      <c r="U248" s="8"/>
      <c r="V248" s="8"/>
      <c r="W248" s="8"/>
      <c r="X248" s="8"/>
      <c r="Y248" s="8"/>
      <c r="Z248" s="8"/>
    </row>
    <row r="249">
      <c r="A249" s="8"/>
      <c r="B249" s="8"/>
      <c r="C249" s="8"/>
      <c r="D249" s="8"/>
      <c r="E249" s="8"/>
      <c r="F249" s="8"/>
      <c r="G249" s="8"/>
      <c r="H249" s="8"/>
      <c r="I249" s="8"/>
      <c r="J249" s="8"/>
      <c r="K249" s="8"/>
      <c r="L249" s="8"/>
      <c r="M249" s="8"/>
      <c r="N249" s="8"/>
      <c r="O249" s="8"/>
      <c r="P249" s="8"/>
      <c r="Q249" s="8"/>
      <c r="R249" s="8"/>
      <c r="S249" s="8"/>
      <c r="T249" s="8"/>
      <c r="U249" s="8"/>
      <c r="V249" s="8"/>
      <c r="W249" s="8"/>
      <c r="X249" s="8"/>
      <c r="Y249" s="8"/>
      <c r="Z249" s="8"/>
    </row>
    <row r="250">
      <c r="A250" s="8"/>
      <c r="B250" s="8"/>
      <c r="C250" s="8"/>
      <c r="D250" s="8"/>
      <c r="E250" s="8"/>
      <c r="F250" s="8"/>
      <c r="G250" s="8"/>
      <c r="H250" s="8"/>
      <c r="I250" s="8"/>
      <c r="J250" s="8"/>
      <c r="K250" s="8"/>
      <c r="L250" s="8"/>
      <c r="M250" s="8"/>
      <c r="N250" s="8"/>
      <c r="O250" s="8"/>
      <c r="P250" s="8"/>
      <c r="Q250" s="8"/>
      <c r="R250" s="8"/>
      <c r="S250" s="8"/>
      <c r="T250" s="8"/>
      <c r="U250" s="8"/>
      <c r="V250" s="8"/>
      <c r="W250" s="8"/>
      <c r="X250" s="8"/>
      <c r="Y250" s="8"/>
      <c r="Z250" s="8"/>
    </row>
    <row r="251">
      <c r="A251" s="8"/>
      <c r="B251" s="8"/>
      <c r="C251" s="8"/>
      <c r="D251" s="8"/>
      <c r="E251" s="8"/>
      <c r="F251" s="8"/>
      <c r="G251" s="8"/>
      <c r="H251" s="8"/>
      <c r="I251" s="8"/>
      <c r="J251" s="8"/>
      <c r="K251" s="8"/>
      <c r="L251" s="8"/>
      <c r="M251" s="8"/>
      <c r="N251" s="8"/>
      <c r="O251" s="8"/>
      <c r="P251" s="8"/>
      <c r="Q251" s="8"/>
      <c r="R251" s="8"/>
      <c r="S251" s="8"/>
      <c r="T251" s="8"/>
      <c r="U251" s="8"/>
      <c r="V251" s="8"/>
      <c r="W251" s="8"/>
      <c r="X251" s="8"/>
      <c r="Y251" s="8"/>
      <c r="Z251" s="8"/>
    </row>
    <row r="252">
      <c r="A252" s="8"/>
      <c r="B252" s="8"/>
      <c r="C252" s="8"/>
      <c r="D252" s="8"/>
      <c r="E252" s="8"/>
      <c r="F252" s="8"/>
      <c r="G252" s="8"/>
      <c r="H252" s="8"/>
      <c r="I252" s="8"/>
      <c r="J252" s="8"/>
      <c r="K252" s="8"/>
      <c r="L252" s="8"/>
      <c r="M252" s="8"/>
      <c r="N252" s="8"/>
      <c r="O252" s="8"/>
      <c r="P252" s="8"/>
      <c r="Q252" s="8"/>
      <c r="R252" s="8"/>
      <c r="S252" s="8"/>
      <c r="T252" s="8"/>
      <c r="U252" s="8"/>
      <c r="V252" s="8"/>
      <c r="W252" s="8"/>
      <c r="X252" s="8"/>
      <c r="Y252" s="8"/>
      <c r="Z252" s="8"/>
    </row>
    <row r="253">
      <c r="A253" s="8"/>
      <c r="B253" s="8"/>
      <c r="C253" s="8"/>
      <c r="D253" s="8"/>
      <c r="E253" s="8"/>
      <c r="F253" s="8"/>
      <c r="G253" s="8"/>
      <c r="H253" s="8"/>
      <c r="I253" s="8"/>
      <c r="J253" s="8"/>
      <c r="K253" s="8"/>
      <c r="L253" s="8"/>
      <c r="M253" s="8"/>
      <c r="N253" s="8"/>
      <c r="O253" s="8"/>
      <c r="P253" s="8"/>
      <c r="Q253" s="8"/>
      <c r="R253" s="8"/>
      <c r="S253" s="8"/>
      <c r="T253" s="8"/>
      <c r="U253" s="8"/>
      <c r="V253" s="8"/>
      <c r="W253" s="8"/>
      <c r="X253" s="8"/>
      <c r="Y253" s="8"/>
      <c r="Z253" s="8"/>
    </row>
    <row r="254">
      <c r="A254" s="8"/>
      <c r="B254" s="8"/>
      <c r="C254" s="8"/>
      <c r="D254" s="8"/>
      <c r="E254" s="8"/>
      <c r="F254" s="8"/>
      <c r="G254" s="8"/>
      <c r="H254" s="8"/>
      <c r="I254" s="8"/>
      <c r="J254" s="8"/>
      <c r="K254" s="8"/>
      <c r="L254" s="8"/>
      <c r="M254" s="8"/>
      <c r="N254" s="8"/>
      <c r="O254" s="8"/>
      <c r="P254" s="8"/>
      <c r="Q254" s="8"/>
      <c r="R254" s="8"/>
      <c r="S254" s="8"/>
      <c r="T254" s="8"/>
      <c r="U254" s="8"/>
      <c r="V254" s="8"/>
      <c r="W254" s="8"/>
      <c r="X254" s="8"/>
      <c r="Y254" s="8"/>
      <c r="Z254" s="8"/>
    </row>
    <row r="255">
      <c r="A255" s="8"/>
      <c r="B255" s="8"/>
      <c r="C255" s="8"/>
      <c r="D255" s="8"/>
      <c r="E255" s="8"/>
      <c r="F255" s="8"/>
      <c r="G255" s="8"/>
      <c r="H255" s="8"/>
      <c r="I255" s="8"/>
      <c r="J255" s="8"/>
      <c r="K255" s="8"/>
      <c r="L255" s="8"/>
      <c r="M255" s="8"/>
      <c r="N255" s="8"/>
      <c r="O255" s="8"/>
      <c r="P255" s="8"/>
      <c r="Q255" s="8"/>
      <c r="R255" s="8"/>
      <c r="S255" s="8"/>
      <c r="T255" s="8"/>
      <c r="U255" s="8"/>
      <c r="V255" s="8"/>
      <c r="W255" s="8"/>
      <c r="X255" s="8"/>
      <c r="Y255" s="8"/>
      <c r="Z255" s="8"/>
    </row>
    <row r="256">
      <c r="A256" s="8"/>
      <c r="B256" s="8"/>
      <c r="C256" s="8"/>
      <c r="D256" s="8"/>
      <c r="E256" s="8"/>
      <c r="F256" s="8"/>
      <c r="G256" s="8"/>
      <c r="H256" s="8"/>
      <c r="I256" s="8"/>
      <c r="J256" s="8"/>
      <c r="K256" s="8"/>
      <c r="L256" s="8"/>
      <c r="M256" s="8"/>
      <c r="N256" s="8"/>
      <c r="O256" s="8"/>
      <c r="P256" s="8"/>
      <c r="Q256" s="8"/>
      <c r="R256" s="8"/>
      <c r="S256" s="8"/>
      <c r="T256" s="8"/>
      <c r="U256" s="8"/>
      <c r="V256" s="8"/>
      <c r="W256" s="8"/>
      <c r="X256" s="8"/>
      <c r="Y256" s="8"/>
      <c r="Z256" s="8"/>
    </row>
    <row r="257">
      <c r="A257" s="8"/>
      <c r="B257" s="8"/>
      <c r="C257" s="8"/>
      <c r="D257" s="8"/>
      <c r="E257" s="8"/>
      <c r="F257" s="8"/>
      <c r="G257" s="8"/>
      <c r="H257" s="8"/>
      <c r="I257" s="8"/>
      <c r="J257" s="8"/>
      <c r="K257" s="8"/>
      <c r="L257" s="8"/>
      <c r="M257" s="8"/>
      <c r="N257" s="8"/>
      <c r="O257" s="8"/>
      <c r="P257" s="8"/>
      <c r="Q257" s="8"/>
      <c r="R257" s="8"/>
      <c r="S257" s="8"/>
      <c r="T257" s="8"/>
      <c r="U257" s="8"/>
      <c r="V257" s="8"/>
      <c r="W257" s="8"/>
      <c r="X257" s="8"/>
      <c r="Y257" s="8"/>
      <c r="Z257" s="8"/>
    </row>
    <row r="258">
      <c r="A258" s="8"/>
      <c r="B258" s="8"/>
      <c r="C258" s="8"/>
      <c r="D258" s="8"/>
      <c r="E258" s="8"/>
      <c r="F258" s="8"/>
      <c r="G258" s="8"/>
      <c r="H258" s="8"/>
      <c r="I258" s="8"/>
      <c r="J258" s="8"/>
      <c r="K258" s="8"/>
      <c r="L258" s="8"/>
      <c r="M258" s="8"/>
      <c r="N258" s="8"/>
      <c r="O258" s="8"/>
      <c r="P258" s="8"/>
      <c r="Q258" s="8"/>
      <c r="R258" s="8"/>
      <c r="S258" s="8"/>
      <c r="T258" s="8"/>
      <c r="U258" s="8"/>
      <c r="V258" s="8"/>
      <c r="W258" s="8"/>
      <c r="X258" s="8"/>
      <c r="Y258" s="8"/>
      <c r="Z258" s="8"/>
    </row>
    <row r="259">
      <c r="A259" s="8"/>
      <c r="B259" s="8"/>
      <c r="C259" s="8"/>
      <c r="D259" s="8"/>
      <c r="E259" s="8"/>
      <c r="F259" s="8"/>
      <c r="G259" s="8"/>
      <c r="H259" s="8"/>
      <c r="I259" s="8"/>
      <c r="J259" s="8"/>
      <c r="K259" s="8"/>
      <c r="L259" s="8"/>
      <c r="M259" s="8"/>
      <c r="N259" s="8"/>
      <c r="O259" s="8"/>
      <c r="P259" s="8"/>
      <c r="Q259" s="8"/>
      <c r="R259" s="8"/>
      <c r="S259" s="8"/>
      <c r="T259" s="8"/>
      <c r="U259" s="8"/>
      <c r="V259" s="8"/>
      <c r="W259" s="8"/>
      <c r="X259" s="8"/>
      <c r="Y259" s="8"/>
      <c r="Z259" s="8"/>
    </row>
    <row r="260">
      <c r="A260" s="8"/>
      <c r="B260" s="8"/>
      <c r="C260" s="8"/>
      <c r="D260" s="8"/>
      <c r="E260" s="8"/>
      <c r="F260" s="8"/>
      <c r="G260" s="8"/>
      <c r="H260" s="8"/>
      <c r="I260" s="8"/>
      <c r="J260" s="8"/>
      <c r="K260" s="8"/>
      <c r="L260" s="8"/>
      <c r="M260" s="8"/>
      <c r="N260" s="8"/>
      <c r="O260" s="8"/>
      <c r="P260" s="8"/>
      <c r="Q260" s="8"/>
      <c r="R260" s="8"/>
      <c r="S260" s="8"/>
      <c r="T260" s="8"/>
      <c r="U260" s="8"/>
      <c r="V260" s="8"/>
      <c r="W260" s="8"/>
      <c r="X260" s="8"/>
      <c r="Y260" s="8"/>
      <c r="Z260" s="8"/>
    </row>
    <row r="261">
      <c r="A261" s="8"/>
      <c r="B261" s="8"/>
      <c r="C261" s="8"/>
      <c r="D261" s="8"/>
      <c r="E261" s="8"/>
      <c r="F261" s="8"/>
      <c r="G261" s="8"/>
      <c r="H261" s="8"/>
      <c r="I261" s="8"/>
      <c r="J261" s="8"/>
      <c r="K261" s="8"/>
      <c r="L261" s="8"/>
      <c r="M261" s="8"/>
      <c r="N261" s="8"/>
      <c r="O261" s="8"/>
      <c r="P261" s="8"/>
      <c r="Q261" s="8"/>
      <c r="R261" s="8"/>
      <c r="S261" s="8"/>
      <c r="T261" s="8"/>
      <c r="U261" s="8"/>
      <c r="V261" s="8"/>
      <c r="W261" s="8"/>
      <c r="X261" s="8"/>
      <c r="Y261" s="8"/>
      <c r="Z261" s="8"/>
    </row>
    <row r="262">
      <c r="A262" s="8"/>
      <c r="B262" s="8"/>
      <c r="C262" s="8"/>
      <c r="D262" s="8"/>
      <c r="E262" s="8"/>
      <c r="F262" s="8"/>
      <c r="G262" s="8"/>
      <c r="H262" s="8"/>
      <c r="I262" s="8"/>
      <c r="J262" s="8"/>
      <c r="K262" s="8"/>
      <c r="L262" s="8"/>
      <c r="M262" s="8"/>
      <c r="N262" s="8"/>
      <c r="O262" s="8"/>
      <c r="P262" s="8"/>
      <c r="Q262" s="8"/>
      <c r="R262" s="8"/>
      <c r="S262" s="8"/>
      <c r="T262" s="8"/>
      <c r="U262" s="8"/>
      <c r="V262" s="8"/>
      <c r="W262" s="8"/>
      <c r="X262" s="8"/>
      <c r="Y262" s="8"/>
      <c r="Z262" s="8"/>
    </row>
    <row r="263">
      <c r="A263" s="8"/>
      <c r="B263" s="8"/>
      <c r="C263" s="8"/>
      <c r="D263" s="8"/>
      <c r="E263" s="8"/>
      <c r="F263" s="8"/>
      <c r="G263" s="8"/>
      <c r="H263" s="8"/>
      <c r="I263" s="8"/>
      <c r="J263" s="8"/>
      <c r="K263" s="8"/>
      <c r="L263" s="8"/>
      <c r="M263" s="8"/>
      <c r="N263" s="8"/>
      <c r="O263" s="8"/>
      <c r="P263" s="8"/>
      <c r="Q263" s="8"/>
      <c r="R263" s="8"/>
      <c r="S263" s="8"/>
      <c r="T263" s="8"/>
      <c r="U263" s="8"/>
      <c r="V263" s="8"/>
      <c r="W263" s="8"/>
      <c r="X263" s="8"/>
      <c r="Y263" s="8"/>
      <c r="Z263" s="8"/>
    </row>
    <row r="264">
      <c r="A264" s="8"/>
      <c r="B264" s="8"/>
      <c r="C264" s="8"/>
      <c r="D264" s="8"/>
      <c r="E264" s="8"/>
      <c r="F264" s="8"/>
      <c r="G264" s="8"/>
      <c r="H264" s="8"/>
      <c r="I264" s="8"/>
      <c r="J264" s="8"/>
      <c r="K264" s="8"/>
      <c r="L264" s="8"/>
      <c r="M264" s="8"/>
      <c r="N264" s="8"/>
      <c r="O264" s="8"/>
      <c r="P264" s="8"/>
      <c r="Q264" s="8"/>
      <c r="R264" s="8"/>
      <c r="S264" s="8"/>
      <c r="T264" s="8"/>
      <c r="U264" s="8"/>
      <c r="V264" s="8"/>
      <c r="W264" s="8"/>
      <c r="X264" s="8"/>
      <c r="Y264" s="8"/>
      <c r="Z264" s="8"/>
    </row>
    <row r="265">
      <c r="A265" s="8"/>
      <c r="B265" s="8"/>
      <c r="C265" s="8"/>
      <c r="D265" s="8"/>
      <c r="E265" s="8"/>
      <c r="F265" s="8"/>
      <c r="G265" s="8"/>
      <c r="H265" s="8"/>
      <c r="I265" s="8"/>
      <c r="J265" s="8"/>
      <c r="K265" s="8"/>
      <c r="L265" s="8"/>
      <c r="M265" s="8"/>
      <c r="N265" s="8"/>
      <c r="O265" s="8"/>
      <c r="P265" s="8"/>
      <c r="Q265" s="8"/>
      <c r="R265" s="8"/>
      <c r="S265" s="8"/>
      <c r="T265" s="8"/>
      <c r="U265" s="8"/>
      <c r="V265" s="8"/>
      <c r="W265" s="8"/>
      <c r="X265" s="8"/>
      <c r="Y265" s="8"/>
      <c r="Z265" s="8"/>
    </row>
    <row r="266">
      <c r="A266" s="8"/>
      <c r="B266" s="8"/>
      <c r="C266" s="8"/>
      <c r="D266" s="8"/>
      <c r="E266" s="8"/>
      <c r="F266" s="8"/>
      <c r="G266" s="8"/>
      <c r="H266" s="8"/>
      <c r="I266" s="8"/>
      <c r="J266" s="8"/>
      <c r="K266" s="8"/>
      <c r="L266" s="8"/>
      <c r="M266" s="8"/>
      <c r="N266" s="8"/>
      <c r="O266" s="8"/>
      <c r="P266" s="8"/>
      <c r="Q266" s="8"/>
      <c r="R266" s="8"/>
      <c r="S266" s="8"/>
      <c r="T266" s="8"/>
      <c r="U266" s="8"/>
      <c r="V266" s="8"/>
      <c r="W266" s="8"/>
      <c r="X266" s="8"/>
      <c r="Y266" s="8"/>
      <c r="Z266" s="8"/>
    </row>
    <row r="267">
      <c r="A267" s="8"/>
      <c r="B267" s="8"/>
      <c r="C267" s="8"/>
      <c r="D267" s="8"/>
      <c r="E267" s="8"/>
      <c r="F267" s="8"/>
      <c r="G267" s="8"/>
      <c r="H267" s="8"/>
      <c r="I267" s="8"/>
      <c r="J267" s="8"/>
      <c r="K267" s="8"/>
      <c r="L267" s="8"/>
      <c r="M267" s="8"/>
      <c r="N267" s="8"/>
      <c r="O267" s="8"/>
      <c r="P267" s="8"/>
      <c r="Q267" s="8"/>
      <c r="R267" s="8"/>
      <c r="S267" s="8"/>
      <c r="T267" s="8"/>
      <c r="U267" s="8"/>
      <c r="V267" s="8"/>
      <c r="W267" s="8"/>
      <c r="X267" s="8"/>
      <c r="Y267" s="8"/>
      <c r="Z267" s="8"/>
    </row>
    <row r="268">
      <c r="A268" s="8"/>
      <c r="B268" s="8"/>
      <c r="C268" s="8"/>
      <c r="D268" s="8"/>
      <c r="E268" s="8"/>
      <c r="F268" s="8"/>
      <c r="G268" s="8"/>
      <c r="H268" s="8"/>
      <c r="I268" s="8"/>
      <c r="J268" s="8"/>
      <c r="K268" s="8"/>
      <c r="L268" s="8"/>
      <c r="M268" s="8"/>
      <c r="N268" s="8"/>
      <c r="O268" s="8"/>
      <c r="P268" s="8"/>
      <c r="Q268" s="8"/>
      <c r="R268" s="8"/>
      <c r="S268" s="8"/>
      <c r="T268" s="8"/>
      <c r="U268" s="8"/>
      <c r="V268" s="8"/>
      <c r="W268" s="8"/>
      <c r="X268" s="8"/>
      <c r="Y268" s="8"/>
      <c r="Z268" s="8"/>
    </row>
    <row r="269">
      <c r="A269" s="8"/>
      <c r="B269" s="8"/>
      <c r="C269" s="8"/>
      <c r="D269" s="8"/>
      <c r="E269" s="8"/>
      <c r="F269" s="8"/>
      <c r="G269" s="8"/>
      <c r="H269" s="8"/>
      <c r="I269" s="8"/>
      <c r="J269" s="8"/>
      <c r="K269" s="8"/>
      <c r="L269" s="8"/>
      <c r="M269" s="8"/>
      <c r="N269" s="8"/>
      <c r="O269" s="8"/>
      <c r="P269" s="8"/>
      <c r="Q269" s="8"/>
      <c r="R269" s="8"/>
      <c r="S269" s="8"/>
      <c r="T269" s="8"/>
      <c r="U269" s="8"/>
      <c r="V269" s="8"/>
      <c r="W269" s="8"/>
      <c r="X269" s="8"/>
      <c r="Y269" s="8"/>
      <c r="Z269" s="8"/>
    </row>
    <row r="270">
      <c r="A270" s="8"/>
      <c r="B270" s="8"/>
      <c r="C270" s="8"/>
      <c r="D270" s="8"/>
      <c r="E270" s="8"/>
      <c r="F270" s="8"/>
      <c r="G270" s="8"/>
      <c r="H270" s="8"/>
      <c r="I270" s="8"/>
      <c r="J270" s="8"/>
      <c r="K270" s="8"/>
      <c r="L270" s="8"/>
      <c r="M270" s="8"/>
      <c r="N270" s="8"/>
      <c r="O270" s="8"/>
      <c r="P270" s="8"/>
      <c r="Q270" s="8"/>
      <c r="R270" s="8"/>
      <c r="S270" s="8"/>
      <c r="T270" s="8"/>
      <c r="U270" s="8"/>
      <c r="V270" s="8"/>
      <c r="W270" s="8"/>
      <c r="X270" s="8"/>
      <c r="Y270" s="8"/>
      <c r="Z270" s="8"/>
    </row>
    <row r="271">
      <c r="A271" s="8"/>
      <c r="B271" s="8"/>
      <c r="C271" s="8"/>
      <c r="D271" s="8"/>
      <c r="E271" s="8"/>
      <c r="F271" s="8"/>
      <c r="G271" s="8"/>
      <c r="H271" s="8"/>
      <c r="I271" s="8"/>
      <c r="J271" s="8"/>
      <c r="K271" s="8"/>
      <c r="L271" s="8"/>
      <c r="M271" s="8"/>
      <c r="N271" s="8"/>
      <c r="O271" s="8"/>
      <c r="P271" s="8"/>
      <c r="Q271" s="8"/>
      <c r="R271" s="8"/>
      <c r="S271" s="8"/>
      <c r="T271" s="8"/>
      <c r="U271" s="8"/>
      <c r="V271" s="8"/>
      <c r="W271" s="8"/>
      <c r="X271" s="8"/>
      <c r="Y271" s="8"/>
      <c r="Z271" s="8"/>
    </row>
    <row r="272">
      <c r="A272" s="8"/>
      <c r="B272" s="8"/>
      <c r="C272" s="8"/>
      <c r="D272" s="8"/>
      <c r="E272" s="8"/>
      <c r="F272" s="8"/>
      <c r="G272" s="8"/>
      <c r="H272" s="8"/>
      <c r="I272" s="8"/>
      <c r="J272" s="8"/>
      <c r="K272" s="8"/>
      <c r="L272" s="8"/>
      <c r="M272" s="8"/>
      <c r="N272" s="8"/>
      <c r="O272" s="8"/>
      <c r="P272" s="8"/>
      <c r="Q272" s="8"/>
      <c r="R272" s="8"/>
      <c r="S272" s="8"/>
      <c r="T272" s="8"/>
      <c r="U272" s="8"/>
      <c r="V272" s="8"/>
      <c r="W272" s="8"/>
      <c r="X272" s="8"/>
      <c r="Y272" s="8"/>
      <c r="Z272" s="8"/>
    </row>
    <row r="273">
      <c r="A273" s="8"/>
      <c r="B273" s="8"/>
      <c r="C273" s="8"/>
      <c r="D273" s="8"/>
      <c r="E273" s="8"/>
      <c r="F273" s="8"/>
      <c r="G273" s="8"/>
      <c r="H273" s="8"/>
      <c r="I273" s="8"/>
      <c r="J273" s="8"/>
      <c r="K273" s="8"/>
      <c r="L273" s="8"/>
      <c r="M273" s="8"/>
      <c r="N273" s="8"/>
      <c r="O273" s="8"/>
      <c r="P273" s="8"/>
      <c r="Q273" s="8"/>
      <c r="R273" s="8"/>
      <c r="S273" s="8"/>
      <c r="T273" s="8"/>
      <c r="U273" s="8"/>
      <c r="V273" s="8"/>
      <c r="W273" s="8"/>
      <c r="X273" s="8"/>
      <c r="Y273" s="8"/>
      <c r="Z273" s="8"/>
    </row>
    <row r="274">
      <c r="A274" s="8"/>
      <c r="B274" s="8"/>
      <c r="C274" s="8"/>
      <c r="D274" s="8"/>
      <c r="E274" s="8"/>
      <c r="F274" s="8"/>
      <c r="G274" s="8"/>
      <c r="H274" s="8"/>
      <c r="I274" s="8"/>
      <c r="J274" s="8"/>
      <c r="K274" s="8"/>
      <c r="L274" s="8"/>
      <c r="M274" s="8"/>
      <c r="N274" s="8"/>
      <c r="O274" s="8"/>
      <c r="P274" s="8"/>
      <c r="Q274" s="8"/>
      <c r="R274" s="8"/>
      <c r="S274" s="8"/>
      <c r="T274" s="8"/>
      <c r="U274" s="8"/>
      <c r="V274" s="8"/>
      <c r="W274" s="8"/>
      <c r="X274" s="8"/>
      <c r="Y274" s="8"/>
      <c r="Z274" s="8"/>
    </row>
    <row r="275">
      <c r="A275" s="8"/>
      <c r="B275" s="8"/>
      <c r="C275" s="8"/>
      <c r="D275" s="8"/>
      <c r="E275" s="8"/>
      <c r="F275" s="8"/>
      <c r="G275" s="8"/>
      <c r="H275" s="8"/>
      <c r="I275" s="8"/>
      <c r="J275" s="8"/>
      <c r="K275" s="8"/>
      <c r="L275" s="8"/>
      <c r="M275" s="8"/>
      <c r="N275" s="8"/>
      <c r="O275" s="8"/>
      <c r="P275" s="8"/>
      <c r="Q275" s="8"/>
      <c r="R275" s="8"/>
      <c r="S275" s="8"/>
      <c r="T275" s="8"/>
      <c r="U275" s="8"/>
      <c r="V275" s="8"/>
      <c r="W275" s="8"/>
      <c r="X275" s="8"/>
      <c r="Y275" s="8"/>
      <c r="Z275" s="8"/>
    </row>
    <row r="276">
      <c r="A276" s="8"/>
      <c r="B276" s="8"/>
      <c r="C276" s="8"/>
      <c r="D276" s="8"/>
      <c r="E276" s="8"/>
      <c r="F276" s="8"/>
      <c r="G276" s="8"/>
      <c r="H276" s="8"/>
      <c r="I276" s="8"/>
      <c r="J276" s="8"/>
      <c r="K276" s="8"/>
      <c r="L276" s="8"/>
      <c r="M276" s="8"/>
      <c r="N276" s="8"/>
      <c r="O276" s="8"/>
      <c r="P276" s="8"/>
      <c r="Q276" s="8"/>
      <c r="R276" s="8"/>
      <c r="S276" s="8"/>
      <c r="T276" s="8"/>
      <c r="U276" s="8"/>
      <c r="V276" s="8"/>
      <c r="W276" s="8"/>
      <c r="X276" s="8"/>
      <c r="Y276" s="8"/>
      <c r="Z276" s="8"/>
    </row>
    <row r="277">
      <c r="A277" s="8"/>
      <c r="B277" s="8"/>
      <c r="C277" s="8"/>
      <c r="D277" s="8"/>
      <c r="E277" s="8"/>
      <c r="F277" s="8"/>
      <c r="G277" s="8"/>
      <c r="H277" s="8"/>
      <c r="I277" s="8"/>
      <c r="J277" s="8"/>
      <c r="K277" s="8"/>
      <c r="L277" s="8"/>
      <c r="M277" s="8"/>
      <c r="N277" s="8"/>
      <c r="O277" s="8"/>
      <c r="P277" s="8"/>
      <c r="Q277" s="8"/>
      <c r="R277" s="8"/>
      <c r="S277" s="8"/>
      <c r="T277" s="8"/>
      <c r="U277" s="8"/>
      <c r="V277" s="8"/>
      <c r="W277" s="8"/>
      <c r="X277" s="8"/>
      <c r="Y277" s="8"/>
      <c r="Z277" s="8"/>
    </row>
    <row r="278">
      <c r="A278" s="8"/>
      <c r="B278" s="8"/>
      <c r="C278" s="8"/>
      <c r="D278" s="8"/>
      <c r="E278" s="8"/>
      <c r="F278" s="8"/>
      <c r="G278" s="8"/>
      <c r="H278" s="8"/>
      <c r="I278" s="8"/>
      <c r="J278" s="8"/>
      <c r="K278" s="8"/>
      <c r="L278" s="8"/>
      <c r="M278" s="8"/>
      <c r="N278" s="8"/>
      <c r="O278" s="8"/>
      <c r="P278" s="8"/>
      <c r="Q278" s="8"/>
      <c r="R278" s="8"/>
      <c r="S278" s="8"/>
      <c r="T278" s="8"/>
      <c r="U278" s="8"/>
      <c r="V278" s="8"/>
      <c r="W278" s="8"/>
      <c r="X278" s="8"/>
      <c r="Y278" s="8"/>
      <c r="Z278" s="8"/>
    </row>
    <row r="279">
      <c r="A279" s="8"/>
      <c r="B279" s="8"/>
      <c r="C279" s="8"/>
      <c r="D279" s="8"/>
      <c r="E279" s="8"/>
      <c r="F279" s="8"/>
      <c r="G279" s="8"/>
      <c r="H279" s="8"/>
      <c r="I279" s="8"/>
      <c r="J279" s="8"/>
      <c r="K279" s="8"/>
      <c r="L279" s="8"/>
      <c r="M279" s="8"/>
      <c r="N279" s="8"/>
      <c r="O279" s="8"/>
      <c r="P279" s="8"/>
      <c r="Q279" s="8"/>
      <c r="R279" s="8"/>
      <c r="S279" s="8"/>
      <c r="T279" s="8"/>
      <c r="U279" s="8"/>
      <c r="V279" s="8"/>
      <c r="W279" s="8"/>
      <c r="X279" s="8"/>
      <c r="Y279" s="8"/>
      <c r="Z279" s="8"/>
    </row>
    <row r="280">
      <c r="A280" s="8"/>
      <c r="B280" s="8"/>
      <c r="C280" s="8"/>
      <c r="D280" s="8"/>
      <c r="E280" s="8"/>
      <c r="F280" s="8"/>
      <c r="G280" s="8"/>
      <c r="H280" s="8"/>
      <c r="I280" s="8"/>
      <c r="J280" s="8"/>
      <c r="K280" s="8"/>
      <c r="L280" s="8"/>
      <c r="M280" s="8"/>
      <c r="N280" s="8"/>
      <c r="O280" s="8"/>
      <c r="P280" s="8"/>
      <c r="Q280" s="8"/>
      <c r="R280" s="8"/>
      <c r="S280" s="8"/>
      <c r="T280" s="8"/>
      <c r="U280" s="8"/>
      <c r="V280" s="8"/>
      <c r="W280" s="8"/>
      <c r="X280" s="8"/>
      <c r="Y280" s="8"/>
      <c r="Z280" s="8"/>
    </row>
    <row r="281">
      <c r="A281" s="8"/>
      <c r="B281" s="8"/>
      <c r="C281" s="8"/>
      <c r="D281" s="8"/>
      <c r="E281" s="8"/>
      <c r="F281" s="8"/>
      <c r="G281" s="8"/>
      <c r="H281" s="8"/>
      <c r="I281" s="8"/>
      <c r="J281" s="8"/>
      <c r="K281" s="8"/>
      <c r="L281" s="8"/>
      <c r="M281" s="8"/>
      <c r="N281" s="8"/>
      <c r="O281" s="8"/>
      <c r="P281" s="8"/>
      <c r="Q281" s="8"/>
      <c r="R281" s="8"/>
      <c r="S281" s="8"/>
      <c r="T281" s="8"/>
      <c r="U281" s="8"/>
      <c r="V281" s="8"/>
      <c r="W281" s="8"/>
      <c r="X281" s="8"/>
      <c r="Y281" s="8"/>
      <c r="Z281" s="8"/>
    </row>
    <row r="282">
      <c r="A282" s="8"/>
      <c r="B282" s="8"/>
      <c r="C282" s="8"/>
      <c r="D282" s="8"/>
      <c r="E282" s="8"/>
      <c r="F282" s="8"/>
      <c r="G282" s="8"/>
      <c r="H282" s="8"/>
      <c r="I282" s="8"/>
      <c r="J282" s="8"/>
      <c r="K282" s="8"/>
      <c r="L282" s="8"/>
      <c r="M282" s="8"/>
      <c r="N282" s="8"/>
      <c r="O282" s="8"/>
      <c r="P282" s="8"/>
      <c r="Q282" s="8"/>
      <c r="R282" s="8"/>
      <c r="S282" s="8"/>
      <c r="T282" s="8"/>
      <c r="U282" s="8"/>
      <c r="V282" s="8"/>
      <c r="W282" s="8"/>
      <c r="X282" s="8"/>
      <c r="Y282" s="8"/>
      <c r="Z282" s="8"/>
    </row>
    <row r="283">
      <c r="A283" s="8"/>
      <c r="B283" s="8"/>
      <c r="C283" s="8"/>
      <c r="D283" s="8"/>
      <c r="E283" s="8"/>
      <c r="F283" s="8"/>
      <c r="G283" s="8"/>
      <c r="H283" s="8"/>
      <c r="I283" s="8"/>
      <c r="J283" s="8"/>
      <c r="K283" s="8"/>
      <c r="L283" s="8"/>
      <c r="M283" s="8"/>
      <c r="N283" s="8"/>
      <c r="O283" s="8"/>
      <c r="P283" s="8"/>
      <c r="Q283" s="8"/>
      <c r="R283" s="8"/>
      <c r="S283" s="8"/>
      <c r="T283" s="8"/>
      <c r="U283" s="8"/>
      <c r="V283" s="8"/>
      <c r="W283" s="8"/>
      <c r="X283" s="8"/>
      <c r="Y283" s="8"/>
      <c r="Z283" s="8"/>
    </row>
    <row r="284">
      <c r="A284" s="8"/>
      <c r="B284" s="8"/>
      <c r="C284" s="8"/>
      <c r="D284" s="8"/>
      <c r="E284" s="8"/>
      <c r="F284" s="8"/>
      <c r="G284" s="8"/>
      <c r="H284" s="8"/>
      <c r="I284" s="8"/>
      <c r="J284" s="8"/>
      <c r="K284" s="8"/>
      <c r="L284" s="8"/>
      <c r="M284" s="8"/>
      <c r="N284" s="8"/>
      <c r="O284" s="8"/>
      <c r="P284" s="8"/>
      <c r="Q284" s="8"/>
      <c r="R284" s="8"/>
      <c r="S284" s="8"/>
      <c r="T284" s="8"/>
      <c r="U284" s="8"/>
      <c r="V284" s="8"/>
      <c r="W284" s="8"/>
      <c r="X284" s="8"/>
      <c r="Y284" s="8"/>
      <c r="Z284" s="8"/>
    </row>
    <row r="285">
      <c r="A285" s="8"/>
      <c r="B285" s="8"/>
      <c r="C285" s="8"/>
      <c r="D285" s="8"/>
      <c r="E285" s="8"/>
      <c r="F285" s="8"/>
      <c r="G285" s="8"/>
      <c r="H285" s="8"/>
      <c r="I285" s="8"/>
      <c r="J285" s="8"/>
      <c r="K285" s="8"/>
      <c r="L285" s="8"/>
      <c r="M285" s="8"/>
      <c r="N285" s="8"/>
      <c r="O285" s="8"/>
      <c r="P285" s="8"/>
      <c r="Q285" s="8"/>
      <c r="R285" s="8"/>
      <c r="S285" s="8"/>
      <c r="T285" s="8"/>
      <c r="U285" s="8"/>
      <c r="V285" s="8"/>
      <c r="W285" s="8"/>
      <c r="X285" s="8"/>
      <c r="Y285" s="8"/>
      <c r="Z285" s="8"/>
    </row>
    <row r="286">
      <c r="A286" s="8"/>
      <c r="B286" s="8"/>
      <c r="C286" s="8"/>
      <c r="D286" s="8"/>
      <c r="E286" s="8"/>
      <c r="F286" s="8"/>
      <c r="G286" s="8"/>
      <c r="H286" s="8"/>
      <c r="I286" s="8"/>
      <c r="J286" s="8"/>
      <c r="K286" s="8"/>
      <c r="L286" s="8"/>
      <c r="M286" s="8"/>
      <c r="N286" s="8"/>
      <c r="O286" s="8"/>
      <c r="P286" s="8"/>
      <c r="Q286" s="8"/>
      <c r="R286" s="8"/>
      <c r="S286" s="8"/>
      <c r="T286" s="8"/>
      <c r="U286" s="8"/>
      <c r="V286" s="8"/>
      <c r="W286" s="8"/>
      <c r="X286" s="8"/>
      <c r="Y286" s="8"/>
      <c r="Z286" s="8"/>
    </row>
    <row r="287">
      <c r="A287" s="8"/>
      <c r="B287" s="8"/>
      <c r="C287" s="8"/>
      <c r="D287" s="8"/>
      <c r="E287" s="8"/>
      <c r="F287" s="8"/>
      <c r="G287" s="8"/>
      <c r="H287" s="8"/>
      <c r="I287" s="8"/>
      <c r="J287" s="8"/>
      <c r="K287" s="8"/>
      <c r="L287" s="8"/>
      <c r="M287" s="8"/>
      <c r="N287" s="8"/>
      <c r="O287" s="8"/>
      <c r="P287" s="8"/>
      <c r="Q287" s="8"/>
      <c r="R287" s="8"/>
      <c r="S287" s="8"/>
      <c r="T287" s="8"/>
      <c r="U287" s="8"/>
      <c r="V287" s="8"/>
      <c r="W287" s="8"/>
      <c r="X287" s="8"/>
      <c r="Y287" s="8"/>
      <c r="Z287" s="8"/>
    </row>
    <row r="288">
      <c r="A288" s="8"/>
      <c r="B288" s="8"/>
      <c r="C288" s="8"/>
      <c r="D288" s="8"/>
      <c r="E288" s="8"/>
      <c r="F288" s="8"/>
      <c r="G288" s="8"/>
      <c r="H288" s="8"/>
      <c r="I288" s="8"/>
      <c r="J288" s="8"/>
      <c r="K288" s="8"/>
      <c r="L288" s="8"/>
      <c r="M288" s="8"/>
      <c r="N288" s="8"/>
      <c r="O288" s="8"/>
      <c r="P288" s="8"/>
      <c r="Q288" s="8"/>
      <c r="R288" s="8"/>
      <c r="S288" s="8"/>
      <c r="T288" s="8"/>
      <c r="U288" s="8"/>
      <c r="V288" s="8"/>
      <c r="W288" s="8"/>
      <c r="X288" s="8"/>
      <c r="Y288" s="8"/>
      <c r="Z288" s="8"/>
    </row>
    <row r="289">
      <c r="A289" s="8"/>
      <c r="B289" s="8"/>
      <c r="C289" s="8"/>
      <c r="D289" s="8"/>
      <c r="E289" s="8"/>
      <c r="F289" s="8"/>
      <c r="G289" s="8"/>
      <c r="H289" s="8"/>
      <c r="I289" s="8"/>
      <c r="J289" s="8"/>
      <c r="K289" s="8"/>
      <c r="L289" s="8"/>
      <c r="M289" s="8"/>
      <c r="N289" s="8"/>
      <c r="O289" s="8"/>
      <c r="P289" s="8"/>
      <c r="Q289" s="8"/>
      <c r="R289" s="8"/>
      <c r="S289" s="8"/>
      <c r="T289" s="8"/>
      <c r="U289" s="8"/>
      <c r="V289" s="8"/>
      <c r="W289" s="8"/>
      <c r="X289" s="8"/>
      <c r="Y289" s="8"/>
      <c r="Z289" s="8"/>
    </row>
    <row r="290">
      <c r="A290" s="8"/>
      <c r="B290" s="8"/>
      <c r="C290" s="8"/>
      <c r="D290" s="8"/>
      <c r="E290" s="8"/>
      <c r="F290" s="8"/>
      <c r="G290" s="8"/>
      <c r="H290" s="8"/>
      <c r="I290" s="8"/>
      <c r="J290" s="8"/>
      <c r="K290" s="8"/>
      <c r="L290" s="8"/>
      <c r="M290" s="8"/>
      <c r="N290" s="8"/>
      <c r="O290" s="8"/>
      <c r="P290" s="8"/>
      <c r="Q290" s="8"/>
      <c r="R290" s="8"/>
      <c r="S290" s="8"/>
      <c r="T290" s="8"/>
      <c r="U290" s="8"/>
      <c r="V290" s="8"/>
      <c r="W290" s="8"/>
      <c r="X290" s="8"/>
      <c r="Y290" s="8"/>
      <c r="Z290" s="8"/>
    </row>
    <row r="291">
      <c r="A291" s="8"/>
      <c r="B291" s="8"/>
      <c r="C291" s="8"/>
      <c r="D291" s="8"/>
      <c r="E291" s="8"/>
      <c r="F291" s="8"/>
      <c r="G291" s="8"/>
      <c r="H291" s="8"/>
      <c r="I291" s="8"/>
      <c r="J291" s="8"/>
      <c r="K291" s="8"/>
      <c r="L291" s="8"/>
      <c r="M291" s="8"/>
      <c r="N291" s="8"/>
      <c r="O291" s="8"/>
      <c r="P291" s="8"/>
      <c r="Q291" s="8"/>
      <c r="R291" s="8"/>
      <c r="S291" s="8"/>
      <c r="T291" s="8"/>
      <c r="U291" s="8"/>
      <c r="V291" s="8"/>
      <c r="W291" s="8"/>
      <c r="X291" s="8"/>
      <c r="Y291" s="8"/>
      <c r="Z291" s="8"/>
    </row>
    <row r="292">
      <c r="A292" s="8"/>
      <c r="B292" s="8"/>
      <c r="C292" s="8"/>
      <c r="D292" s="8"/>
      <c r="E292" s="8"/>
      <c r="F292" s="8"/>
      <c r="G292" s="8"/>
      <c r="H292" s="8"/>
      <c r="I292" s="8"/>
      <c r="J292" s="8"/>
      <c r="K292" s="8"/>
      <c r="L292" s="8"/>
      <c r="M292" s="8"/>
      <c r="N292" s="8"/>
      <c r="O292" s="8"/>
      <c r="P292" s="8"/>
      <c r="Q292" s="8"/>
      <c r="R292" s="8"/>
      <c r="S292" s="8"/>
      <c r="T292" s="8"/>
      <c r="U292" s="8"/>
      <c r="V292" s="8"/>
      <c r="W292" s="8"/>
      <c r="X292" s="8"/>
      <c r="Y292" s="8"/>
      <c r="Z292" s="8"/>
    </row>
    <row r="293">
      <c r="A293" s="8"/>
      <c r="B293" s="8"/>
      <c r="C293" s="8"/>
      <c r="D293" s="8"/>
      <c r="E293" s="8"/>
      <c r="F293" s="8"/>
      <c r="G293" s="8"/>
      <c r="H293" s="8"/>
      <c r="I293" s="8"/>
      <c r="J293" s="8"/>
      <c r="K293" s="8"/>
      <c r="L293" s="8"/>
      <c r="M293" s="8"/>
      <c r="N293" s="8"/>
      <c r="O293" s="8"/>
      <c r="P293" s="8"/>
      <c r="Q293" s="8"/>
      <c r="R293" s="8"/>
      <c r="S293" s="8"/>
      <c r="T293" s="8"/>
      <c r="U293" s="8"/>
      <c r="V293" s="8"/>
      <c r="W293" s="8"/>
      <c r="X293" s="8"/>
      <c r="Y293" s="8"/>
      <c r="Z293" s="8"/>
    </row>
    <row r="294">
      <c r="A294" s="8"/>
      <c r="B294" s="8"/>
      <c r="C294" s="8"/>
      <c r="D294" s="8"/>
      <c r="E294" s="8"/>
      <c r="F294" s="8"/>
      <c r="G294" s="8"/>
      <c r="H294" s="8"/>
      <c r="I294" s="8"/>
      <c r="J294" s="8"/>
      <c r="K294" s="8"/>
      <c r="L294" s="8"/>
      <c r="M294" s="8"/>
      <c r="N294" s="8"/>
      <c r="O294" s="8"/>
      <c r="P294" s="8"/>
      <c r="Q294" s="8"/>
      <c r="R294" s="8"/>
      <c r="S294" s="8"/>
      <c r="T294" s="8"/>
      <c r="U294" s="8"/>
      <c r="V294" s="8"/>
      <c r="W294" s="8"/>
      <c r="X294" s="8"/>
      <c r="Y294" s="8"/>
      <c r="Z294" s="8"/>
    </row>
    <row r="295">
      <c r="A295" s="8"/>
      <c r="B295" s="8"/>
      <c r="C295" s="8"/>
      <c r="D295" s="8"/>
      <c r="E295" s="8"/>
      <c r="F295" s="8"/>
      <c r="G295" s="8"/>
      <c r="H295" s="8"/>
      <c r="I295" s="8"/>
      <c r="J295" s="8"/>
      <c r="K295" s="8"/>
      <c r="L295" s="8"/>
      <c r="M295" s="8"/>
      <c r="N295" s="8"/>
      <c r="O295" s="8"/>
      <c r="P295" s="8"/>
      <c r="Q295" s="8"/>
      <c r="R295" s="8"/>
      <c r="S295" s="8"/>
      <c r="T295" s="8"/>
      <c r="U295" s="8"/>
      <c r="V295" s="8"/>
      <c r="W295" s="8"/>
      <c r="X295" s="8"/>
      <c r="Y295" s="8"/>
      <c r="Z295" s="8"/>
    </row>
    <row r="296">
      <c r="A296" s="8"/>
      <c r="B296" s="8"/>
      <c r="C296" s="8"/>
      <c r="D296" s="8"/>
      <c r="E296" s="8"/>
      <c r="F296" s="8"/>
      <c r="G296" s="8"/>
      <c r="H296" s="8"/>
      <c r="I296" s="8"/>
      <c r="J296" s="8"/>
      <c r="K296" s="8"/>
      <c r="L296" s="8"/>
      <c r="M296" s="8"/>
      <c r="N296" s="8"/>
      <c r="O296" s="8"/>
      <c r="P296" s="8"/>
      <c r="Q296" s="8"/>
      <c r="R296" s="8"/>
      <c r="S296" s="8"/>
      <c r="T296" s="8"/>
      <c r="U296" s="8"/>
      <c r="V296" s="8"/>
      <c r="W296" s="8"/>
      <c r="X296" s="8"/>
      <c r="Y296" s="8"/>
      <c r="Z296" s="8"/>
    </row>
    <row r="297">
      <c r="A297" s="8"/>
      <c r="B297" s="8"/>
      <c r="C297" s="8"/>
      <c r="D297" s="8"/>
      <c r="E297" s="8"/>
      <c r="F297" s="8"/>
      <c r="G297" s="8"/>
      <c r="H297" s="8"/>
      <c r="I297" s="8"/>
      <c r="J297" s="8"/>
      <c r="K297" s="8"/>
      <c r="L297" s="8"/>
      <c r="M297" s="8"/>
      <c r="N297" s="8"/>
      <c r="O297" s="8"/>
      <c r="P297" s="8"/>
      <c r="Q297" s="8"/>
      <c r="R297" s="8"/>
      <c r="S297" s="8"/>
      <c r="T297" s="8"/>
      <c r="U297" s="8"/>
      <c r="V297" s="8"/>
      <c r="W297" s="8"/>
      <c r="X297" s="8"/>
      <c r="Y297" s="8"/>
      <c r="Z297" s="8"/>
    </row>
    <row r="298">
      <c r="A298" s="8"/>
      <c r="B298" s="8"/>
      <c r="C298" s="8"/>
      <c r="D298" s="8"/>
      <c r="E298" s="8"/>
      <c r="F298" s="8"/>
      <c r="G298" s="8"/>
      <c r="H298" s="8"/>
      <c r="I298" s="8"/>
      <c r="J298" s="8"/>
      <c r="K298" s="8"/>
      <c r="L298" s="8"/>
      <c r="M298" s="8"/>
      <c r="N298" s="8"/>
      <c r="O298" s="8"/>
      <c r="P298" s="8"/>
      <c r="Q298" s="8"/>
      <c r="R298" s="8"/>
      <c r="S298" s="8"/>
      <c r="T298" s="8"/>
      <c r="U298" s="8"/>
      <c r="V298" s="8"/>
      <c r="W298" s="8"/>
      <c r="X298" s="8"/>
      <c r="Y298" s="8"/>
      <c r="Z298" s="8"/>
    </row>
    <row r="299">
      <c r="A299" s="8"/>
      <c r="B299" s="8"/>
      <c r="C299" s="8"/>
      <c r="D299" s="8"/>
      <c r="E299" s="8"/>
      <c r="F299" s="8"/>
      <c r="G299" s="8"/>
      <c r="H299" s="8"/>
      <c r="I299" s="8"/>
      <c r="J299" s="8"/>
      <c r="K299" s="8"/>
      <c r="L299" s="8"/>
      <c r="M299" s="8"/>
      <c r="N299" s="8"/>
      <c r="O299" s="8"/>
      <c r="P299" s="8"/>
      <c r="Q299" s="8"/>
      <c r="R299" s="8"/>
      <c r="S299" s="8"/>
      <c r="T299" s="8"/>
      <c r="U299" s="8"/>
      <c r="V299" s="8"/>
      <c r="W299" s="8"/>
      <c r="X299" s="8"/>
      <c r="Y299" s="8"/>
      <c r="Z299" s="8"/>
    </row>
    <row r="300">
      <c r="A300" s="8"/>
      <c r="B300" s="8"/>
      <c r="C300" s="8"/>
      <c r="D300" s="8"/>
      <c r="E300" s="8"/>
      <c r="F300" s="8"/>
      <c r="G300" s="8"/>
      <c r="H300" s="8"/>
      <c r="I300" s="8"/>
      <c r="J300" s="8"/>
      <c r="K300" s="8"/>
      <c r="L300" s="8"/>
      <c r="M300" s="8"/>
      <c r="N300" s="8"/>
      <c r="O300" s="8"/>
      <c r="P300" s="8"/>
      <c r="Q300" s="8"/>
      <c r="R300" s="8"/>
      <c r="S300" s="8"/>
      <c r="T300" s="8"/>
      <c r="U300" s="8"/>
      <c r="V300" s="8"/>
      <c r="W300" s="8"/>
      <c r="X300" s="8"/>
      <c r="Y300" s="8"/>
      <c r="Z300" s="8"/>
    </row>
    <row r="301">
      <c r="A301" s="8"/>
      <c r="B301" s="8"/>
      <c r="C301" s="8"/>
      <c r="D301" s="8"/>
      <c r="E301" s="8"/>
      <c r="F301" s="8"/>
      <c r="G301" s="8"/>
      <c r="H301" s="8"/>
      <c r="I301" s="8"/>
      <c r="J301" s="8"/>
      <c r="K301" s="8"/>
      <c r="L301" s="8"/>
      <c r="M301" s="8"/>
      <c r="N301" s="8"/>
      <c r="O301" s="8"/>
      <c r="P301" s="8"/>
      <c r="Q301" s="8"/>
      <c r="R301" s="8"/>
      <c r="S301" s="8"/>
      <c r="T301" s="8"/>
      <c r="U301" s="8"/>
      <c r="V301" s="8"/>
      <c r="W301" s="8"/>
      <c r="X301" s="8"/>
      <c r="Y301" s="8"/>
      <c r="Z301" s="8"/>
    </row>
    <row r="302">
      <c r="A302" s="8"/>
      <c r="B302" s="8"/>
      <c r="C302" s="8"/>
      <c r="D302" s="8"/>
      <c r="E302" s="8"/>
      <c r="F302" s="8"/>
      <c r="G302" s="8"/>
      <c r="H302" s="8"/>
      <c r="I302" s="8"/>
      <c r="J302" s="8"/>
      <c r="K302" s="8"/>
      <c r="L302" s="8"/>
      <c r="M302" s="8"/>
      <c r="N302" s="8"/>
      <c r="O302" s="8"/>
      <c r="P302" s="8"/>
      <c r="Q302" s="8"/>
      <c r="R302" s="8"/>
      <c r="S302" s="8"/>
      <c r="T302" s="8"/>
      <c r="U302" s="8"/>
      <c r="V302" s="8"/>
      <c r="W302" s="8"/>
      <c r="X302" s="8"/>
      <c r="Y302" s="8"/>
      <c r="Z302" s="8"/>
    </row>
    <row r="303">
      <c r="A303" s="8"/>
      <c r="B303" s="8"/>
      <c r="C303" s="8"/>
      <c r="D303" s="8"/>
      <c r="E303" s="8"/>
      <c r="F303" s="8"/>
      <c r="G303" s="8"/>
      <c r="H303" s="8"/>
      <c r="I303" s="8"/>
      <c r="J303" s="8"/>
      <c r="K303" s="8"/>
      <c r="L303" s="8"/>
      <c r="M303" s="8"/>
      <c r="N303" s="8"/>
      <c r="O303" s="8"/>
      <c r="P303" s="8"/>
      <c r="Q303" s="8"/>
      <c r="R303" s="8"/>
      <c r="S303" s="8"/>
      <c r="T303" s="8"/>
      <c r="U303" s="8"/>
      <c r="V303" s="8"/>
      <c r="W303" s="8"/>
      <c r="X303" s="8"/>
      <c r="Y303" s="8"/>
      <c r="Z303" s="8"/>
    </row>
    <row r="304">
      <c r="A304" s="8"/>
      <c r="B304" s="8"/>
      <c r="C304" s="8"/>
      <c r="D304" s="8"/>
      <c r="E304" s="8"/>
      <c r="F304" s="8"/>
      <c r="G304" s="8"/>
      <c r="H304" s="8"/>
      <c r="I304" s="8"/>
      <c r="J304" s="8"/>
      <c r="K304" s="8"/>
      <c r="L304" s="8"/>
      <c r="M304" s="8"/>
      <c r="N304" s="8"/>
      <c r="O304" s="8"/>
      <c r="P304" s="8"/>
      <c r="Q304" s="8"/>
      <c r="R304" s="8"/>
      <c r="S304" s="8"/>
      <c r="T304" s="8"/>
      <c r="U304" s="8"/>
      <c r="V304" s="8"/>
      <c r="W304" s="8"/>
      <c r="X304" s="8"/>
      <c r="Y304" s="8"/>
      <c r="Z304" s="8"/>
    </row>
    <row r="305">
      <c r="A305" s="8"/>
      <c r="B305" s="8"/>
      <c r="C305" s="8"/>
      <c r="D305" s="8"/>
      <c r="E305" s="8"/>
      <c r="F305" s="8"/>
      <c r="G305" s="8"/>
      <c r="H305" s="8"/>
      <c r="I305" s="8"/>
      <c r="J305" s="8"/>
      <c r="K305" s="8"/>
      <c r="L305" s="8"/>
      <c r="M305" s="8"/>
      <c r="N305" s="8"/>
      <c r="O305" s="8"/>
      <c r="P305" s="8"/>
      <c r="Q305" s="8"/>
      <c r="R305" s="8"/>
      <c r="S305" s="8"/>
      <c r="T305" s="8"/>
      <c r="U305" s="8"/>
      <c r="V305" s="8"/>
      <c r="W305" s="8"/>
      <c r="X305" s="8"/>
      <c r="Y305" s="8"/>
      <c r="Z305" s="8"/>
    </row>
    <row r="306">
      <c r="A306" s="8"/>
      <c r="B306" s="8"/>
      <c r="C306" s="8"/>
      <c r="D306" s="8"/>
      <c r="E306" s="8"/>
      <c r="F306" s="8"/>
      <c r="G306" s="8"/>
      <c r="H306" s="8"/>
      <c r="I306" s="8"/>
      <c r="J306" s="8"/>
      <c r="K306" s="8"/>
      <c r="L306" s="8"/>
      <c r="M306" s="8"/>
      <c r="N306" s="8"/>
      <c r="O306" s="8"/>
      <c r="P306" s="8"/>
      <c r="Q306" s="8"/>
      <c r="R306" s="8"/>
      <c r="S306" s="8"/>
      <c r="T306" s="8"/>
      <c r="U306" s="8"/>
      <c r="V306" s="8"/>
      <c r="W306" s="8"/>
      <c r="X306" s="8"/>
      <c r="Y306" s="8"/>
      <c r="Z306" s="8"/>
    </row>
    <row r="307">
      <c r="A307" s="8"/>
      <c r="B307" s="8"/>
      <c r="C307" s="8"/>
      <c r="D307" s="8"/>
      <c r="E307" s="8"/>
      <c r="F307" s="8"/>
      <c r="G307" s="8"/>
      <c r="H307" s="8"/>
      <c r="I307" s="8"/>
      <c r="J307" s="8"/>
      <c r="K307" s="8"/>
      <c r="L307" s="8"/>
      <c r="M307" s="8"/>
      <c r="N307" s="8"/>
      <c r="O307" s="8"/>
      <c r="P307" s="8"/>
      <c r="Q307" s="8"/>
      <c r="R307" s="8"/>
      <c r="S307" s="8"/>
      <c r="T307" s="8"/>
      <c r="U307" s="8"/>
      <c r="V307" s="8"/>
      <c r="W307" s="8"/>
      <c r="X307" s="8"/>
      <c r="Y307" s="8"/>
      <c r="Z307" s="8"/>
    </row>
    <row r="308">
      <c r="A308" s="8"/>
      <c r="B308" s="8"/>
      <c r="C308" s="8"/>
      <c r="D308" s="8"/>
      <c r="E308" s="8"/>
      <c r="F308" s="8"/>
      <c r="G308" s="8"/>
      <c r="H308" s="8"/>
      <c r="I308" s="8"/>
      <c r="J308" s="8"/>
      <c r="K308" s="8"/>
      <c r="L308" s="8"/>
      <c r="M308" s="8"/>
      <c r="N308" s="8"/>
      <c r="O308" s="8"/>
      <c r="P308" s="8"/>
      <c r="Q308" s="8"/>
      <c r="R308" s="8"/>
      <c r="S308" s="8"/>
      <c r="T308" s="8"/>
      <c r="U308" s="8"/>
      <c r="V308" s="8"/>
      <c r="W308" s="8"/>
      <c r="X308" s="8"/>
      <c r="Y308" s="8"/>
      <c r="Z308" s="8"/>
    </row>
    <row r="309">
      <c r="A309" s="8"/>
      <c r="B309" s="8"/>
      <c r="C309" s="8"/>
      <c r="D309" s="8"/>
      <c r="E309" s="8"/>
      <c r="F309" s="8"/>
      <c r="G309" s="8"/>
      <c r="H309" s="8"/>
      <c r="I309" s="8"/>
      <c r="J309" s="8"/>
      <c r="K309" s="8"/>
      <c r="L309" s="8"/>
      <c r="M309" s="8"/>
      <c r="N309" s="8"/>
      <c r="O309" s="8"/>
      <c r="P309" s="8"/>
      <c r="Q309" s="8"/>
      <c r="R309" s="8"/>
      <c r="S309" s="8"/>
      <c r="T309" s="8"/>
      <c r="U309" s="8"/>
      <c r="V309" s="8"/>
      <c r="W309" s="8"/>
      <c r="X309" s="8"/>
      <c r="Y309" s="8"/>
      <c r="Z309" s="8"/>
    </row>
    <row r="310">
      <c r="A310" s="8"/>
      <c r="B310" s="8"/>
      <c r="C310" s="8"/>
      <c r="D310" s="8"/>
      <c r="E310" s="8"/>
      <c r="F310" s="8"/>
      <c r="G310" s="8"/>
      <c r="H310" s="8"/>
      <c r="I310" s="8"/>
      <c r="J310" s="8"/>
      <c r="K310" s="8"/>
      <c r="L310" s="8"/>
      <c r="M310" s="8"/>
      <c r="N310" s="8"/>
      <c r="O310" s="8"/>
      <c r="P310" s="8"/>
      <c r="Q310" s="8"/>
      <c r="R310" s="8"/>
      <c r="S310" s="8"/>
      <c r="T310" s="8"/>
      <c r="U310" s="8"/>
      <c r="V310" s="8"/>
      <c r="W310" s="8"/>
      <c r="X310" s="8"/>
      <c r="Y310" s="8"/>
      <c r="Z310" s="8"/>
    </row>
    <row r="311">
      <c r="A311" s="8"/>
      <c r="B311" s="8"/>
      <c r="C311" s="8"/>
      <c r="D311" s="8"/>
      <c r="E311" s="8"/>
      <c r="F311" s="8"/>
      <c r="G311" s="8"/>
      <c r="H311" s="8"/>
      <c r="I311" s="8"/>
      <c r="J311" s="8"/>
      <c r="K311" s="8"/>
      <c r="L311" s="8"/>
      <c r="M311" s="8"/>
      <c r="N311" s="8"/>
      <c r="O311" s="8"/>
      <c r="P311" s="8"/>
      <c r="Q311" s="8"/>
      <c r="R311" s="8"/>
      <c r="S311" s="8"/>
      <c r="T311" s="8"/>
      <c r="U311" s="8"/>
      <c r="V311" s="8"/>
      <c r="W311" s="8"/>
      <c r="X311" s="8"/>
      <c r="Y311" s="8"/>
      <c r="Z311" s="8"/>
    </row>
    <row r="312">
      <c r="A312" s="8"/>
      <c r="B312" s="8"/>
      <c r="C312" s="8"/>
      <c r="D312" s="8"/>
      <c r="E312" s="8"/>
      <c r="F312" s="8"/>
      <c r="G312" s="8"/>
      <c r="H312" s="8"/>
      <c r="I312" s="8"/>
      <c r="J312" s="8"/>
      <c r="K312" s="8"/>
      <c r="L312" s="8"/>
      <c r="M312" s="8"/>
      <c r="N312" s="8"/>
      <c r="O312" s="8"/>
      <c r="P312" s="8"/>
      <c r="Q312" s="8"/>
      <c r="R312" s="8"/>
      <c r="S312" s="8"/>
      <c r="T312" s="8"/>
      <c r="U312" s="8"/>
      <c r="V312" s="8"/>
      <c r="W312" s="8"/>
      <c r="X312" s="8"/>
      <c r="Y312" s="8"/>
      <c r="Z312" s="8"/>
    </row>
    <row r="313">
      <c r="A313" s="8"/>
      <c r="B313" s="8"/>
      <c r="C313" s="8"/>
      <c r="D313" s="8"/>
      <c r="E313" s="8"/>
      <c r="F313" s="8"/>
      <c r="G313" s="8"/>
      <c r="H313" s="8"/>
      <c r="I313" s="8"/>
      <c r="J313" s="8"/>
      <c r="K313" s="8"/>
      <c r="L313" s="8"/>
      <c r="M313" s="8"/>
      <c r="N313" s="8"/>
      <c r="O313" s="8"/>
      <c r="P313" s="8"/>
      <c r="Q313" s="8"/>
      <c r="R313" s="8"/>
      <c r="S313" s="8"/>
      <c r="T313" s="8"/>
      <c r="U313" s="8"/>
      <c r="V313" s="8"/>
      <c r="W313" s="8"/>
      <c r="X313" s="8"/>
      <c r="Y313" s="8"/>
      <c r="Z313" s="8"/>
    </row>
    <row r="314">
      <c r="A314" s="8"/>
      <c r="B314" s="8"/>
      <c r="C314" s="8"/>
      <c r="D314" s="8"/>
      <c r="E314" s="8"/>
      <c r="F314" s="8"/>
      <c r="G314" s="8"/>
      <c r="H314" s="8"/>
      <c r="I314" s="8"/>
      <c r="J314" s="8"/>
      <c r="K314" s="8"/>
      <c r="L314" s="8"/>
      <c r="M314" s="8"/>
      <c r="N314" s="8"/>
      <c r="O314" s="8"/>
      <c r="P314" s="8"/>
      <c r="Q314" s="8"/>
      <c r="R314" s="8"/>
      <c r="S314" s="8"/>
      <c r="T314" s="8"/>
      <c r="U314" s="8"/>
      <c r="V314" s="8"/>
      <c r="W314" s="8"/>
      <c r="X314" s="8"/>
      <c r="Y314" s="8"/>
      <c r="Z314" s="8"/>
    </row>
    <row r="315">
      <c r="A315" s="8"/>
      <c r="B315" s="8"/>
      <c r="C315" s="8"/>
      <c r="D315" s="8"/>
      <c r="E315" s="8"/>
      <c r="F315" s="8"/>
      <c r="G315" s="8"/>
      <c r="H315" s="8"/>
      <c r="I315" s="8"/>
      <c r="J315" s="8"/>
      <c r="K315" s="8"/>
      <c r="L315" s="8"/>
      <c r="M315" s="8"/>
      <c r="N315" s="8"/>
      <c r="O315" s="8"/>
      <c r="P315" s="8"/>
      <c r="Q315" s="8"/>
      <c r="R315" s="8"/>
      <c r="S315" s="8"/>
      <c r="T315" s="8"/>
      <c r="U315" s="8"/>
      <c r="V315" s="8"/>
      <c r="W315" s="8"/>
      <c r="X315" s="8"/>
      <c r="Y315" s="8"/>
      <c r="Z315" s="8"/>
    </row>
    <row r="316">
      <c r="A316" s="8"/>
      <c r="B316" s="8"/>
      <c r="C316" s="8"/>
      <c r="D316" s="8"/>
      <c r="E316" s="8"/>
      <c r="F316" s="8"/>
      <c r="G316" s="8"/>
      <c r="H316" s="8"/>
      <c r="I316" s="8"/>
      <c r="J316" s="8"/>
      <c r="K316" s="8"/>
      <c r="L316" s="8"/>
      <c r="M316" s="8"/>
      <c r="N316" s="8"/>
      <c r="O316" s="8"/>
      <c r="P316" s="8"/>
      <c r="Q316" s="8"/>
      <c r="R316" s="8"/>
      <c r="S316" s="8"/>
      <c r="T316" s="8"/>
      <c r="U316" s="8"/>
      <c r="V316" s="8"/>
      <c r="W316" s="8"/>
      <c r="X316" s="8"/>
      <c r="Y316" s="8"/>
      <c r="Z316" s="8"/>
    </row>
    <row r="317">
      <c r="A317" s="8"/>
      <c r="B317" s="8"/>
      <c r="C317" s="8"/>
      <c r="D317" s="8"/>
      <c r="E317" s="8"/>
      <c r="F317" s="8"/>
      <c r="G317" s="8"/>
      <c r="H317" s="8"/>
      <c r="I317" s="8"/>
      <c r="J317" s="8"/>
      <c r="K317" s="8"/>
      <c r="L317" s="8"/>
      <c r="M317" s="8"/>
      <c r="N317" s="8"/>
      <c r="O317" s="8"/>
      <c r="P317" s="8"/>
      <c r="Q317" s="8"/>
      <c r="R317" s="8"/>
      <c r="S317" s="8"/>
      <c r="T317" s="8"/>
      <c r="U317" s="8"/>
      <c r="V317" s="8"/>
      <c r="W317" s="8"/>
      <c r="X317" s="8"/>
      <c r="Y317" s="8"/>
      <c r="Z317" s="8"/>
    </row>
    <row r="318">
      <c r="A318" s="8"/>
      <c r="B318" s="8"/>
      <c r="C318" s="8"/>
      <c r="D318" s="8"/>
      <c r="E318" s="8"/>
      <c r="F318" s="8"/>
      <c r="G318" s="8"/>
      <c r="H318" s="8"/>
      <c r="I318" s="8"/>
      <c r="J318" s="8"/>
      <c r="K318" s="8"/>
      <c r="L318" s="8"/>
      <c r="M318" s="8"/>
      <c r="N318" s="8"/>
      <c r="O318" s="8"/>
      <c r="P318" s="8"/>
      <c r="Q318" s="8"/>
      <c r="R318" s="8"/>
      <c r="S318" s="8"/>
      <c r="T318" s="8"/>
      <c r="U318" s="8"/>
      <c r="V318" s="8"/>
      <c r="W318" s="8"/>
      <c r="X318" s="8"/>
      <c r="Y318" s="8"/>
      <c r="Z318" s="8"/>
    </row>
    <row r="319">
      <c r="A319" s="8"/>
      <c r="B319" s="8"/>
      <c r="C319" s="8"/>
      <c r="D319" s="8"/>
      <c r="E319" s="8"/>
      <c r="F319" s="8"/>
      <c r="G319" s="8"/>
      <c r="H319" s="8"/>
      <c r="I319" s="8"/>
      <c r="J319" s="8"/>
      <c r="K319" s="8"/>
      <c r="L319" s="8"/>
      <c r="M319" s="8"/>
      <c r="N319" s="8"/>
      <c r="O319" s="8"/>
      <c r="P319" s="8"/>
      <c r="Q319" s="8"/>
      <c r="R319" s="8"/>
      <c r="S319" s="8"/>
      <c r="T319" s="8"/>
      <c r="U319" s="8"/>
      <c r="V319" s="8"/>
      <c r="W319" s="8"/>
      <c r="X319" s="8"/>
      <c r="Y319" s="8"/>
      <c r="Z319" s="8"/>
    </row>
    <row r="320">
      <c r="A320" s="8"/>
      <c r="B320" s="8"/>
      <c r="C320" s="8"/>
      <c r="D320" s="8"/>
      <c r="E320" s="8"/>
      <c r="F320" s="8"/>
      <c r="G320" s="8"/>
      <c r="H320" s="8"/>
      <c r="I320" s="8"/>
      <c r="J320" s="8"/>
      <c r="K320" s="8"/>
      <c r="L320" s="8"/>
      <c r="M320" s="8"/>
      <c r="N320" s="8"/>
      <c r="O320" s="8"/>
      <c r="P320" s="8"/>
      <c r="Q320" s="8"/>
      <c r="R320" s="8"/>
      <c r="S320" s="8"/>
      <c r="T320" s="8"/>
      <c r="U320" s="8"/>
      <c r="V320" s="8"/>
      <c r="W320" s="8"/>
      <c r="X320" s="8"/>
      <c r="Y320" s="8"/>
      <c r="Z320" s="8"/>
    </row>
    <row r="321">
      <c r="A321" s="8"/>
      <c r="B321" s="8"/>
      <c r="C321" s="8"/>
      <c r="D321" s="8"/>
      <c r="E321" s="8"/>
      <c r="F321" s="8"/>
      <c r="G321" s="8"/>
      <c r="H321" s="8"/>
      <c r="I321" s="8"/>
      <c r="J321" s="8"/>
      <c r="K321" s="8"/>
      <c r="L321" s="8"/>
      <c r="M321" s="8"/>
      <c r="N321" s="8"/>
      <c r="O321" s="8"/>
      <c r="P321" s="8"/>
      <c r="Q321" s="8"/>
      <c r="R321" s="8"/>
      <c r="S321" s="8"/>
      <c r="T321" s="8"/>
      <c r="U321" s="8"/>
      <c r="V321" s="8"/>
      <c r="W321" s="8"/>
      <c r="X321" s="8"/>
      <c r="Y321" s="8"/>
      <c r="Z321" s="8"/>
    </row>
    <row r="322">
      <c r="A322" s="8"/>
      <c r="B322" s="8"/>
      <c r="C322" s="8"/>
      <c r="D322" s="8"/>
      <c r="E322" s="8"/>
      <c r="F322" s="8"/>
      <c r="G322" s="8"/>
      <c r="H322" s="8"/>
      <c r="I322" s="8"/>
      <c r="J322" s="8"/>
      <c r="K322" s="8"/>
      <c r="L322" s="8"/>
      <c r="M322" s="8"/>
      <c r="N322" s="8"/>
      <c r="O322" s="8"/>
      <c r="P322" s="8"/>
      <c r="Q322" s="8"/>
      <c r="R322" s="8"/>
      <c r="S322" s="8"/>
      <c r="T322" s="8"/>
      <c r="U322" s="8"/>
      <c r="V322" s="8"/>
      <c r="W322" s="8"/>
      <c r="X322" s="8"/>
      <c r="Y322" s="8"/>
      <c r="Z322" s="8"/>
    </row>
    <row r="323">
      <c r="A323" s="8"/>
      <c r="B323" s="8"/>
      <c r="C323" s="8"/>
      <c r="D323" s="8"/>
      <c r="E323" s="8"/>
      <c r="F323" s="8"/>
      <c r="G323" s="8"/>
      <c r="H323" s="8"/>
      <c r="I323" s="8"/>
      <c r="J323" s="8"/>
      <c r="K323" s="8"/>
      <c r="L323" s="8"/>
      <c r="M323" s="8"/>
      <c r="N323" s="8"/>
      <c r="O323" s="8"/>
      <c r="P323" s="8"/>
      <c r="Q323" s="8"/>
      <c r="R323" s="8"/>
      <c r="S323" s="8"/>
      <c r="T323" s="8"/>
      <c r="U323" s="8"/>
      <c r="V323" s="8"/>
      <c r="W323" s="8"/>
      <c r="X323" s="8"/>
      <c r="Y323" s="8"/>
      <c r="Z323" s="8"/>
    </row>
    <row r="324">
      <c r="A324" s="8"/>
      <c r="B324" s="8"/>
      <c r="C324" s="8"/>
      <c r="D324" s="8"/>
      <c r="E324" s="8"/>
      <c r="F324" s="8"/>
      <c r="G324" s="8"/>
      <c r="H324" s="8"/>
      <c r="I324" s="8"/>
      <c r="J324" s="8"/>
      <c r="K324" s="8"/>
      <c r="L324" s="8"/>
      <c r="M324" s="8"/>
      <c r="N324" s="8"/>
      <c r="O324" s="8"/>
      <c r="P324" s="8"/>
      <c r="Q324" s="8"/>
      <c r="R324" s="8"/>
      <c r="S324" s="8"/>
      <c r="T324" s="8"/>
      <c r="U324" s="8"/>
      <c r="V324" s="8"/>
      <c r="W324" s="8"/>
      <c r="X324" s="8"/>
      <c r="Y324" s="8"/>
      <c r="Z324" s="8"/>
    </row>
    <row r="325">
      <c r="A325" s="8"/>
      <c r="B325" s="8"/>
      <c r="C325" s="8"/>
      <c r="D325" s="8"/>
      <c r="E325" s="8"/>
      <c r="F325" s="8"/>
      <c r="G325" s="8"/>
      <c r="H325" s="8"/>
      <c r="I325" s="8"/>
      <c r="J325" s="8"/>
      <c r="K325" s="8"/>
      <c r="L325" s="8"/>
      <c r="M325" s="8"/>
      <c r="N325" s="8"/>
      <c r="O325" s="8"/>
      <c r="P325" s="8"/>
      <c r="Q325" s="8"/>
      <c r="R325" s="8"/>
      <c r="S325" s="8"/>
      <c r="T325" s="8"/>
      <c r="U325" s="8"/>
      <c r="V325" s="8"/>
      <c r="W325" s="8"/>
      <c r="X325" s="8"/>
      <c r="Y325" s="8"/>
      <c r="Z325" s="8"/>
    </row>
    <row r="326">
      <c r="A326" s="8"/>
      <c r="B326" s="8"/>
      <c r="C326" s="8"/>
      <c r="D326" s="8"/>
      <c r="E326" s="8"/>
      <c r="F326" s="8"/>
      <c r="G326" s="8"/>
      <c r="H326" s="8"/>
      <c r="I326" s="8"/>
      <c r="J326" s="8"/>
      <c r="K326" s="8"/>
      <c r="L326" s="8"/>
      <c r="M326" s="8"/>
      <c r="N326" s="8"/>
      <c r="O326" s="8"/>
      <c r="P326" s="8"/>
      <c r="Q326" s="8"/>
      <c r="R326" s="8"/>
      <c r="S326" s="8"/>
      <c r="T326" s="8"/>
      <c r="U326" s="8"/>
      <c r="V326" s="8"/>
      <c r="W326" s="8"/>
      <c r="X326" s="8"/>
      <c r="Y326" s="8"/>
      <c r="Z326" s="8"/>
    </row>
    <row r="327">
      <c r="A327" s="8"/>
      <c r="B327" s="8"/>
      <c r="C327" s="8"/>
      <c r="D327" s="8"/>
      <c r="E327" s="8"/>
      <c r="F327" s="8"/>
      <c r="G327" s="8"/>
      <c r="H327" s="8"/>
      <c r="I327" s="8"/>
      <c r="J327" s="8"/>
      <c r="K327" s="8"/>
      <c r="L327" s="8"/>
      <c r="M327" s="8"/>
      <c r="N327" s="8"/>
      <c r="O327" s="8"/>
      <c r="P327" s="8"/>
      <c r="Q327" s="8"/>
      <c r="R327" s="8"/>
      <c r="S327" s="8"/>
      <c r="T327" s="8"/>
      <c r="U327" s="8"/>
      <c r="V327" s="8"/>
      <c r="W327" s="8"/>
      <c r="X327" s="8"/>
      <c r="Y327" s="8"/>
      <c r="Z327" s="8"/>
    </row>
    <row r="328">
      <c r="A328" s="8"/>
      <c r="B328" s="8"/>
      <c r="C328" s="8"/>
      <c r="D328" s="8"/>
      <c r="E328" s="8"/>
      <c r="F328" s="8"/>
      <c r="G328" s="8"/>
      <c r="H328" s="8"/>
      <c r="I328" s="8"/>
      <c r="J328" s="8"/>
      <c r="K328" s="8"/>
      <c r="L328" s="8"/>
      <c r="M328" s="8"/>
      <c r="N328" s="8"/>
      <c r="O328" s="8"/>
      <c r="P328" s="8"/>
      <c r="Q328" s="8"/>
      <c r="R328" s="8"/>
      <c r="S328" s="8"/>
      <c r="T328" s="8"/>
      <c r="U328" s="8"/>
      <c r="V328" s="8"/>
      <c r="W328" s="8"/>
      <c r="X328" s="8"/>
      <c r="Y328" s="8"/>
      <c r="Z328" s="8"/>
    </row>
    <row r="329">
      <c r="A329" s="8"/>
      <c r="B329" s="8"/>
      <c r="C329" s="8"/>
      <c r="D329" s="8"/>
      <c r="E329" s="8"/>
      <c r="F329" s="8"/>
      <c r="G329" s="8"/>
      <c r="H329" s="8"/>
      <c r="I329" s="8"/>
      <c r="J329" s="8"/>
      <c r="K329" s="8"/>
      <c r="L329" s="8"/>
      <c r="M329" s="8"/>
      <c r="N329" s="8"/>
      <c r="O329" s="8"/>
      <c r="P329" s="8"/>
      <c r="Q329" s="8"/>
      <c r="R329" s="8"/>
      <c r="S329" s="8"/>
      <c r="T329" s="8"/>
      <c r="U329" s="8"/>
      <c r="V329" s="8"/>
      <c r="W329" s="8"/>
      <c r="X329" s="8"/>
      <c r="Y329" s="8"/>
      <c r="Z329" s="8"/>
    </row>
    <row r="330">
      <c r="A330" s="8"/>
      <c r="B330" s="8"/>
      <c r="C330" s="8"/>
      <c r="D330" s="8"/>
      <c r="E330" s="8"/>
      <c r="F330" s="8"/>
      <c r="G330" s="8"/>
      <c r="H330" s="8"/>
      <c r="I330" s="8"/>
      <c r="J330" s="8"/>
      <c r="K330" s="8"/>
      <c r="L330" s="8"/>
      <c r="M330" s="8"/>
      <c r="N330" s="8"/>
      <c r="O330" s="8"/>
      <c r="P330" s="8"/>
      <c r="Q330" s="8"/>
      <c r="R330" s="8"/>
      <c r="S330" s="8"/>
      <c r="T330" s="8"/>
      <c r="U330" s="8"/>
      <c r="V330" s="8"/>
      <c r="W330" s="8"/>
      <c r="X330" s="8"/>
      <c r="Y330" s="8"/>
      <c r="Z330" s="8"/>
    </row>
    <row r="331">
      <c r="A331" s="8"/>
      <c r="B331" s="8"/>
      <c r="C331" s="8"/>
      <c r="D331" s="8"/>
      <c r="E331" s="8"/>
      <c r="F331" s="8"/>
      <c r="G331" s="8"/>
      <c r="H331" s="8"/>
      <c r="I331" s="8"/>
      <c r="J331" s="8"/>
      <c r="K331" s="8"/>
      <c r="L331" s="8"/>
      <c r="M331" s="8"/>
      <c r="N331" s="8"/>
      <c r="O331" s="8"/>
      <c r="P331" s="8"/>
      <c r="Q331" s="8"/>
      <c r="R331" s="8"/>
      <c r="S331" s="8"/>
      <c r="T331" s="8"/>
      <c r="U331" s="8"/>
      <c r="V331" s="8"/>
      <c r="W331" s="8"/>
      <c r="X331" s="8"/>
      <c r="Y331" s="8"/>
      <c r="Z331" s="8"/>
    </row>
    <row r="332">
      <c r="A332" s="8"/>
      <c r="B332" s="8"/>
      <c r="C332" s="8"/>
      <c r="D332" s="8"/>
      <c r="E332" s="8"/>
      <c r="F332" s="8"/>
      <c r="G332" s="8"/>
      <c r="H332" s="8"/>
      <c r="I332" s="8"/>
      <c r="J332" s="8"/>
      <c r="K332" s="8"/>
      <c r="L332" s="8"/>
      <c r="M332" s="8"/>
      <c r="N332" s="8"/>
      <c r="O332" s="8"/>
      <c r="P332" s="8"/>
      <c r="Q332" s="8"/>
      <c r="R332" s="8"/>
      <c r="S332" s="8"/>
      <c r="T332" s="8"/>
      <c r="U332" s="8"/>
      <c r="V332" s="8"/>
      <c r="W332" s="8"/>
      <c r="X332" s="8"/>
      <c r="Y332" s="8"/>
      <c r="Z332" s="8"/>
    </row>
    <row r="333">
      <c r="A333" s="8"/>
      <c r="B333" s="8"/>
      <c r="C333" s="8"/>
      <c r="D333" s="8"/>
      <c r="E333" s="8"/>
      <c r="F333" s="8"/>
      <c r="G333" s="8"/>
      <c r="H333" s="8"/>
      <c r="I333" s="8"/>
      <c r="J333" s="8"/>
      <c r="K333" s="8"/>
      <c r="L333" s="8"/>
      <c r="M333" s="8"/>
      <c r="N333" s="8"/>
      <c r="O333" s="8"/>
      <c r="P333" s="8"/>
      <c r="Q333" s="8"/>
      <c r="R333" s="8"/>
      <c r="S333" s="8"/>
      <c r="T333" s="8"/>
      <c r="U333" s="8"/>
      <c r="V333" s="8"/>
      <c r="W333" s="8"/>
      <c r="X333" s="8"/>
      <c r="Y333" s="8"/>
      <c r="Z333" s="8"/>
    </row>
    <row r="334">
      <c r="A334" s="8"/>
      <c r="B334" s="8"/>
      <c r="C334" s="8"/>
      <c r="D334" s="8"/>
      <c r="E334" s="8"/>
      <c r="F334" s="8"/>
      <c r="G334" s="8"/>
      <c r="H334" s="8"/>
      <c r="I334" s="8"/>
      <c r="J334" s="8"/>
      <c r="K334" s="8"/>
      <c r="L334" s="8"/>
      <c r="M334" s="8"/>
      <c r="N334" s="8"/>
      <c r="O334" s="8"/>
      <c r="P334" s="8"/>
      <c r="Q334" s="8"/>
      <c r="R334" s="8"/>
      <c r="S334" s="8"/>
      <c r="T334" s="8"/>
      <c r="U334" s="8"/>
      <c r="V334" s="8"/>
      <c r="W334" s="8"/>
      <c r="X334" s="8"/>
      <c r="Y334" s="8"/>
      <c r="Z334" s="8"/>
    </row>
    <row r="335">
      <c r="A335" s="8"/>
      <c r="B335" s="8"/>
      <c r="C335" s="8"/>
      <c r="D335" s="8"/>
      <c r="E335" s="8"/>
      <c r="F335" s="8"/>
      <c r="G335" s="8"/>
      <c r="H335" s="8"/>
      <c r="I335" s="8"/>
      <c r="J335" s="8"/>
      <c r="K335" s="8"/>
      <c r="L335" s="8"/>
      <c r="M335" s="8"/>
      <c r="N335" s="8"/>
      <c r="O335" s="8"/>
      <c r="P335" s="8"/>
      <c r="Q335" s="8"/>
      <c r="R335" s="8"/>
      <c r="S335" s="8"/>
      <c r="T335" s="8"/>
      <c r="U335" s="8"/>
      <c r="V335" s="8"/>
      <c r="W335" s="8"/>
      <c r="X335" s="8"/>
      <c r="Y335" s="8"/>
      <c r="Z335" s="8"/>
    </row>
    <row r="336">
      <c r="A336" s="8"/>
      <c r="B336" s="8"/>
      <c r="C336" s="8"/>
      <c r="D336" s="8"/>
      <c r="E336" s="8"/>
      <c r="F336" s="8"/>
      <c r="G336" s="8"/>
      <c r="H336" s="8"/>
      <c r="I336" s="8"/>
      <c r="J336" s="8"/>
      <c r="K336" s="8"/>
      <c r="L336" s="8"/>
      <c r="M336" s="8"/>
      <c r="N336" s="8"/>
      <c r="O336" s="8"/>
      <c r="P336" s="8"/>
      <c r="Q336" s="8"/>
      <c r="R336" s="8"/>
      <c r="S336" s="8"/>
      <c r="T336" s="8"/>
      <c r="U336" s="8"/>
      <c r="V336" s="8"/>
      <c r="W336" s="8"/>
      <c r="X336" s="8"/>
      <c r="Y336" s="8"/>
      <c r="Z336" s="8"/>
    </row>
    <row r="337">
      <c r="A337" s="8"/>
      <c r="B337" s="8"/>
      <c r="C337" s="8"/>
      <c r="D337" s="8"/>
      <c r="E337" s="8"/>
      <c r="F337" s="8"/>
      <c r="G337" s="8"/>
      <c r="H337" s="8"/>
      <c r="I337" s="8"/>
      <c r="J337" s="8"/>
      <c r="K337" s="8"/>
      <c r="L337" s="8"/>
      <c r="M337" s="8"/>
      <c r="N337" s="8"/>
      <c r="O337" s="8"/>
      <c r="P337" s="8"/>
      <c r="Q337" s="8"/>
      <c r="R337" s="8"/>
      <c r="S337" s="8"/>
      <c r="T337" s="8"/>
      <c r="U337" s="8"/>
      <c r="V337" s="8"/>
      <c r="W337" s="8"/>
      <c r="X337" s="8"/>
      <c r="Y337" s="8"/>
      <c r="Z337" s="8"/>
    </row>
    <row r="338">
      <c r="A338" s="8"/>
      <c r="B338" s="8"/>
      <c r="C338" s="8"/>
      <c r="D338" s="8"/>
      <c r="E338" s="8"/>
      <c r="F338" s="8"/>
      <c r="G338" s="8"/>
      <c r="H338" s="8"/>
      <c r="I338" s="8"/>
      <c r="J338" s="8"/>
      <c r="K338" s="8"/>
      <c r="L338" s="8"/>
      <c r="M338" s="8"/>
      <c r="N338" s="8"/>
      <c r="O338" s="8"/>
      <c r="P338" s="8"/>
      <c r="Q338" s="8"/>
      <c r="R338" s="8"/>
      <c r="S338" s="8"/>
      <c r="T338" s="8"/>
      <c r="U338" s="8"/>
      <c r="V338" s="8"/>
      <c r="W338" s="8"/>
      <c r="X338" s="8"/>
      <c r="Y338" s="8"/>
      <c r="Z338" s="8"/>
    </row>
    <row r="339">
      <c r="A339" s="8"/>
      <c r="B339" s="8"/>
      <c r="C339" s="8"/>
      <c r="D339" s="8"/>
      <c r="E339" s="8"/>
      <c r="F339" s="8"/>
      <c r="G339" s="8"/>
      <c r="H339" s="8"/>
      <c r="I339" s="8"/>
      <c r="J339" s="8"/>
      <c r="K339" s="8"/>
      <c r="L339" s="8"/>
      <c r="M339" s="8"/>
      <c r="N339" s="8"/>
      <c r="O339" s="8"/>
      <c r="P339" s="8"/>
      <c r="Q339" s="8"/>
      <c r="R339" s="8"/>
      <c r="S339" s="8"/>
      <c r="T339" s="8"/>
      <c r="U339" s="8"/>
      <c r="V339" s="8"/>
      <c r="W339" s="8"/>
      <c r="X339" s="8"/>
      <c r="Y339" s="8"/>
      <c r="Z339" s="8"/>
    </row>
    <row r="340">
      <c r="A340" s="8"/>
      <c r="B340" s="8"/>
      <c r="C340" s="8"/>
      <c r="D340" s="8"/>
      <c r="E340" s="8"/>
      <c r="F340" s="8"/>
      <c r="G340" s="8"/>
      <c r="H340" s="8"/>
      <c r="I340" s="8"/>
      <c r="J340" s="8"/>
      <c r="K340" s="8"/>
      <c r="L340" s="8"/>
      <c r="M340" s="8"/>
      <c r="N340" s="8"/>
      <c r="O340" s="8"/>
      <c r="P340" s="8"/>
      <c r="Q340" s="8"/>
      <c r="R340" s="8"/>
      <c r="S340" s="8"/>
      <c r="T340" s="8"/>
      <c r="U340" s="8"/>
      <c r="V340" s="8"/>
      <c r="W340" s="8"/>
      <c r="X340" s="8"/>
      <c r="Y340" s="8"/>
      <c r="Z340" s="8"/>
    </row>
    <row r="341">
      <c r="A341" s="8"/>
      <c r="B341" s="8"/>
      <c r="C341" s="8"/>
      <c r="D341" s="8"/>
      <c r="E341" s="8"/>
      <c r="F341" s="8"/>
      <c r="G341" s="8"/>
      <c r="H341" s="8"/>
      <c r="I341" s="8"/>
      <c r="J341" s="8"/>
      <c r="K341" s="8"/>
      <c r="L341" s="8"/>
      <c r="M341" s="8"/>
      <c r="N341" s="8"/>
      <c r="O341" s="8"/>
      <c r="P341" s="8"/>
      <c r="Q341" s="8"/>
      <c r="R341" s="8"/>
      <c r="S341" s="8"/>
      <c r="T341" s="8"/>
      <c r="U341" s="8"/>
      <c r="V341" s="8"/>
      <c r="W341" s="8"/>
      <c r="X341" s="8"/>
      <c r="Y341" s="8"/>
      <c r="Z341" s="8"/>
    </row>
    <row r="342">
      <c r="A342" s="8"/>
      <c r="B342" s="8"/>
      <c r="C342" s="8"/>
      <c r="D342" s="8"/>
      <c r="E342" s="8"/>
      <c r="F342" s="8"/>
      <c r="G342" s="8"/>
      <c r="H342" s="8"/>
      <c r="I342" s="8"/>
      <c r="J342" s="8"/>
      <c r="K342" s="8"/>
      <c r="L342" s="8"/>
      <c r="M342" s="8"/>
      <c r="N342" s="8"/>
      <c r="O342" s="8"/>
      <c r="P342" s="8"/>
      <c r="Q342" s="8"/>
      <c r="R342" s="8"/>
      <c r="S342" s="8"/>
      <c r="T342" s="8"/>
      <c r="U342" s="8"/>
      <c r="V342" s="8"/>
      <c r="W342" s="8"/>
      <c r="X342" s="8"/>
      <c r="Y342" s="8"/>
      <c r="Z342" s="8"/>
    </row>
    <row r="343">
      <c r="A343" s="8"/>
      <c r="B343" s="8"/>
      <c r="C343" s="8"/>
      <c r="D343" s="8"/>
      <c r="E343" s="8"/>
      <c r="F343" s="8"/>
      <c r="G343" s="8"/>
      <c r="H343" s="8"/>
      <c r="I343" s="8"/>
      <c r="J343" s="8"/>
      <c r="K343" s="8"/>
      <c r="L343" s="8"/>
      <c r="M343" s="8"/>
      <c r="N343" s="8"/>
      <c r="O343" s="8"/>
      <c r="P343" s="8"/>
      <c r="Q343" s="8"/>
      <c r="R343" s="8"/>
      <c r="S343" s="8"/>
      <c r="T343" s="8"/>
      <c r="U343" s="8"/>
      <c r="V343" s="8"/>
      <c r="W343" s="8"/>
      <c r="X343" s="8"/>
      <c r="Y343" s="8"/>
      <c r="Z343" s="8"/>
    </row>
    <row r="344">
      <c r="A344" s="8"/>
      <c r="B344" s="8"/>
      <c r="C344" s="8"/>
      <c r="D344" s="8"/>
      <c r="E344" s="8"/>
      <c r="F344" s="8"/>
      <c r="G344" s="8"/>
      <c r="H344" s="8"/>
      <c r="I344" s="8"/>
      <c r="J344" s="8"/>
      <c r="K344" s="8"/>
      <c r="L344" s="8"/>
      <c r="M344" s="8"/>
      <c r="N344" s="8"/>
      <c r="O344" s="8"/>
      <c r="P344" s="8"/>
      <c r="Q344" s="8"/>
      <c r="R344" s="8"/>
      <c r="S344" s="8"/>
      <c r="T344" s="8"/>
      <c r="U344" s="8"/>
      <c r="V344" s="8"/>
      <c r="W344" s="8"/>
      <c r="X344" s="8"/>
      <c r="Y344" s="8"/>
      <c r="Z344" s="8"/>
    </row>
    <row r="345">
      <c r="A345" s="8"/>
      <c r="B345" s="8"/>
      <c r="C345" s="8"/>
      <c r="D345" s="8"/>
      <c r="E345" s="8"/>
      <c r="F345" s="8"/>
      <c r="G345" s="8"/>
      <c r="H345" s="8"/>
      <c r="I345" s="8"/>
      <c r="J345" s="8"/>
      <c r="K345" s="8"/>
      <c r="L345" s="8"/>
      <c r="M345" s="8"/>
      <c r="N345" s="8"/>
      <c r="O345" s="8"/>
      <c r="P345" s="8"/>
      <c r="Q345" s="8"/>
      <c r="R345" s="8"/>
      <c r="S345" s="8"/>
      <c r="T345" s="8"/>
      <c r="U345" s="8"/>
      <c r="V345" s="8"/>
      <c r="W345" s="8"/>
      <c r="X345" s="8"/>
      <c r="Y345" s="8"/>
      <c r="Z345" s="8"/>
    </row>
    <row r="346">
      <c r="A346" s="8"/>
      <c r="B346" s="8"/>
      <c r="C346" s="8"/>
      <c r="D346" s="8"/>
      <c r="E346" s="8"/>
      <c r="F346" s="8"/>
      <c r="G346" s="8"/>
      <c r="H346" s="8"/>
      <c r="I346" s="8"/>
      <c r="J346" s="8"/>
      <c r="K346" s="8"/>
      <c r="L346" s="8"/>
      <c r="M346" s="8"/>
      <c r="N346" s="8"/>
      <c r="O346" s="8"/>
      <c r="P346" s="8"/>
      <c r="Q346" s="8"/>
      <c r="R346" s="8"/>
      <c r="S346" s="8"/>
      <c r="T346" s="8"/>
      <c r="U346" s="8"/>
      <c r="V346" s="8"/>
      <c r="W346" s="8"/>
      <c r="X346" s="8"/>
      <c r="Y346" s="8"/>
      <c r="Z346" s="8"/>
    </row>
    <row r="347">
      <c r="A347" s="8"/>
      <c r="B347" s="8"/>
      <c r="C347" s="8"/>
      <c r="D347" s="8"/>
      <c r="E347" s="8"/>
      <c r="F347" s="8"/>
      <c r="G347" s="8"/>
      <c r="H347" s="8"/>
      <c r="I347" s="8"/>
      <c r="J347" s="8"/>
      <c r="K347" s="8"/>
      <c r="L347" s="8"/>
      <c r="M347" s="8"/>
      <c r="N347" s="8"/>
      <c r="O347" s="8"/>
      <c r="P347" s="8"/>
      <c r="Q347" s="8"/>
      <c r="R347" s="8"/>
      <c r="S347" s="8"/>
      <c r="T347" s="8"/>
      <c r="U347" s="8"/>
      <c r="V347" s="8"/>
      <c r="W347" s="8"/>
      <c r="X347" s="8"/>
      <c r="Y347" s="8"/>
      <c r="Z347" s="8"/>
    </row>
    <row r="348">
      <c r="A348" s="8"/>
      <c r="B348" s="8"/>
      <c r="C348" s="8"/>
      <c r="D348" s="8"/>
      <c r="E348" s="8"/>
      <c r="F348" s="8"/>
      <c r="G348" s="8"/>
      <c r="H348" s="8"/>
      <c r="I348" s="8"/>
      <c r="J348" s="8"/>
      <c r="K348" s="8"/>
      <c r="L348" s="8"/>
      <c r="M348" s="8"/>
      <c r="N348" s="8"/>
      <c r="O348" s="8"/>
      <c r="P348" s="8"/>
      <c r="Q348" s="8"/>
      <c r="R348" s="8"/>
      <c r="S348" s="8"/>
      <c r="T348" s="8"/>
      <c r="U348" s="8"/>
      <c r="V348" s="8"/>
      <c r="W348" s="8"/>
      <c r="X348" s="8"/>
      <c r="Y348" s="8"/>
      <c r="Z348" s="8"/>
    </row>
    <row r="349">
      <c r="A349" s="8"/>
      <c r="B349" s="8"/>
      <c r="C349" s="8"/>
      <c r="D349" s="8"/>
      <c r="E349" s="8"/>
      <c r="F349" s="8"/>
      <c r="G349" s="8"/>
      <c r="H349" s="8"/>
      <c r="I349" s="8"/>
      <c r="J349" s="8"/>
      <c r="K349" s="8"/>
      <c r="L349" s="8"/>
      <c r="M349" s="8"/>
      <c r="N349" s="8"/>
      <c r="O349" s="8"/>
      <c r="P349" s="8"/>
      <c r="Q349" s="8"/>
      <c r="R349" s="8"/>
      <c r="S349" s="8"/>
      <c r="T349" s="8"/>
      <c r="U349" s="8"/>
      <c r="V349" s="8"/>
      <c r="W349" s="8"/>
      <c r="X349" s="8"/>
      <c r="Y349" s="8"/>
      <c r="Z349" s="8"/>
    </row>
    <row r="350">
      <c r="A350" s="8"/>
      <c r="B350" s="8"/>
      <c r="C350" s="8"/>
      <c r="D350" s="8"/>
      <c r="E350" s="8"/>
      <c r="F350" s="8"/>
      <c r="G350" s="8"/>
      <c r="H350" s="8"/>
      <c r="I350" s="8"/>
      <c r="J350" s="8"/>
      <c r="K350" s="8"/>
      <c r="L350" s="8"/>
      <c r="M350" s="8"/>
      <c r="N350" s="8"/>
      <c r="O350" s="8"/>
      <c r="P350" s="8"/>
      <c r="Q350" s="8"/>
      <c r="R350" s="8"/>
      <c r="S350" s="8"/>
      <c r="T350" s="8"/>
      <c r="U350" s="8"/>
      <c r="V350" s="8"/>
      <c r="W350" s="8"/>
      <c r="X350" s="8"/>
      <c r="Y350" s="8"/>
      <c r="Z350" s="8"/>
    </row>
    <row r="351">
      <c r="A351" s="8"/>
      <c r="B351" s="8"/>
      <c r="C351" s="8"/>
      <c r="D351" s="8"/>
      <c r="E351" s="8"/>
      <c r="F351" s="8"/>
      <c r="G351" s="8"/>
      <c r="H351" s="8"/>
      <c r="I351" s="8"/>
      <c r="J351" s="8"/>
      <c r="K351" s="8"/>
      <c r="L351" s="8"/>
      <c r="M351" s="8"/>
      <c r="N351" s="8"/>
      <c r="O351" s="8"/>
      <c r="P351" s="8"/>
      <c r="Q351" s="8"/>
      <c r="R351" s="8"/>
      <c r="S351" s="8"/>
      <c r="T351" s="8"/>
      <c r="U351" s="8"/>
      <c r="V351" s="8"/>
      <c r="W351" s="8"/>
      <c r="X351" s="8"/>
      <c r="Y351" s="8"/>
      <c r="Z351" s="8"/>
    </row>
    <row r="352">
      <c r="A352" s="8"/>
      <c r="B352" s="8"/>
      <c r="C352" s="8"/>
      <c r="D352" s="8"/>
      <c r="E352" s="8"/>
      <c r="F352" s="8"/>
      <c r="G352" s="8"/>
      <c r="H352" s="8"/>
      <c r="I352" s="8"/>
      <c r="J352" s="8"/>
      <c r="K352" s="8"/>
      <c r="L352" s="8"/>
      <c r="M352" s="8"/>
      <c r="N352" s="8"/>
      <c r="O352" s="8"/>
      <c r="P352" s="8"/>
      <c r="Q352" s="8"/>
      <c r="R352" s="8"/>
      <c r="S352" s="8"/>
      <c r="T352" s="8"/>
      <c r="U352" s="8"/>
      <c r="V352" s="8"/>
      <c r="W352" s="8"/>
      <c r="X352" s="8"/>
      <c r="Y352" s="8"/>
      <c r="Z352" s="8"/>
    </row>
    <row r="353">
      <c r="A353" s="8"/>
      <c r="B353" s="8"/>
      <c r="C353" s="8"/>
      <c r="D353" s="8"/>
      <c r="E353" s="8"/>
      <c r="F353" s="8"/>
      <c r="G353" s="8"/>
      <c r="H353" s="8"/>
      <c r="I353" s="8"/>
      <c r="J353" s="8"/>
      <c r="K353" s="8"/>
      <c r="L353" s="8"/>
      <c r="M353" s="8"/>
      <c r="N353" s="8"/>
      <c r="O353" s="8"/>
      <c r="P353" s="8"/>
      <c r="Q353" s="8"/>
      <c r="R353" s="8"/>
      <c r="S353" s="8"/>
      <c r="T353" s="8"/>
      <c r="U353" s="8"/>
      <c r="V353" s="8"/>
      <c r="W353" s="8"/>
      <c r="X353" s="8"/>
      <c r="Y353" s="8"/>
      <c r="Z353" s="8"/>
    </row>
    <row r="354">
      <c r="A354" s="8"/>
      <c r="B354" s="8"/>
      <c r="C354" s="8"/>
      <c r="D354" s="8"/>
      <c r="E354" s="8"/>
      <c r="F354" s="8"/>
      <c r="G354" s="8"/>
      <c r="H354" s="8"/>
      <c r="I354" s="8"/>
      <c r="J354" s="8"/>
      <c r="K354" s="8"/>
      <c r="L354" s="8"/>
      <c r="M354" s="8"/>
      <c r="N354" s="8"/>
      <c r="O354" s="8"/>
      <c r="P354" s="8"/>
      <c r="Q354" s="8"/>
      <c r="R354" s="8"/>
      <c r="S354" s="8"/>
      <c r="T354" s="8"/>
      <c r="U354" s="8"/>
      <c r="V354" s="8"/>
      <c r="W354" s="8"/>
      <c r="X354" s="8"/>
      <c r="Y354" s="8"/>
      <c r="Z354" s="8"/>
    </row>
    <row r="355">
      <c r="A355" s="8"/>
      <c r="B355" s="8"/>
      <c r="C355" s="8"/>
      <c r="D355" s="8"/>
      <c r="E355" s="8"/>
      <c r="F355" s="8"/>
      <c r="G355" s="8"/>
      <c r="H355" s="8"/>
      <c r="I355" s="8"/>
      <c r="J355" s="8"/>
      <c r="K355" s="8"/>
      <c r="L355" s="8"/>
      <c r="M355" s="8"/>
      <c r="N355" s="8"/>
      <c r="O355" s="8"/>
      <c r="P355" s="8"/>
      <c r="Q355" s="8"/>
      <c r="R355" s="8"/>
      <c r="S355" s="8"/>
      <c r="T355" s="8"/>
      <c r="U355" s="8"/>
      <c r="V355" s="8"/>
      <c r="W355" s="8"/>
      <c r="X355" s="8"/>
      <c r="Y355" s="8"/>
      <c r="Z355" s="8"/>
    </row>
    <row r="356">
      <c r="A356" s="8"/>
      <c r="B356" s="8"/>
      <c r="C356" s="8"/>
      <c r="D356" s="8"/>
      <c r="E356" s="8"/>
      <c r="F356" s="8"/>
      <c r="G356" s="8"/>
      <c r="H356" s="8"/>
      <c r="I356" s="8"/>
      <c r="J356" s="8"/>
      <c r="K356" s="8"/>
      <c r="L356" s="8"/>
      <c r="M356" s="8"/>
      <c r="N356" s="8"/>
      <c r="O356" s="8"/>
      <c r="P356" s="8"/>
      <c r="Q356" s="8"/>
      <c r="R356" s="8"/>
      <c r="S356" s="8"/>
      <c r="T356" s="8"/>
      <c r="U356" s="8"/>
      <c r="V356" s="8"/>
      <c r="W356" s="8"/>
      <c r="X356" s="8"/>
      <c r="Y356" s="8"/>
      <c r="Z356" s="8"/>
    </row>
    <row r="357">
      <c r="A357" s="8"/>
      <c r="B357" s="8"/>
      <c r="C357" s="8"/>
      <c r="D357" s="8"/>
      <c r="E357" s="8"/>
      <c r="F357" s="8"/>
      <c r="G357" s="8"/>
      <c r="H357" s="8"/>
      <c r="I357" s="8"/>
      <c r="J357" s="8"/>
      <c r="K357" s="8"/>
      <c r="L357" s="8"/>
      <c r="M357" s="8"/>
      <c r="N357" s="8"/>
      <c r="O357" s="8"/>
      <c r="P357" s="8"/>
      <c r="Q357" s="8"/>
      <c r="R357" s="8"/>
      <c r="S357" s="8"/>
      <c r="T357" s="8"/>
      <c r="U357" s="8"/>
      <c r="V357" s="8"/>
      <c r="W357" s="8"/>
      <c r="X357" s="8"/>
      <c r="Y357" s="8"/>
      <c r="Z357" s="8"/>
    </row>
    <row r="358">
      <c r="A358" s="8"/>
      <c r="B358" s="8"/>
      <c r="C358" s="8"/>
      <c r="D358" s="8"/>
      <c r="E358" s="8"/>
      <c r="F358" s="8"/>
      <c r="G358" s="8"/>
      <c r="H358" s="8"/>
      <c r="I358" s="8"/>
      <c r="J358" s="8"/>
      <c r="K358" s="8"/>
      <c r="L358" s="8"/>
      <c r="M358" s="8"/>
      <c r="N358" s="8"/>
      <c r="O358" s="8"/>
      <c r="P358" s="8"/>
      <c r="Q358" s="8"/>
      <c r="R358" s="8"/>
      <c r="S358" s="8"/>
      <c r="T358" s="8"/>
      <c r="U358" s="8"/>
      <c r="V358" s="8"/>
      <c r="W358" s="8"/>
      <c r="X358" s="8"/>
      <c r="Y358" s="8"/>
      <c r="Z358" s="8"/>
    </row>
    <row r="359">
      <c r="A359" s="8"/>
      <c r="B359" s="8"/>
      <c r="C359" s="8"/>
      <c r="D359" s="8"/>
      <c r="E359" s="8"/>
      <c r="F359" s="8"/>
      <c r="G359" s="8"/>
      <c r="H359" s="8"/>
      <c r="I359" s="8"/>
      <c r="J359" s="8"/>
      <c r="K359" s="8"/>
      <c r="L359" s="8"/>
      <c r="M359" s="8"/>
      <c r="N359" s="8"/>
      <c r="O359" s="8"/>
      <c r="P359" s="8"/>
      <c r="Q359" s="8"/>
      <c r="R359" s="8"/>
      <c r="S359" s="8"/>
      <c r="T359" s="8"/>
      <c r="U359" s="8"/>
      <c r="V359" s="8"/>
      <c r="W359" s="8"/>
      <c r="X359" s="8"/>
      <c r="Y359" s="8"/>
      <c r="Z359" s="8"/>
    </row>
    <row r="360">
      <c r="A360" s="8"/>
      <c r="B360" s="8"/>
      <c r="C360" s="8"/>
      <c r="D360" s="8"/>
      <c r="E360" s="8"/>
      <c r="F360" s="8"/>
      <c r="G360" s="8"/>
      <c r="H360" s="8"/>
      <c r="I360" s="8"/>
      <c r="J360" s="8"/>
      <c r="K360" s="8"/>
      <c r="L360" s="8"/>
      <c r="M360" s="8"/>
      <c r="N360" s="8"/>
      <c r="O360" s="8"/>
      <c r="P360" s="8"/>
      <c r="Q360" s="8"/>
      <c r="R360" s="8"/>
      <c r="S360" s="8"/>
      <c r="T360" s="8"/>
      <c r="U360" s="8"/>
      <c r="V360" s="8"/>
      <c r="W360" s="8"/>
      <c r="X360" s="8"/>
      <c r="Y360" s="8"/>
      <c r="Z360" s="8"/>
    </row>
    <row r="361">
      <c r="A361" s="8"/>
      <c r="B361" s="8"/>
      <c r="C361" s="8"/>
      <c r="D361" s="8"/>
      <c r="E361" s="8"/>
      <c r="F361" s="8"/>
      <c r="G361" s="8"/>
      <c r="H361" s="8"/>
      <c r="I361" s="8"/>
      <c r="J361" s="8"/>
      <c r="K361" s="8"/>
      <c r="L361" s="8"/>
      <c r="M361" s="8"/>
      <c r="N361" s="8"/>
      <c r="O361" s="8"/>
      <c r="P361" s="8"/>
      <c r="Q361" s="8"/>
      <c r="R361" s="8"/>
      <c r="S361" s="8"/>
      <c r="T361" s="8"/>
      <c r="U361" s="8"/>
      <c r="V361" s="8"/>
      <c r="W361" s="8"/>
      <c r="X361" s="8"/>
      <c r="Y361" s="8"/>
      <c r="Z361" s="8"/>
    </row>
    <row r="362">
      <c r="A362" s="8"/>
      <c r="B362" s="8"/>
      <c r="C362" s="8"/>
      <c r="D362" s="8"/>
      <c r="E362" s="8"/>
      <c r="F362" s="8"/>
      <c r="G362" s="8"/>
      <c r="H362" s="8"/>
      <c r="I362" s="8"/>
      <c r="J362" s="8"/>
      <c r="K362" s="8"/>
      <c r="L362" s="8"/>
      <c r="M362" s="8"/>
      <c r="N362" s="8"/>
      <c r="O362" s="8"/>
      <c r="P362" s="8"/>
      <c r="Q362" s="8"/>
      <c r="R362" s="8"/>
      <c r="S362" s="8"/>
      <c r="T362" s="8"/>
      <c r="U362" s="8"/>
      <c r="V362" s="8"/>
      <c r="W362" s="8"/>
      <c r="X362" s="8"/>
      <c r="Y362" s="8"/>
      <c r="Z362" s="8"/>
    </row>
    <row r="363">
      <c r="A363" s="8"/>
      <c r="B363" s="8"/>
      <c r="C363" s="8"/>
      <c r="D363" s="8"/>
      <c r="E363" s="8"/>
      <c r="F363" s="8"/>
      <c r="G363" s="8"/>
      <c r="H363" s="8"/>
      <c r="I363" s="8"/>
      <c r="J363" s="8"/>
      <c r="K363" s="8"/>
      <c r="L363" s="8"/>
      <c r="M363" s="8"/>
      <c r="N363" s="8"/>
      <c r="O363" s="8"/>
      <c r="P363" s="8"/>
      <c r="Q363" s="8"/>
      <c r="R363" s="8"/>
      <c r="S363" s="8"/>
      <c r="T363" s="8"/>
      <c r="U363" s="8"/>
      <c r="V363" s="8"/>
      <c r="W363" s="8"/>
      <c r="X363" s="8"/>
      <c r="Y363" s="8"/>
      <c r="Z363" s="8"/>
    </row>
    <row r="364">
      <c r="A364" s="8"/>
      <c r="B364" s="8"/>
      <c r="C364" s="8"/>
      <c r="D364" s="8"/>
      <c r="E364" s="8"/>
      <c r="F364" s="8"/>
      <c r="G364" s="8"/>
      <c r="H364" s="8"/>
      <c r="I364" s="8"/>
      <c r="J364" s="8"/>
      <c r="K364" s="8"/>
      <c r="L364" s="8"/>
      <c r="M364" s="8"/>
      <c r="N364" s="8"/>
      <c r="O364" s="8"/>
      <c r="P364" s="8"/>
      <c r="Q364" s="8"/>
      <c r="R364" s="8"/>
      <c r="S364" s="8"/>
      <c r="T364" s="8"/>
      <c r="U364" s="8"/>
      <c r="V364" s="8"/>
      <c r="W364" s="8"/>
      <c r="X364" s="8"/>
      <c r="Y364" s="8"/>
      <c r="Z364" s="8"/>
    </row>
    <row r="365">
      <c r="A365" s="8"/>
      <c r="B365" s="8"/>
      <c r="C365" s="8"/>
      <c r="D365" s="8"/>
      <c r="E365" s="8"/>
      <c r="F365" s="8"/>
      <c r="G365" s="8"/>
      <c r="H365" s="8"/>
      <c r="I365" s="8"/>
      <c r="J365" s="8"/>
      <c r="K365" s="8"/>
      <c r="L365" s="8"/>
      <c r="M365" s="8"/>
      <c r="N365" s="8"/>
      <c r="O365" s="8"/>
      <c r="P365" s="8"/>
      <c r="Q365" s="8"/>
      <c r="R365" s="8"/>
      <c r="S365" s="8"/>
      <c r="T365" s="8"/>
      <c r="U365" s="8"/>
      <c r="V365" s="8"/>
      <c r="W365" s="8"/>
      <c r="X365" s="8"/>
      <c r="Y365" s="8"/>
      <c r="Z365" s="8"/>
    </row>
    <row r="366">
      <c r="A366" s="8"/>
      <c r="B366" s="8"/>
      <c r="C366" s="8"/>
      <c r="D366" s="8"/>
      <c r="E366" s="8"/>
      <c r="F366" s="8"/>
      <c r="G366" s="8"/>
      <c r="H366" s="8"/>
      <c r="I366" s="8"/>
      <c r="J366" s="8"/>
      <c r="K366" s="8"/>
      <c r="L366" s="8"/>
      <c r="M366" s="8"/>
      <c r="N366" s="8"/>
      <c r="O366" s="8"/>
      <c r="P366" s="8"/>
      <c r="Q366" s="8"/>
      <c r="R366" s="8"/>
      <c r="S366" s="8"/>
      <c r="T366" s="8"/>
      <c r="U366" s="8"/>
      <c r="V366" s="8"/>
      <c r="W366" s="8"/>
      <c r="X366" s="8"/>
      <c r="Y366" s="8"/>
      <c r="Z366" s="8"/>
    </row>
    <row r="367">
      <c r="A367" s="8"/>
      <c r="B367" s="8"/>
      <c r="C367" s="8"/>
      <c r="D367" s="8"/>
      <c r="E367" s="8"/>
      <c r="F367" s="8"/>
      <c r="G367" s="8"/>
      <c r="H367" s="8"/>
      <c r="I367" s="8"/>
      <c r="J367" s="8"/>
      <c r="K367" s="8"/>
      <c r="L367" s="8"/>
      <c r="M367" s="8"/>
      <c r="N367" s="8"/>
      <c r="O367" s="8"/>
      <c r="P367" s="8"/>
      <c r="Q367" s="8"/>
      <c r="R367" s="8"/>
      <c r="S367" s="8"/>
      <c r="T367" s="8"/>
      <c r="U367" s="8"/>
      <c r="V367" s="8"/>
      <c r="W367" s="8"/>
      <c r="X367" s="8"/>
      <c r="Y367" s="8"/>
      <c r="Z367" s="8"/>
    </row>
    <row r="368">
      <c r="A368" s="8"/>
      <c r="B368" s="8"/>
      <c r="C368" s="8"/>
      <c r="D368" s="8"/>
      <c r="E368" s="8"/>
      <c r="F368" s="8"/>
      <c r="G368" s="8"/>
      <c r="H368" s="8"/>
      <c r="I368" s="8"/>
      <c r="J368" s="8"/>
      <c r="K368" s="8"/>
      <c r="L368" s="8"/>
      <c r="M368" s="8"/>
      <c r="N368" s="8"/>
      <c r="O368" s="8"/>
      <c r="P368" s="8"/>
      <c r="Q368" s="8"/>
      <c r="R368" s="8"/>
      <c r="S368" s="8"/>
      <c r="T368" s="8"/>
      <c r="U368" s="8"/>
      <c r="V368" s="8"/>
      <c r="W368" s="8"/>
      <c r="X368" s="8"/>
      <c r="Y368" s="8"/>
      <c r="Z368" s="8"/>
    </row>
    <row r="369">
      <c r="A369" s="8"/>
      <c r="B369" s="8"/>
      <c r="C369" s="8"/>
      <c r="D369" s="8"/>
      <c r="E369" s="8"/>
      <c r="F369" s="8"/>
      <c r="G369" s="8"/>
      <c r="H369" s="8"/>
      <c r="I369" s="8"/>
      <c r="J369" s="8"/>
      <c r="K369" s="8"/>
      <c r="L369" s="8"/>
      <c r="M369" s="8"/>
      <c r="N369" s="8"/>
      <c r="O369" s="8"/>
      <c r="P369" s="8"/>
      <c r="Q369" s="8"/>
      <c r="R369" s="8"/>
      <c r="S369" s="8"/>
      <c r="T369" s="8"/>
      <c r="U369" s="8"/>
      <c r="V369" s="8"/>
      <c r="W369" s="8"/>
      <c r="X369" s="8"/>
      <c r="Y369" s="8"/>
      <c r="Z369" s="8"/>
    </row>
    <row r="370">
      <c r="A370" s="8"/>
      <c r="B370" s="8"/>
      <c r="C370" s="8"/>
      <c r="D370" s="8"/>
      <c r="E370" s="8"/>
      <c r="F370" s="8"/>
      <c r="G370" s="8"/>
      <c r="H370" s="8"/>
      <c r="I370" s="8"/>
      <c r="J370" s="8"/>
      <c r="K370" s="8"/>
      <c r="L370" s="8"/>
      <c r="M370" s="8"/>
      <c r="N370" s="8"/>
      <c r="O370" s="8"/>
      <c r="P370" s="8"/>
      <c r="Q370" s="8"/>
      <c r="R370" s="8"/>
      <c r="S370" s="8"/>
      <c r="T370" s="8"/>
      <c r="U370" s="8"/>
      <c r="V370" s="8"/>
      <c r="W370" s="8"/>
      <c r="X370" s="8"/>
      <c r="Y370" s="8"/>
      <c r="Z370" s="8"/>
    </row>
    <row r="371">
      <c r="A371" s="8"/>
      <c r="B371" s="8"/>
      <c r="C371" s="8"/>
      <c r="D371" s="8"/>
      <c r="E371" s="8"/>
      <c r="F371" s="8"/>
      <c r="G371" s="8"/>
      <c r="H371" s="8"/>
      <c r="I371" s="8"/>
      <c r="J371" s="8"/>
      <c r="K371" s="8"/>
      <c r="L371" s="8"/>
      <c r="M371" s="8"/>
      <c r="N371" s="8"/>
      <c r="O371" s="8"/>
      <c r="P371" s="8"/>
      <c r="Q371" s="8"/>
      <c r="R371" s="8"/>
      <c r="S371" s="8"/>
      <c r="T371" s="8"/>
      <c r="U371" s="8"/>
      <c r="V371" s="8"/>
      <c r="W371" s="8"/>
      <c r="X371" s="8"/>
      <c r="Y371" s="8"/>
      <c r="Z371" s="8"/>
    </row>
    <row r="372">
      <c r="A372" s="8"/>
      <c r="B372" s="8"/>
      <c r="C372" s="8"/>
      <c r="D372" s="8"/>
      <c r="E372" s="8"/>
      <c r="F372" s="8"/>
      <c r="G372" s="8"/>
      <c r="H372" s="8"/>
      <c r="I372" s="8"/>
      <c r="J372" s="8"/>
      <c r="K372" s="8"/>
      <c r="L372" s="8"/>
      <c r="M372" s="8"/>
      <c r="N372" s="8"/>
      <c r="O372" s="8"/>
      <c r="P372" s="8"/>
      <c r="Q372" s="8"/>
      <c r="R372" s="8"/>
      <c r="S372" s="8"/>
      <c r="T372" s="8"/>
      <c r="U372" s="8"/>
      <c r="V372" s="8"/>
      <c r="W372" s="8"/>
      <c r="X372" s="8"/>
      <c r="Y372" s="8"/>
      <c r="Z372" s="8"/>
    </row>
    <row r="373">
      <c r="A373" s="8"/>
      <c r="B373" s="8"/>
      <c r="C373" s="8"/>
      <c r="D373" s="8"/>
      <c r="E373" s="8"/>
      <c r="F373" s="8"/>
      <c r="G373" s="8"/>
      <c r="H373" s="8"/>
      <c r="I373" s="8"/>
      <c r="J373" s="8"/>
      <c r="K373" s="8"/>
      <c r="L373" s="8"/>
      <c r="M373" s="8"/>
      <c r="N373" s="8"/>
      <c r="O373" s="8"/>
      <c r="P373" s="8"/>
      <c r="Q373" s="8"/>
      <c r="R373" s="8"/>
      <c r="S373" s="8"/>
      <c r="T373" s="8"/>
      <c r="U373" s="8"/>
      <c r="V373" s="8"/>
      <c r="W373" s="8"/>
      <c r="X373" s="8"/>
      <c r="Y373" s="8"/>
      <c r="Z373" s="8"/>
    </row>
    <row r="374">
      <c r="A374" s="8"/>
      <c r="B374" s="8"/>
      <c r="C374" s="8"/>
      <c r="D374" s="8"/>
      <c r="E374" s="8"/>
      <c r="F374" s="8"/>
      <c r="G374" s="8"/>
      <c r="H374" s="8"/>
      <c r="I374" s="8"/>
      <c r="J374" s="8"/>
      <c r="K374" s="8"/>
      <c r="L374" s="8"/>
      <c r="M374" s="8"/>
      <c r="N374" s="8"/>
      <c r="O374" s="8"/>
      <c r="P374" s="8"/>
      <c r="Q374" s="8"/>
      <c r="R374" s="8"/>
      <c r="S374" s="8"/>
      <c r="T374" s="8"/>
      <c r="U374" s="8"/>
      <c r="V374" s="8"/>
      <c r="W374" s="8"/>
      <c r="X374" s="8"/>
      <c r="Y374" s="8"/>
      <c r="Z374" s="8"/>
    </row>
    <row r="375">
      <c r="A375" s="8"/>
      <c r="B375" s="8"/>
      <c r="C375" s="8"/>
      <c r="D375" s="8"/>
      <c r="E375" s="8"/>
      <c r="F375" s="8"/>
      <c r="G375" s="8"/>
      <c r="H375" s="8"/>
      <c r="I375" s="8"/>
      <c r="J375" s="8"/>
      <c r="K375" s="8"/>
      <c r="L375" s="8"/>
      <c r="M375" s="8"/>
      <c r="N375" s="8"/>
      <c r="O375" s="8"/>
      <c r="P375" s="8"/>
      <c r="Q375" s="8"/>
      <c r="R375" s="8"/>
      <c r="S375" s="8"/>
      <c r="T375" s="8"/>
      <c r="U375" s="8"/>
      <c r="V375" s="8"/>
      <c r="W375" s="8"/>
      <c r="X375" s="8"/>
      <c r="Y375" s="8"/>
      <c r="Z375" s="8"/>
    </row>
    <row r="376">
      <c r="A376" s="8"/>
      <c r="B376" s="8"/>
      <c r="C376" s="8"/>
      <c r="D376" s="8"/>
      <c r="E376" s="8"/>
      <c r="F376" s="8"/>
      <c r="G376" s="8"/>
      <c r="H376" s="8"/>
      <c r="I376" s="8"/>
      <c r="J376" s="8"/>
      <c r="K376" s="8"/>
      <c r="L376" s="8"/>
      <c r="M376" s="8"/>
      <c r="N376" s="8"/>
      <c r="O376" s="8"/>
      <c r="P376" s="8"/>
      <c r="Q376" s="8"/>
      <c r="R376" s="8"/>
      <c r="S376" s="8"/>
      <c r="T376" s="8"/>
      <c r="U376" s="8"/>
      <c r="V376" s="8"/>
      <c r="W376" s="8"/>
      <c r="X376" s="8"/>
      <c r="Y376" s="8"/>
      <c r="Z376" s="8"/>
    </row>
    <row r="377">
      <c r="A377" s="8"/>
      <c r="B377" s="8"/>
      <c r="C377" s="8"/>
      <c r="D377" s="8"/>
      <c r="E377" s="8"/>
      <c r="F377" s="8"/>
      <c r="G377" s="8"/>
      <c r="H377" s="8"/>
      <c r="I377" s="8"/>
      <c r="J377" s="8"/>
      <c r="K377" s="8"/>
      <c r="L377" s="8"/>
      <c r="M377" s="8"/>
      <c r="N377" s="8"/>
      <c r="O377" s="8"/>
      <c r="P377" s="8"/>
      <c r="Q377" s="8"/>
      <c r="R377" s="8"/>
      <c r="S377" s="8"/>
      <c r="T377" s="8"/>
      <c r="U377" s="8"/>
      <c r="V377" s="8"/>
      <c r="W377" s="8"/>
      <c r="X377" s="8"/>
      <c r="Y377" s="8"/>
      <c r="Z377" s="8"/>
    </row>
    <row r="378">
      <c r="A378" s="8"/>
      <c r="B378" s="8"/>
      <c r="C378" s="8"/>
      <c r="D378" s="8"/>
      <c r="E378" s="8"/>
      <c r="F378" s="8"/>
      <c r="G378" s="8"/>
      <c r="H378" s="8"/>
      <c r="I378" s="8"/>
      <c r="J378" s="8"/>
      <c r="K378" s="8"/>
      <c r="L378" s="8"/>
      <c r="M378" s="8"/>
      <c r="N378" s="8"/>
      <c r="O378" s="8"/>
      <c r="P378" s="8"/>
      <c r="Q378" s="8"/>
      <c r="R378" s="8"/>
      <c r="S378" s="8"/>
      <c r="T378" s="8"/>
      <c r="U378" s="8"/>
      <c r="V378" s="8"/>
      <c r="W378" s="8"/>
      <c r="X378" s="8"/>
      <c r="Y378" s="8"/>
      <c r="Z378" s="8"/>
    </row>
    <row r="379">
      <c r="A379" s="8"/>
      <c r="B379" s="8"/>
      <c r="C379" s="8"/>
      <c r="D379" s="8"/>
      <c r="E379" s="8"/>
      <c r="F379" s="8"/>
      <c r="G379" s="8"/>
      <c r="H379" s="8"/>
      <c r="I379" s="8"/>
      <c r="J379" s="8"/>
      <c r="K379" s="8"/>
      <c r="L379" s="8"/>
      <c r="M379" s="8"/>
      <c r="N379" s="8"/>
      <c r="O379" s="8"/>
      <c r="P379" s="8"/>
      <c r="Q379" s="8"/>
      <c r="R379" s="8"/>
      <c r="S379" s="8"/>
      <c r="T379" s="8"/>
      <c r="U379" s="8"/>
      <c r="V379" s="8"/>
      <c r="W379" s="8"/>
      <c r="X379" s="8"/>
      <c r="Y379" s="8"/>
      <c r="Z379" s="8"/>
    </row>
    <row r="380">
      <c r="A380" s="8"/>
      <c r="B380" s="8"/>
      <c r="C380" s="8"/>
      <c r="D380" s="8"/>
      <c r="E380" s="8"/>
      <c r="F380" s="8"/>
      <c r="G380" s="8"/>
      <c r="H380" s="8"/>
      <c r="I380" s="8"/>
      <c r="J380" s="8"/>
      <c r="K380" s="8"/>
      <c r="L380" s="8"/>
      <c r="M380" s="8"/>
      <c r="N380" s="8"/>
      <c r="O380" s="8"/>
      <c r="P380" s="8"/>
      <c r="Q380" s="8"/>
      <c r="R380" s="8"/>
      <c r="S380" s="8"/>
      <c r="T380" s="8"/>
      <c r="U380" s="8"/>
      <c r="V380" s="8"/>
      <c r="W380" s="8"/>
      <c r="X380" s="8"/>
      <c r="Y380" s="8"/>
      <c r="Z380" s="8"/>
    </row>
    <row r="381">
      <c r="A381" s="8"/>
      <c r="B381" s="8"/>
      <c r="C381" s="8"/>
      <c r="D381" s="8"/>
      <c r="E381" s="8"/>
      <c r="F381" s="8"/>
      <c r="G381" s="8"/>
      <c r="H381" s="8"/>
      <c r="I381" s="8"/>
      <c r="J381" s="8"/>
      <c r="K381" s="8"/>
      <c r="L381" s="8"/>
      <c r="M381" s="8"/>
      <c r="N381" s="8"/>
      <c r="O381" s="8"/>
      <c r="P381" s="8"/>
      <c r="Q381" s="8"/>
      <c r="R381" s="8"/>
      <c r="S381" s="8"/>
      <c r="T381" s="8"/>
      <c r="U381" s="8"/>
      <c r="V381" s="8"/>
      <c r="W381" s="8"/>
      <c r="X381" s="8"/>
      <c r="Y381" s="8"/>
      <c r="Z381" s="8"/>
    </row>
    <row r="382">
      <c r="A382" s="8"/>
      <c r="B382" s="8"/>
      <c r="C382" s="8"/>
      <c r="D382" s="8"/>
      <c r="E382" s="8"/>
      <c r="F382" s="8"/>
      <c r="G382" s="8"/>
      <c r="H382" s="8"/>
      <c r="I382" s="8"/>
      <c r="J382" s="8"/>
      <c r="K382" s="8"/>
      <c r="L382" s="8"/>
      <c r="M382" s="8"/>
      <c r="N382" s="8"/>
      <c r="O382" s="8"/>
      <c r="P382" s="8"/>
      <c r="Q382" s="8"/>
      <c r="R382" s="8"/>
      <c r="S382" s="8"/>
      <c r="T382" s="8"/>
      <c r="U382" s="8"/>
      <c r="V382" s="8"/>
      <c r="W382" s="8"/>
      <c r="X382" s="8"/>
      <c r="Y382" s="8"/>
      <c r="Z382" s="8"/>
    </row>
    <row r="383">
      <c r="A383" s="8"/>
      <c r="B383" s="8"/>
      <c r="C383" s="8"/>
      <c r="D383" s="8"/>
      <c r="E383" s="8"/>
      <c r="F383" s="8"/>
      <c r="G383" s="8"/>
      <c r="H383" s="8"/>
      <c r="I383" s="8"/>
      <c r="J383" s="8"/>
      <c r="K383" s="8"/>
      <c r="L383" s="8"/>
      <c r="M383" s="8"/>
      <c r="N383" s="8"/>
      <c r="O383" s="8"/>
      <c r="P383" s="8"/>
      <c r="Q383" s="8"/>
      <c r="R383" s="8"/>
      <c r="S383" s="8"/>
      <c r="T383" s="8"/>
      <c r="U383" s="8"/>
      <c r="V383" s="8"/>
      <c r="W383" s="8"/>
      <c r="X383" s="8"/>
      <c r="Y383" s="8"/>
      <c r="Z383" s="8"/>
    </row>
    <row r="384">
      <c r="A384" s="8"/>
      <c r="B384" s="8"/>
      <c r="C384" s="8"/>
      <c r="D384" s="8"/>
      <c r="E384" s="8"/>
      <c r="F384" s="8"/>
      <c r="G384" s="8"/>
      <c r="H384" s="8"/>
      <c r="I384" s="8"/>
      <c r="J384" s="8"/>
      <c r="K384" s="8"/>
      <c r="L384" s="8"/>
      <c r="M384" s="8"/>
      <c r="N384" s="8"/>
      <c r="O384" s="8"/>
      <c r="P384" s="8"/>
      <c r="Q384" s="8"/>
      <c r="R384" s="8"/>
      <c r="S384" s="8"/>
      <c r="T384" s="8"/>
      <c r="U384" s="8"/>
      <c r="V384" s="8"/>
      <c r="W384" s="8"/>
      <c r="X384" s="8"/>
      <c r="Y384" s="8"/>
      <c r="Z384" s="8"/>
    </row>
    <row r="385">
      <c r="A385" s="8"/>
      <c r="B385" s="8"/>
      <c r="C385" s="8"/>
      <c r="D385" s="8"/>
      <c r="E385" s="8"/>
      <c r="F385" s="8"/>
      <c r="G385" s="8"/>
      <c r="H385" s="8"/>
      <c r="I385" s="8"/>
      <c r="J385" s="8"/>
      <c r="K385" s="8"/>
      <c r="L385" s="8"/>
      <c r="M385" s="8"/>
      <c r="N385" s="8"/>
      <c r="O385" s="8"/>
      <c r="P385" s="8"/>
      <c r="Q385" s="8"/>
      <c r="R385" s="8"/>
      <c r="S385" s="8"/>
      <c r="T385" s="8"/>
      <c r="U385" s="8"/>
      <c r="V385" s="8"/>
      <c r="W385" s="8"/>
      <c r="X385" s="8"/>
      <c r="Y385" s="8"/>
      <c r="Z385" s="8"/>
    </row>
    <row r="386">
      <c r="A386" s="8"/>
      <c r="B386" s="8"/>
      <c r="C386" s="8"/>
      <c r="D386" s="8"/>
      <c r="E386" s="8"/>
      <c r="F386" s="8"/>
      <c r="G386" s="8"/>
      <c r="H386" s="8"/>
      <c r="I386" s="8"/>
      <c r="J386" s="8"/>
      <c r="K386" s="8"/>
      <c r="L386" s="8"/>
      <c r="M386" s="8"/>
      <c r="N386" s="8"/>
      <c r="O386" s="8"/>
      <c r="P386" s="8"/>
      <c r="Q386" s="8"/>
      <c r="R386" s="8"/>
      <c r="S386" s="8"/>
      <c r="T386" s="8"/>
      <c r="U386" s="8"/>
      <c r="V386" s="8"/>
      <c r="W386" s="8"/>
      <c r="X386" s="8"/>
      <c r="Y386" s="8"/>
      <c r="Z386" s="8"/>
    </row>
    <row r="387">
      <c r="A387" s="8"/>
      <c r="B387" s="8"/>
      <c r="C387" s="8"/>
      <c r="D387" s="8"/>
      <c r="E387" s="8"/>
      <c r="F387" s="8"/>
      <c r="G387" s="8"/>
      <c r="H387" s="8"/>
      <c r="I387" s="8"/>
      <c r="J387" s="8"/>
      <c r="K387" s="8"/>
      <c r="L387" s="8"/>
      <c r="M387" s="8"/>
      <c r="N387" s="8"/>
      <c r="O387" s="8"/>
      <c r="P387" s="8"/>
      <c r="Q387" s="8"/>
      <c r="R387" s="8"/>
      <c r="S387" s="8"/>
      <c r="T387" s="8"/>
      <c r="U387" s="8"/>
      <c r="V387" s="8"/>
      <c r="W387" s="8"/>
      <c r="X387" s="8"/>
      <c r="Y387" s="8"/>
      <c r="Z387" s="8"/>
    </row>
    <row r="388">
      <c r="A388" s="8"/>
      <c r="B388" s="8"/>
      <c r="C388" s="8"/>
      <c r="D388" s="8"/>
      <c r="E388" s="8"/>
      <c r="F388" s="8"/>
      <c r="G388" s="8"/>
      <c r="H388" s="8"/>
      <c r="I388" s="8"/>
      <c r="J388" s="8"/>
      <c r="K388" s="8"/>
      <c r="L388" s="8"/>
      <c r="M388" s="8"/>
      <c r="N388" s="8"/>
      <c r="O388" s="8"/>
      <c r="P388" s="8"/>
      <c r="Q388" s="8"/>
      <c r="R388" s="8"/>
      <c r="S388" s="8"/>
      <c r="T388" s="8"/>
      <c r="U388" s="8"/>
      <c r="V388" s="8"/>
      <c r="W388" s="8"/>
      <c r="X388" s="8"/>
      <c r="Y388" s="8"/>
      <c r="Z388" s="8"/>
    </row>
    <row r="389">
      <c r="A389" s="8"/>
      <c r="B389" s="8"/>
      <c r="C389" s="8"/>
      <c r="D389" s="8"/>
      <c r="E389" s="8"/>
      <c r="F389" s="8"/>
      <c r="G389" s="8"/>
      <c r="H389" s="8"/>
      <c r="I389" s="8"/>
      <c r="J389" s="8"/>
      <c r="K389" s="8"/>
      <c r="L389" s="8"/>
      <c r="M389" s="8"/>
      <c r="N389" s="8"/>
      <c r="O389" s="8"/>
      <c r="P389" s="8"/>
      <c r="Q389" s="8"/>
      <c r="R389" s="8"/>
      <c r="S389" s="8"/>
      <c r="T389" s="8"/>
      <c r="U389" s="8"/>
      <c r="V389" s="8"/>
      <c r="W389" s="8"/>
      <c r="X389" s="8"/>
      <c r="Y389" s="8"/>
      <c r="Z389" s="8"/>
    </row>
    <row r="390">
      <c r="A390" s="8"/>
      <c r="B390" s="8"/>
      <c r="C390" s="8"/>
      <c r="D390" s="8"/>
      <c r="E390" s="8"/>
      <c r="F390" s="8"/>
      <c r="G390" s="8"/>
      <c r="H390" s="8"/>
      <c r="I390" s="8"/>
      <c r="J390" s="8"/>
      <c r="K390" s="8"/>
      <c r="L390" s="8"/>
      <c r="M390" s="8"/>
      <c r="N390" s="8"/>
      <c r="O390" s="8"/>
      <c r="P390" s="8"/>
      <c r="Q390" s="8"/>
      <c r="R390" s="8"/>
      <c r="S390" s="8"/>
      <c r="T390" s="8"/>
      <c r="U390" s="8"/>
      <c r="V390" s="8"/>
      <c r="W390" s="8"/>
      <c r="X390" s="8"/>
      <c r="Y390" s="8"/>
      <c r="Z390" s="8"/>
    </row>
    <row r="391">
      <c r="A391" s="8"/>
      <c r="B391" s="8"/>
      <c r="C391" s="8"/>
      <c r="D391" s="8"/>
      <c r="E391" s="8"/>
      <c r="F391" s="8"/>
      <c r="G391" s="8"/>
      <c r="H391" s="8"/>
      <c r="I391" s="8"/>
      <c r="J391" s="8"/>
      <c r="K391" s="8"/>
      <c r="L391" s="8"/>
      <c r="M391" s="8"/>
      <c r="N391" s="8"/>
      <c r="O391" s="8"/>
      <c r="P391" s="8"/>
      <c r="Q391" s="8"/>
      <c r="R391" s="8"/>
      <c r="S391" s="8"/>
      <c r="T391" s="8"/>
      <c r="U391" s="8"/>
      <c r="V391" s="8"/>
      <c r="W391" s="8"/>
      <c r="X391" s="8"/>
      <c r="Y391" s="8"/>
      <c r="Z391" s="8"/>
    </row>
    <row r="392">
      <c r="A392" s="8"/>
      <c r="B392" s="8"/>
      <c r="C392" s="8"/>
      <c r="D392" s="8"/>
      <c r="E392" s="8"/>
      <c r="F392" s="8"/>
      <c r="G392" s="8"/>
      <c r="H392" s="8"/>
      <c r="I392" s="8"/>
      <c r="J392" s="8"/>
      <c r="K392" s="8"/>
      <c r="L392" s="8"/>
      <c r="M392" s="8"/>
      <c r="N392" s="8"/>
      <c r="O392" s="8"/>
      <c r="P392" s="8"/>
      <c r="Q392" s="8"/>
      <c r="R392" s="8"/>
      <c r="S392" s="8"/>
      <c r="T392" s="8"/>
      <c r="U392" s="8"/>
      <c r="V392" s="8"/>
      <c r="W392" s="8"/>
      <c r="X392" s="8"/>
      <c r="Y392" s="8"/>
      <c r="Z392" s="8"/>
    </row>
    <row r="393">
      <c r="A393" s="8"/>
      <c r="B393" s="8"/>
      <c r="C393" s="8"/>
      <c r="D393" s="8"/>
      <c r="E393" s="8"/>
      <c r="F393" s="8"/>
      <c r="G393" s="8"/>
      <c r="H393" s="8"/>
      <c r="I393" s="8"/>
      <c r="J393" s="8"/>
      <c r="K393" s="8"/>
      <c r="L393" s="8"/>
      <c r="M393" s="8"/>
      <c r="N393" s="8"/>
      <c r="O393" s="8"/>
      <c r="P393" s="8"/>
      <c r="Q393" s="8"/>
      <c r="R393" s="8"/>
      <c r="S393" s="8"/>
      <c r="T393" s="8"/>
      <c r="U393" s="8"/>
      <c r="V393" s="8"/>
      <c r="W393" s="8"/>
      <c r="X393" s="8"/>
      <c r="Y393" s="8"/>
      <c r="Z393" s="8"/>
    </row>
    <row r="394">
      <c r="A394" s="8"/>
      <c r="B394" s="8"/>
      <c r="C394" s="8"/>
      <c r="D394" s="8"/>
      <c r="E394" s="8"/>
      <c r="F394" s="8"/>
      <c r="G394" s="8"/>
      <c r="H394" s="8"/>
      <c r="I394" s="8"/>
      <c r="J394" s="8"/>
      <c r="K394" s="8"/>
      <c r="L394" s="8"/>
      <c r="M394" s="8"/>
      <c r="N394" s="8"/>
      <c r="O394" s="8"/>
      <c r="P394" s="8"/>
      <c r="Q394" s="8"/>
      <c r="R394" s="8"/>
      <c r="S394" s="8"/>
      <c r="T394" s="8"/>
      <c r="U394" s="8"/>
      <c r="V394" s="8"/>
      <c r="W394" s="8"/>
      <c r="X394" s="8"/>
      <c r="Y394" s="8"/>
      <c r="Z394" s="8"/>
    </row>
    <row r="395">
      <c r="A395" s="8"/>
      <c r="B395" s="8"/>
      <c r="C395" s="8"/>
      <c r="D395" s="8"/>
      <c r="E395" s="8"/>
      <c r="F395" s="8"/>
      <c r="G395" s="8"/>
      <c r="H395" s="8"/>
      <c r="I395" s="8"/>
      <c r="J395" s="8"/>
      <c r="K395" s="8"/>
      <c r="L395" s="8"/>
      <c r="M395" s="8"/>
      <c r="N395" s="8"/>
      <c r="O395" s="8"/>
      <c r="P395" s="8"/>
      <c r="Q395" s="8"/>
      <c r="R395" s="8"/>
      <c r="S395" s="8"/>
      <c r="T395" s="8"/>
      <c r="U395" s="8"/>
      <c r="V395" s="8"/>
      <c r="W395" s="8"/>
      <c r="X395" s="8"/>
      <c r="Y395" s="8"/>
      <c r="Z395" s="8"/>
    </row>
    <row r="396">
      <c r="A396" s="8"/>
      <c r="B396" s="8"/>
      <c r="C396" s="8"/>
      <c r="D396" s="8"/>
      <c r="E396" s="8"/>
      <c r="F396" s="8"/>
      <c r="G396" s="8"/>
      <c r="H396" s="8"/>
      <c r="I396" s="8"/>
      <c r="J396" s="8"/>
      <c r="K396" s="8"/>
      <c r="L396" s="8"/>
      <c r="M396" s="8"/>
      <c r="N396" s="8"/>
      <c r="O396" s="8"/>
      <c r="P396" s="8"/>
      <c r="Q396" s="8"/>
      <c r="R396" s="8"/>
      <c r="S396" s="8"/>
      <c r="T396" s="8"/>
      <c r="U396" s="8"/>
      <c r="V396" s="8"/>
      <c r="W396" s="8"/>
      <c r="X396" s="8"/>
      <c r="Y396" s="8"/>
      <c r="Z396" s="8"/>
    </row>
    <row r="397">
      <c r="A397" s="8"/>
      <c r="B397" s="8"/>
      <c r="C397" s="8"/>
      <c r="D397" s="8"/>
      <c r="E397" s="8"/>
      <c r="F397" s="8"/>
      <c r="G397" s="8"/>
      <c r="H397" s="8"/>
      <c r="I397" s="8"/>
      <c r="J397" s="8"/>
      <c r="K397" s="8"/>
      <c r="L397" s="8"/>
      <c r="M397" s="8"/>
      <c r="N397" s="8"/>
      <c r="O397" s="8"/>
      <c r="P397" s="8"/>
      <c r="Q397" s="8"/>
      <c r="R397" s="8"/>
      <c r="S397" s="8"/>
      <c r="T397" s="8"/>
      <c r="U397" s="8"/>
      <c r="V397" s="8"/>
      <c r="W397" s="8"/>
      <c r="X397" s="8"/>
      <c r="Y397" s="8"/>
      <c r="Z397" s="8"/>
    </row>
    <row r="398">
      <c r="A398" s="8"/>
      <c r="B398" s="8"/>
      <c r="C398" s="8"/>
      <c r="D398" s="8"/>
      <c r="E398" s="8"/>
      <c r="F398" s="8"/>
      <c r="G398" s="8"/>
      <c r="H398" s="8"/>
      <c r="I398" s="8"/>
      <c r="J398" s="8"/>
      <c r="K398" s="8"/>
      <c r="L398" s="8"/>
      <c r="M398" s="8"/>
      <c r="N398" s="8"/>
      <c r="O398" s="8"/>
      <c r="P398" s="8"/>
      <c r="Q398" s="8"/>
      <c r="R398" s="8"/>
      <c r="S398" s="8"/>
      <c r="T398" s="8"/>
      <c r="U398" s="8"/>
      <c r="V398" s="8"/>
      <c r="W398" s="8"/>
      <c r="X398" s="8"/>
      <c r="Y398" s="8"/>
      <c r="Z398" s="8"/>
    </row>
    <row r="399">
      <c r="A399" s="8"/>
      <c r="B399" s="8"/>
      <c r="C399" s="8"/>
      <c r="D399" s="8"/>
      <c r="E399" s="8"/>
      <c r="F399" s="8"/>
      <c r="G399" s="8"/>
      <c r="H399" s="8"/>
      <c r="I399" s="8"/>
      <c r="J399" s="8"/>
      <c r="K399" s="8"/>
      <c r="L399" s="8"/>
      <c r="M399" s="8"/>
      <c r="N399" s="8"/>
      <c r="O399" s="8"/>
      <c r="P399" s="8"/>
      <c r="Q399" s="8"/>
      <c r="R399" s="8"/>
      <c r="S399" s="8"/>
      <c r="T399" s="8"/>
      <c r="U399" s="8"/>
      <c r="V399" s="8"/>
      <c r="W399" s="8"/>
      <c r="X399" s="8"/>
      <c r="Y399" s="8"/>
      <c r="Z399" s="8"/>
    </row>
    <row r="400">
      <c r="A400" s="8"/>
      <c r="B400" s="8"/>
      <c r="C400" s="8"/>
      <c r="D400" s="8"/>
      <c r="E400" s="8"/>
      <c r="F400" s="8"/>
      <c r="G400" s="8"/>
      <c r="H400" s="8"/>
      <c r="I400" s="8"/>
      <c r="J400" s="8"/>
      <c r="K400" s="8"/>
      <c r="L400" s="8"/>
      <c r="M400" s="8"/>
      <c r="N400" s="8"/>
      <c r="O400" s="8"/>
      <c r="P400" s="8"/>
      <c r="Q400" s="8"/>
      <c r="R400" s="8"/>
      <c r="S400" s="8"/>
      <c r="T400" s="8"/>
      <c r="U400" s="8"/>
      <c r="V400" s="8"/>
      <c r="W400" s="8"/>
      <c r="X400" s="8"/>
      <c r="Y400" s="8"/>
      <c r="Z400" s="8"/>
    </row>
    <row r="401">
      <c r="A401" s="8"/>
      <c r="B401" s="8"/>
      <c r="C401" s="8"/>
      <c r="D401" s="8"/>
      <c r="E401" s="8"/>
      <c r="F401" s="8"/>
      <c r="G401" s="8"/>
      <c r="H401" s="8"/>
      <c r="I401" s="8"/>
      <c r="J401" s="8"/>
      <c r="K401" s="8"/>
      <c r="L401" s="8"/>
      <c r="M401" s="8"/>
      <c r="N401" s="8"/>
      <c r="O401" s="8"/>
      <c r="P401" s="8"/>
      <c r="Q401" s="8"/>
      <c r="R401" s="8"/>
      <c r="S401" s="8"/>
      <c r="T401" s="8"/>
      <c r="U401" s="8"/>
      <c r="V401" s="8"/>
      <c r="W401" s="8"/>
      <c r="X401" s="8"/>
      <c r="Y401" s="8"/>
      <c r="Z401" s="8"/>
    </row>
    <row r="402">
      <c r="A402" s="8"/>
      <c r="B402" s="8"/>
      <c r="C402" s="8"/>
      <c r="D402" s="8"/>
      <c r="E402" s="8"/>
      <c r="F402" s="8"/>
      <c r="G402" s="8"/>
      <c r="H402" s="8"/>
      <c r="I402" s="8"/>
      <c r="J402" s="8"/>
      <c r="K402" s="8"/>
      <c r="L402" s="8"/>
      <c r="M402" s="8"/>
      <c r="N402" s="8"/>
      <c r="O402" s="8"/>
      <c r="P402" s="8"/>
      <c r="Q402" s="8"/>
      <c r="R402" s="8"/>
      <c r="S402" s="8"/>
      <c r="T402" s="8"/>
      <c r="U402" s="8"/>
      <c r="V402" s="8"/>
      <c r="W402" s="8"/>
      <c r="X402" s="8"/>
      <c r="Y402" s="8"/>
      <c r="Z402" s="8"/>
    </row>
    <row r="403">
      <c r="A403" s="8"/>
      <c r="B403" s="8"/>
      <c r="C403" s="8"/>
      <c r="D403" s="8"/>
      <c r="E403" s="8"/>
      <c r="F403" s="8"/>
      <c r="G403" s="8"/>
      <c r="H403" s="8"/>
      <c r="I403" s="8"/>
      <c r="J403" s="8"/>
      <c r="K403" s="8"/>
      <c r="L403" s="8"/>
      <c r="M403" s="8"/>
      <c r="N403" s="8"/>
      <c r="O403" s="8"/>
      <c r="P403" s="8"/>
      <c r="Q403" s="8"/>
      <c r="R403" s="8"/>
      <c r="S403" s="8"/>
      <c r="T403" s="8"/>
      <c r="U403" s="8"/>
      <c r="V403" s="8"/>
      <c r="W403" s="8"/>
      <c r="X403" s="8"/>
      <c r="Y403" s="8"/>
      <c r="Z403" s="8"/>
    </row>
    <row r="404">
      <c r="A404" s="8"/>
      <c r="B404" s="8"/>
      <c r="C404" s="8"/>
      <c r="D404" s="8"/>
      <c r="E404" s="8"/>
      <c r="F404" s="8"/>
      <c r="G404" s="8"/>
      <c r="H404" s="8"/>
      <c r="I404" s="8"/>
      <c r="J404" s="8"/>
      <c r="K404" s="8"/>
      <c r="L404" s="8"/>
      <c r="M404" s="8"/>
      <c r="N404" s="8"/>
      <c r="O404" s="8"/>
      <c r="P404" s="8"/>
      <c r="Q404" s="8"/>
      <c r="R404" s="8"/>
      <c r="S404" s="8"/>
      <c r="T404" s="8"/>
      <c r="U404" s="8"/>
      <c r="V404" s="8"/>
      <c r="W404" s="8"/>
      <c r="X404" s="8"/>
      <c r="Y404" s="8"/>
      <c r="Z404" s="8"/>
    </row>
    <row r="405">
      <c r="A405" s="8"/>
      <c r="B405" s="8"/>
      <c r="C405" s="8"/>
      <c r="D405" s="8"/>
      <c r="E405" s="8"/>
      <c r="F405" s="8"/>
      <c r="G405" s="8"/>
      <c r="H405" s="8"/>
      <c r="I405" s="8"/>
      <c r="J405" s="8"/>
      <c r="K405" s="8"/>
      <c r="L405" s="8"/>
      <c r="M405" s="8"/>
      <c r="N405" s="8"/>
      <c r="O405" s="8"/>
      <c r="P405" s="8"/>
      <c r="Q405" s="8"/>
      <c r="R405" s="8"/>
      <c r="S405" s="8"/>
      <c r="T405" s="8"/>
      <c r="U405" s="8"/>
      <c r="V405" s="8"/>
      <c r="W405" s="8"/>
      <c r="X405" s="8"/>
      <c r="Y405" s="8"/>
      <c r="Z405" s="8"/>
    </row>
    <row r="406">
      <c r="A406" s="8"/>
      <c r="B406" s="8"/>
      <c r="C406" s="8"/>
      <c r="D406" s="8"/>
      <c r="E406" s="8"/>
      <c r="F406" s="8"/>
      <c r="G406" s="8"/>
      <c r="H406" s="8"/>
      <c r="I406" s="8"/>
      <c r="J406" s="8"/>
      <c r="K406" s="8"/>
      <c r="L406" s="8"/>
      <c r="M406" s="8"/>
      <c r="N406" s="8"/>
      <c r="O406" s="8"/>
      <c r="P406" s="8"/>
      <c r="Q406" s="8"/>
      <c r="R406" s="8"/>
      <c r="S406" s="8"/>
      <c r="T406" s="8"/>
      <c r="U406" s="8"/>
      <c r="V406" s="8"/>
      <c r="W406" s="8"/>
      <c r="X406" s="8"/>
      <c r="Y406" s="8"/>
      <c r="Z406" s="8"/>
    </row>
    <row r="407">
      <c r="A407" s="8"/>
      <c r="B407" s="8"/>
      <c r="C407" s="8"/>
      <c r="D407" s="8"/>
      <c r="E407" s="8"/>
      <c r="F407" s="8"/>
      <c r="G407" s="8"/>
      <c r="H407" s="8"/>
      <c r="I407" s="8"/>
      <c r="J407" s="8"/>
      <c r="K407" s="8"/>
      <c r="L407" s="8"/>
      <c r="M407" s="8"/>
      <c r="N407" s="8"/>
      <c r="O407" s="8"/>
      <c r="P407" s="8"/>
      <c r="Q407" s="8"/>
      <c r="R407" s="8"/>
      <c r="S407" s="8"/>
      <c r="T407" s="8"/>
      <c r="U407" s="8"/>
      <c r="V407" s="8"/>
      <c r="W407" s="8"/>
      <c r="X407" s="8"/>
      <c r="Y407" s="8"/>
      <c r="Z407" s="8"/>
    </row>
    <row r="408">
      <c r="A408" s="8"/>
      <c r="B408" s="8"/>
      <c r="C408" s="8"/>
      <c r="D408" s="8"/>
      <c r="E408" s="8"/>
      <c r="F408" s="8"/>
      <c r="G408" s="8"/>
      <c r="H408" s="8"/>
      <c r="I408" s="8"/>
      <c r="J408" s="8"/>
      <c r="K408" s="8"/>
      <c r="L408" s="8"/>
      <c r="M408" s="8"/>
      <c r="N408" s="8"/>
      <c r="O408" s="8"/>
      <c r="P408" s="8"/>
      <c r="Q408" s="8"/>
      <c r="R408" s="8"/>
      <c r="S408" s="8"/>
      <c r="T408" s="8"/>
      <c r="U408" s="8"/>
      <c r="V408" s="8"/>
      <c r="W408" s="8"/>
      <c r="X408" s="8"/>
      <c r="Y408" s="8"/>
      <c r="Z408" s="8"/>
    </row>
    <row r="409">
      <c r="A409" s="8"/>
      <c r="B409" s="8"/>
      <c r="C409" s="8"/>
      <c r="D409" s="8"/>
      <c r="E409" s="8"/>
      <c r="F409" s="8"/>
      <c r="G409" s="8"/>
      <c r="H409" s="8"/>
      <c r="I409" s="8"/>
      <c r="J409" s="8"/>
      <c r="K409" s="8"/>
      <c r="L409" s="8"/>
      <c r="M409" s="8"/>
      <c r="N409" s="8"/>
      <c r="O409" s="8"/>
      <c r="P409" s="8"/>
      <c r="Q409" s="8"/>
      <c r="R409" s="8"/>
      <c r="S409" s="8"/>
      <c r="T409" s="8"/>
      <c r="U409" s="8"/>
      <c r="V409" s="8"/>
      <c r="W409" s="8"/>
      <c r="X409" s="8"/>
      <c r="Y409" s="8"/>
      <c r="Z409" s="8"/>
    </row>
    <row r="410">
      <c r="A410" s="8"/>
      <c r="B410" s="8"/>
      <c r="C410" s="8"/>
      <c r="D410" s="8"/>
      <c r="E410" s="8"/>
      <c r="F410" s="8"/>
      <c r="G410" s="8"/>
      <c r="H410" s="8"/>
      <c r="I410" s="8"/>
      <c r="J410" s="8"/>
      <c r="K410" s="8"/>
      <c r="L410" s="8"/>
      <c r="M410" s="8"/>
      <c r="N410" s="8"/>
      <c r="O410" s="8"/>
      <c r="P410" s="8"/>
      <c r="Q410" s="8"/>
      <c r="R410" s="8"/>
      <c r="S410" s="8"/>
      <c r="T410" s="8"/>
      <c r="U410" s="8"/>
      <c r="V410" s="8"/>
      <c r="W410" s="8"/>
      <c r="X410" s="8"/>
      <c r="Y410" s="8"/>
      <c r="Z410" s="8"/>
    </row>
    <row r="411">
      <c r="A411" s="8"/>
      <c r="B411" s="8"/>
      <c r="C411" s="8"/>
      <c r="D411" s="8"/>
      <c r="E411" s="8"/>
      <c r="F411" s="8"/>
      <c r="G411" s="8"/>
      <c r="H411" s="8"/>
      <c r="I411" s="8"/>
      <c r="J411" s="8"/>
      <c r="K411" s="8"/>
      <c r="L411" s="8"/>
      <c r="M411" s="8"/>
      <c r="N411" s="8"/>
      <c r="O411" s="8"/>
      <c r="P411" s="8"/>
      <c r="Q411" s="8"/>
      <c r="R411" s="8"/>
      <c r="S411" s="8"/>
      <c r="T411" s="8"/>
      <c r="U411" s="8"/>
      <c r="V411" s="8"/>
      <c r="W411" s="8"/>
      <c r="X411" s="8"/>
      <c r="Y411" s="8"/>
      <c r="Z411" s="8"/>
    </row>
    <row r="412">
      <c r="A412" s="8"/>
      <c r="B412" s="8"/>
      <c r="C412" s="8"/>
      <c r="D412" s="8"/>
      <c r="E412" s="8"/>
      <c r="F412" s="8"/>
      <c r="G412" s="8"/>
      <c r="H412" s="8"/>
      <c r="I412" s="8"/>
      <c r="J412" s="8"/>
      <c r="K412" s="8"/>
      <c r="L412" s="8"/>
      <c r="M412" s="8"/>
      <c r="N412" s="8"/>
      <c r="O412" s="8"/>
      <c r="P412" s="8"/>
      <c r="Q412" s="8"/>
      <c r="R412" s="8"/>
      <c r="S412" s="8"/>
      <c r="T412" s="8"/>
      <c r="U412" s="8"/>
      <c r="V412" s="8"/>
      <c r="W412" s="8"/>
      <c r="X412" s="8"/>
      <c r="Y412" s="8"/>
      <c r="Z412" s="8"/>
    </row>
    <row r="413">
      <c r="A413" s="8"/>
      <c r="B413" s="8"/>
      <c r="C413" s="8"/>
      <c r="D413" s="8"/>
      <c r="E413" s="8"/>
      <c r="F413" s="8"/>
      <c r="G413" s="8"/>
      <c r="H413" s="8"/>
      <c r="I413" s="8"/>
      <c r="J413" s="8"/>
      <c r="K413" s="8"/>
      <c r="L413" s="8"/>
      <c r="M413" s="8"/>
      <c r="N413" s="8"/>
      <c r="O413" s="8"/>
      <c r="P413" s="8"/>
      <c r="Q413" s="8"/>
      <c r="R413" s="8"/>
      <c r="S413" s="8"/>
      <c r="T413" s="8"/>
      <c r="U413" s="8"/>
      <c r="V413" s="8"/>
      <c r="W413" s="8"/>
      <c r="X413" s="8"/>
      <c r="Y413" s="8"/>
      <c r="Z413" s="8"/>
    </row>
    <row r="414">
      <c r="A414" s="8"/>
      <c r="B414" s="8"/>
      <c r="C414" s="8"/>
      <c r="D414" s="8"/>
      <c r="E414" s="8"/>
      <c r="F414" s="8"/>
      <c r="G414" s="8"/>
      <c r="H414" s="8"/>
      <c r="I414" s="8"/>
      <c r="J414" s="8"/>
      <c r="K414" s="8"/>
      <c r="L414" s="8"/>
      <c r="M414" s="8"/>
      <c r="N414" s="8"/>
      <c r="O414" s="8"/>
      <c r="P414" s="8"/>
      <c r="Q414" s="8"/>
      <c r="R414" s="8"/>
      <c r="S414" s="8"/>
      <c r="T414" s="8"/>
      <c r="U414" s="8"/>
      <c r="V414" s="8"/>
      <c r="W414" s="8"/>
      <c r="X414" s="8"/>
      <c r="Y414" s="8"/>
      <c r="Z414" s="8"/>
    </row>
    <row r="415">
      <c r="A415" s="8"/>
      <c r="B415" s="8"/>
      <c r="C415" s="8"/>
      <c r="D415" s="8"/>
      <c r="E415" s="8"/>
      <c r="F415" s="8"/>
      <c r="G415" s="8"/>
      <c r="H415" s="8"/>
      <c r="I415" s="8"/>
      <c r="J415" s="8"/>
      <c r="K415" s="8"/>
      <c r="L415" s="8"/>
      <c r="M415" s="8"/>
      <c r="N415" s="8"/>
      <c r="O415" s="8"/>
      <c r="P415" s="8"/>
      <c r="Q415" s="8"/>
      <c r="R415" s="8"/>
      <c r="S415" s="8"/>
      <c r="T415" s="8"/>
      <c r="U415" s="8"/>
      <c r="V415" s="8"/>
      <c r="W415" s="8"/>
      <c r="X415" s="8"/>
      <c r="Y415" s="8"/>
      <c r="Z415" s="8"/>
    </row>
    <row r="416">
      <c r="A416" s="8"/>
      <c r="B416" s="8"/>
      <c r="C416" s="8"/>
      <c r="D416" s="8"/>
      <c r="E416" s="8"/>
      <c r="F416" s="8"/>
      <c r="G416" s="8"/>
      <c r="H416" s="8"/>
      <c r="I416" s="8"/>
      <c r="J416" s="8"/>
      <c r="K416" s="8"/>
      <c r="L416" s="8"/>
      <c r="M416" s="8"/>
      <c r="N416" s="8"/>
      <c r="O416" s="8"/>
      <c r="P416" s="8"/>
      <c r="Q416" s="8"/>
      <c r="R416" s="8"/>
      <c r="S416" s="8"/>
      <c r="T416" s="8"/>
      <c r="U416" s="8"/>
      <c r="V416" s="8"/>
      <c r="W416" s="8"/>
      <c r="X416" s="8"/>
      <c r="Y416" s="8"/>
      <c r="Z416" s="8"/>
    </row>
    <row r="417">
      <c r="A417" s="8"/>
      <c r="B417" s="8"/>
      <c r="C417" s="8"/>
      <c r="D417" s="8"/>
      <c r="E417" s="8"/>
      <c r="F417" s="8"/>
      <c r="G417" s="8"/>
      <c r="H417" s="8"/>
      <c r="I417" s="8"/>
      <c r="J417" s="8"/>
      <c r="K417" s="8"/>
      <c r="L417" s="8"/>
      <c r="M417" s="8"/>
      <c r="N417" s="8"/>
      <c r="O417" s="8"/>
      <c r="P417" s="8"/>
      <c r="Q417" s="8"/>
      <c r="R417" s="8"/>
      <c r="S417" s="8"/>
      <c r="T417" s="8"/>
      <c r="U417" s="8"/>
      <c r="V417" s="8"/>
      <c r="W417" s="8"/>
      <c r="X417" s="8"/>
      <c r="Y417" s="8"/>
      <c r="Z417" s="8"/>
    </row>
    <row r="418">
      <c r="A418" s="8"/>
      <c r="B418" s="8"/>
      <c r="C418" s="8"/>
      <c r="D418" s="8"/>
      <c r="E418" s="8"/>
      <c r="F418" s="8"/>
      <c r="G418" s="8"/>
      <c r="H418" s="8"/>
      <c r="I418" s="8"/>
      <c r="J418" s="8"/>
      <c r="K418" s="8"/>
      <c r="L418" s="8"/>
      <c r="M418" s="8"/>
      <c r="N418" s="8"/>
      <c r="O418" s="8"/>
      <c r="P418" s="8"/>
      <c r="Q418" s="8"/>
      <c r="R418" s="8"/>
      <c r="S418" s="8"/>
      <c r="T418" s="8"/>
      <c r="U418" s="8"/>
      <c r="V418" s="8"/>
      <c r="W418" s="8"/>
      <c r="X418" s="8"/>
      <c r="Y418" s="8"/>
      <c r="Z418" s="8"/>
    </row>
    <row r="419">
      <c r="A419" s="8"/>
      <c r="B419" s="8"/>
      <c r="C419" s="8"/>
      <c r="D419" s="8"/>
      <c r="E419" s="8"/>
      <c r="F419" s="8"/>
      <c r="G419" s="8"/>
      <c r="H419" s="8"/>
      <c r="I419" s="8"/>
      <c r="J419" s="8"/>
      <c r="K419" s="8"/>
      <c r="L419" s="8"/>
      <c r="M419" s="8"/>
      <c r="N419" s="8"/>
      <c r="O419" s="8"/>
      <c r="P419" s="8"/>
      <c r="Q419" s="8"/>
      <c r="R419" s="8"/>
      <c r="S419" s="8"/>
      <c r="T419" s="8"/>
      <c r="U419" s="8"/>
      <c r="V419" s="8"/>
      <c r="W419" s="8"/>
      <c r="X419" s="8"/>
      <c r="Y419" s="8"/>
      <c r="Z419" s="8"/>
    </row>
    <row r="420">
      <c r="A420" s="8"/>
      <c r="B420" s="8"/>
      <c r="C420" s="8"/>
      <c r="D420" s="8"/>
      <c r="E420" s="8"/>
      <c r="F420" s="8"/>
      <c r="G420" s="8"/>
      <c r="H420" s="8"/>
      <c r="I420" s="8"/>
      <c r="J420" s="8"/>
      <c r="K420" s="8"/>
      <c r="L420" s="8"/>
      <c r="M420" s="8"/>
      <c r="N420" s="8"/>
      <c r="O420" s="8"/>
      <c r="P420" s="8"/>
      <c r="Q420" s="8"/>
      <c r="R420" s="8"/>
      <c r="S420" s="8"/>
      <c r="T420" s="8"/>
      <c r="U420" s="8"/>
      <c r="V420" s="8"/>
      <c r="W420" s="8"/>
      <c r="X420" s="8"/>
      <c r="Y420" s="8"/>
      <c r="Z420" s="8"/>
    </row>
    <row r="421">
      <c r="A421" s="8"/>
      <c r="B421" s="8"/>
      <c r="C421" s="8"/>
      <c r="D421" s="8"/>
      <c r="E421" s="8"/>
      <c r="F421" s="8"/>
      <c r="G421" s="8"/>
      <c r="H421" s="8"/>
      <c r="I421" s="8"/>
      <c r="J421" s="8"/>
      <c r="K421" s="8"/>
      <c r="L421" s="8"/>
      <c r="M421" s="8"/>
      <c r="N421" s="8"/>
      <c r="O421" s="8"/>
      <c r="P421" s="8"/>
      <c r="Q421" s="8"/>
      <c r="R421" s="8"/>
      <c r="S421" s="8"/>
      <c r="T421" s="8"/>
      <c r="U421" s="8"/>
      <c r="V421" s="8"/>
      <c r="W421" s="8"/>
      <c r="X421" s="8"/>
      <c r="Y421" s="8"/>
      <c r="Z421" s="8"/>
    </row>
    <row r="422">
      <c r="A422" s="8"/>
      <c r="B422" s="8"/>
      <c r="C422" s="8"/>
      <c r="D422" s="8"/>
      <c r="E422" s="8"/>
      <c r="F422" s="8"/>
      <c r="G422" s="8"/>
      <c r="H422" s="8"/>
      <c r="I422" s="8"/>
      <c r="J422" s="8"/>
      <c r="K422" s="8"/>
      <c r="L422" s="8"/>
      <c r="M422" s="8"/>
      <c r="N422" s="8"/>
      <c r="O422" s="8"/>
      <c r="P422" s="8"/>
      <c r="Q422" s="8"/>
      <c r="R422" s="8"/>
      <c r="S422" s="8"/>
      <c r="T422" s="8"/>
      <c r="U422" s="8"/>
      <c r="V422" s="8"/>
      <c r="W422" s="8"/>
      <c r="X422" s="8"/>
      <c r="Y422" s="8"/>
      <c r="Z422" s="8"/>
    </row>
    <row r="423">
      <c r="A423" s="8"/>
      <c r="B423" s="8"/>
      <c r="C423" s="8"/>
      <c r="D423" s="8"/>
      <c r="E423" s="8"/>
      <c r="F423" s="8"/>
      <c r="G423" s="8"/>
      <c r="H423" s="8"/>
      <c r="I423" s="8"/>
      <c r="J423" s="8"/>
      <c r="K423" s="8"/>
      <c r="L423" s="8"/>
      <c r="M423" s="8"/>
      <c r="N423" s="8"/>
      <c r="O423" s="8"/>
      <c r="P423" s="8"/>
      <c r="Q423" s="8"/>
      <c r="R423" s="8"/>
      <c r="S423" s="8"/>
      <c r="T423" s="8"/>
      <c r="U423" s="8"/>
      <c r="V423" s="8"/>
      <c r="W423" s="8"/>
      <c r="X423" s="8"/>
      <c r="Y423" s="8"/>
      <c r="Z423" s="8"/>
    </row>
    <row r="424">
      <c r="A424" s="8"/>
      <c r="B424" s="8"/>
      <c r="C424" s="8"/>
      <c r="D424" s="8"/>
      <c r="E424" s="8"/>
      <c r="F424" s="8"/>
      <c r="G424" s="8"/>
      <c r="H424" s="8"/>
      <c r="I424" s="8"/>
      <c r="J424" s="8"/>
      <c r="K424" s="8"/>
      <c r="L424" s="8"/>
      <c r="M424" s="8"/>
      <c r="N424" s="8"/>
      <c r="O424" s="8"/>
      <c r="P424" s="8"/>
      <c r="Q424" s="8"/>
      <c r="R424" s="8"/>
      <c r="S424" s="8"/>
      <c r="T424" s="8"/>
      <c r="U424" s="8"/>
      <c r="V424" s="8"/>
      <c r="W424" s="8"/>
      <c r="X424" s="8"/>
      <c r="Y424" s="8"/>
      <c r="Z424" s="8"/>
    </row>
    <row r="425">
      <c r="A425" s="8"/>
      <c r="B425" s="8"/>
      <c r="C425" s="8"/>
      <c r="D425" s="8"/>
      <c r="E425" s="8"/>
      <c r="F425" s="8"/>
      <c r="G425" s="8"/>
      <c r="H425" s="8"/>
      <c r="I425" s="8"/>
      <c r="J425" s="8"/>
      <c r="K425" s="8"/>
      <c r="L425" s="8"/>
      <c r="M425" s="8"/>
      <c r="N425" s="8"/>
      <c r="O425" s="8"/>
      <c r="P425" s="8"/>
      <c r="Q425" s="8"/>
      <c r="R425" s="8"/>
      <c r="S425" s="8"/>
      <c r="T425" s="8"/>
      <c r="U425" s="8"/>
      <c r="V425" s="8"/>
      <c r="W425" s="8"/>
      <c r="X425" s="8"/>
      <c r="Y425" s="8"/>
      <c r="Z425" s="8"/>
    </row>
    <row r="426">
      <c r="A426" s="8"/>
      <c r="B426" s="8"/>
      <c r="C426" s="8"/>
      <c r="D426" s="8"/>
      <c r="E426" s="8"/>
      <c r="F426" s="8"/>
      <c r="G426" s="8"/>
      <c r="H426" s="8"/>
      <c r="I426" s="8"/>
      <c r="J426" s="8"/>
      <c r="K426" s="8"/>
      <c r="L426" s="8"/>
      <c r="M426" s="8"/>
      <c r="N426" s="8"/>
      <c r="O426" s="8"/>
      <c r="P426" s="8"/>
      <c r="Q426" s="8"/>
      <c r="R426" s="8"/>
      <c r="S426" s="8"/>
      <c r="T426" s="8"/>
      <c r="U426" s="8"/>
      <c r="V426" s="8"/>
      <c r="W426" s="8"/>
      <c r="X426" s="8"/>
      <c r="Y426" s="8"/>
      <c r="Z426" s="8"/>
    </row>
    <row r="427">
      <c r="A427" s="8"/>
      <c r="B427" s="8"/>
      <c r="C427" s="8"/>
      <c r="D427" s="8"/>
      <c r="E427" s="8"/>
      <c r="F427" s="8"/>
      <c r="G427" s="8"/>
      <c r="H427" s="8"/>
      <c r="I427" s="8"/>
      <c r="J427" s="8"/>
      <c r="K427" s="8"/>
      <c r="L427" s="8"/>
      <c r="M427" s="8"/>
      <c r="N427" s="8"/>
      <c r="O427" s="8"/>
      <c r="P427" s="8"/>
      <c r="Q427" s="8"/>
      <c r="R427" s="8"/>
      <c r="S427" s="8"/>
      <c r="T427" s="8"/>
      <c r="U427" s="8"/>
      <c r="V427" s="8"/>
      <c r="W427" s="8"/>
      <c r="X427" s="8"/>
      <c r="Y427" s="8"/>
      <c r="Z427" s="8"/>
    </row>
    <row r="428">
      <c r="A428" s="8"/>
      <c r="B428" s="8"/>
      <c r="C428" s="8"/>
      <c r="D428" s="8"/>
      <c r="E428" s="8"/>
      <c r="F428" s="8"/>
      <c r="G428" s="8"/>
      <c r="H428" s="8"/>
      <c r="I428" s="8"/>
      <c r="J428" s="8"/>
      <c r="K428" s="8"/>
      <c r="L428" s="8"/>
      <c r="M428" s="8"/>
      <c r="N428" s="8"/>
      <c r="O428" s="8"/>
      <c r="P428" s="8"/>
      <c r="Q428" s="8"/>
      <c r="R428" s="8"/>
      <c r="S428" s="8"/>
      <c r="T428" s="8"/>
      <c r="U428" s="8"/>
      <c r="V428" s="8"/>
      <c r="W428" s="8"/>
      <c r="X428" s="8"/>
      <c r="Y428" s="8"/>
      <c r="Z428" s="8"/>
    </row>
    <row r="429">
      <c r="A429" s="8"/>
      <c r="B429" s="8"/>
      <c r="C429" s="8"/>
      <c r="D429" s="8"/>
      <c r="E429" s="8"/>
      <c r="F429" s="8"/>
      <c r="G429" s="8"/>
      <c r="H429" s="8"/>
      <c r="I429" s="8"/>
      <c r="J429" s="8"/>
      <c r="K429" s="8"/>
      <c r="L429" s="8"/>
      <c r="M429" s="8"/>
      <c r="N429" s="8"/>
      <c r="O429" s="8"/>
      <c r="P429" s="8"/>
      <c r="Q429" s="8"/>
      <c r="R429" s="8"/>
      <c r="S429" s="8"/>
      <c r="T429" s="8"/>
      <c r="U429" s="8"/>
      <c r="V429" s="8"/>
      <c r="W429" s="8"/>
      <c r="X429" s="8"/>
      <c r="Y429" s="8"/>
      <c r="Z429" s="8"/>
    </row>
    <row r="430">
      <c r="A430" s="8"/>
      <c r="B430" s="8"/>
      <c r="C430" s="8"/>
      <c r="D430" s="8"/>
      <c r="E430" s="8"/>
      <c r="F430" s="8"/>
      <c r="G430" s="8"/>
      <c r="H430" s="8"/>
      <c r="I430" s="8"/>
      <c r="J430" s="8"/>
      <c r="K430" s="8"/>
      <c r="L430" s="8"/>
      <c r="M430" s="8"/>
      <c r="N430" s="8"/>
      <c r="O430" s="8"/>
      <c r="P430" s="8"/>
      <c r="Q430" s="8"/>
      <c r="R430" s="8"/>
      <c r="S430" s="8"/>
      <c r="T430" s="8"/>
      <c r="U430" s="8"/>
      <c r="V430" s="8"/>
      <c r="W430" s="8"/>
      <c r="X430" s="8"/>
      <c r="Y430" s="8"/>
      <c r="Z430" s="8"/>
    </row>
    <row r="431">
      <c r="A431" s="8"/>
      <c r="B431" s="8"/>
      <c r="C431" s="8"/>
      <c r="D431" s="8"/>
      <c r="E431" s="8"/>
      <c r="F431" s="8"/>
      <c r="G431" s="8"/>
      <c r="H431" s="8"/>
      <c r="I431" s="8"/>
      <c r="J431" s="8"/>
      <c r="K431" s="8"/>
      <c r="L431" s="8"/>
      <c r="M431" s="8"/>
      <c r="N431" s="8"/>
      <c r="O431" s="8"/>
      <c r="P431" s="8"/>
      <c r="Q431" s="8"/>
      <c r="R431" s="8"/>
      <c r="S431" s="8"/>
      <c r="T431" s="8"/>
      <c r="U431" s="8"/>
      <c r="V431" s="8"/>
      <c r="W431" s="8"/>
      <c r="X431" s="8"/>
      <c r="Y431" s="8"/>
      <c r="Z431" s="8"/>
    </row>
    <row r="432">
      <c r="A432" s="8"/>
      <c r="B432" s="8"/>
      <c r="C432" s="8"/>
      <c r="D432" s="8"/>
      <c r="E432" s="8"/>
      <c r="F432" s="8"/>
      <c r="G432" s="8"/>
      <c r="H432" s="8"/>
      <c r="I432" s="8"/>
      <c r="J432" s="8"/>
      <c r="K432" s="8"/>
      <c r="L432" s="8"/>
      <c r="M432" s="8"/>
      <c r="N432" s="8"/>
      <c r="O432" s="8"/>
      <c r="P432" s="8"/>
      <c r="Q432" s="8"/>
      <c r="R432" s="8"/>
      <c r="S432" s="8"/>
      <c r="T432" s="8"/>
      <c r="U432" s="8"/>
      <c r="V432" s="8"/>
      <c r="W432" s="8"/>
      <c r="X432" s="8"/>
      <c r="Y432" s="8"/>
      <c r="Z432" s="8"/>
    </row>
    <row r="433">
      <c r="A433" s="8"/>
      <c r="B433" s="8"/>
      <c r="C433" s="8"/>
      <c r="D433" s="8"/>
      <c r="E433" s="8"/>
      <c r="F433" s="8"/>
      <c r="G433" s="8"/>
      <c r="H433" s="8"/>
      <c r="I433" s="8"/>
      <c r="J433" s="8"/>
      <c r="K433" s="8"/>
      <c r="L433" s="8"/>
      <c r="M433" s="8"/>
      <c r="N433" s="8"/>
      <c r="O433" s="8"/>
      <c r="P433" s="8"/>
      <c r="Q433" s="8"/>
      <c r="R433" s="8"/>
      <c r="S433" s="8"/>
      <c r="T433" s="8"/>
      <c r="U433" s="8"/>
      <c r="V433" s="8"/>
      <c r="W433" s="8"/>
      <c r="X433" s="8"/>
      <c r="Y433" s="8"/>
      <c r="Z433" s="8"/>
    </row>
    <row r="434">
      <c r="A434" s="8"/>
      <c r="B434" s="8"/>
      <c r="C434" s="8"/>
      <c r="D434" s="8"/>
      <c r="E434" s="8"/>
      <c r="F434" s="8"/>
      <c r="G434" s="8"/>
      <c r="H434" s="8"/>
      <c r="I434" s="8"/>
      <c r="J434" s="8"/>
      <c r="K434" s="8"/>
      <c r="L434" s="8"/>
      <c r="M434" s="8"/>
      <c r="N434" s="8"/>
      <c r="O434" s="8"/>
      <c r="P434" s="8"/>
      <c r="Q434" s="8"/>
      <c r="R434" s="8"/>
      <c r="S434" s="8"/>
      <c r="T434" s="8"/>
      <c r="U434" s="8"/>
      <c r="V434" s="8"/>
      <c r="W434" s="8"/>
      <c r="X434" s="8"/>
      <c r="Y434" s="8"/>
      <c r="Z434" s="8"/>
    </row>
    <row r="435">
      <c r="A435" s="8"/>
      <c r="B435" s="8"/>
      <c r="C435" s="8"/>
      <c r="D435" s="8"/>
      <c r="E435" s="8"/>
      <c r="F435" s="8"/>
      <c r="G435" s="8"/>
      <c r="H435" s="8"/>
      <c r="I435" s="8"/>
      <c r="J435" s="8"/>
      <c r="K435" s="8"/>
      <c r="L435" s="8"/>
      <c r="M435" s="8"/>
      <c r="N435" s="8"/>
      <c r="O435" s="8"/>
      <c r="P435" s="8"/>
      <c r="Q435" s="8"/>
      <c r="R435" s="8"/>
      <c r="S435" s="8"/>
      <c r="T435" s="8"/>
      <c r="U435" s="8"/>
      <c r="V435" s="8"/>
      <c r="W435" s="8"/>
      <c r="X435" s="8"/>
      <c r="Y435" s="8"/>
      <c r="Z435" s="8"/>
    </row>
    <row r="436">
      <c r="A436" s="8"/>
      <c r="B436" s="8"/>
      <c r="C436" s="8"/>
      <c r="D436" s="8"/>
      <c r="E436" s="8"/>
      <c r="F436" s="8"/>
      <c r="G436" s="8"/>
      <c r="H436" s="8"/>
      <c r="I436" s="8"/>
      <c r="J436" s="8"/>
      <c r="K436" s="8"/>
      <c r="L436" s="8"/>
      <c r="M436" s="8"/>
      <c r="N436" s="8"/>
      <c r="O436" s="8"/>
      <c r="P436" s="8"/>
      <c r="Q436" s="8"/>
      <c r="R436" s="8"/>
      <c r="S436" s="8"/>
      <c r="T436" s="8"/>
      <c r="U436" s="8"/>
      <c r="V436" s="8"/>
      <c r="W436" s="8"/>
      <c r="X436" s="8"/>
      <c r="Y436" s="8"/>
      <c r="Z436" s="8"/>
    </row>
    <row r="437">
      <c r="A437" s="8"/>
      <c r="B437" s="8"/>
      <c r="C437" s="8"/>
      <c r="D437" s="8"/>
      <c r="E437" s="8"/>
      <c r="F437" s="8"/>
      <c r="G437" s="8"/>
      <c r="H437" s="8"/>
      <c r="I437" s="8"/>
      <c r="J437" s="8"/>
      <c r="K437" s="8"/>
      <c r="L437" s="8"/>
      <c r="M437" s="8"/>
      <c r="N437" s="8"/>
      <c r="O437" s="8"/>
      <c r="P437" s="8"/>
      <c r="Q437" s="8"/>
      <c r="R437" s="8"/>
      <c r="S437" s="8"/>
      <c r="T437" s="8"/>
      <c r="U437" s="8"/>
      <c r="V437" s="8"/>
      <c r="W437" s="8"/>
      <c r="X437" s="8"/>
      <c r="Y437" s="8"/>
      <c r="Z437" s="8"/>
    </row>
    <row r="438">
      <c r="A438" s="8"/>
      <c r="B438" s="8"/>
      <c r="C438" s="8"/>
      <c r="D438" s="8"/>
      <c r="E438" s="8"/>
      <c r="F438" s="8"/>
      <c r="G438" s="8"/>
      <c r="H438" s="8"/>
      <c r="I438" s="8"/>
      <c r="J438" s="8"/>
      <c r="K438" s="8"/>
      <c r="L438" s="8"/>
      <c r="M438" s="8"/>
      <c r="N438" s="8"/>
      <c r="O438" s="8"/>
      <c r="P438" s="8"/>
      <c r="Q438" s="8"/>
      <c r="R438" s="8"/>
      <c r="S438" s="8"/>
      <c r="T438" s="8"/>
      <c r="U438" s="8"/>
      <c r="V438" s="8"/>
      <c r="W438" s="8"/>
      <c r="X438" s="8"/>
      <c r="Y438" s="8"/>
      <c r="Z438" s="8"/>
    </row>
    <row r="439">
      <c r="A439" s="8"/>
      <c r="B439" s="8"/>
      <c r="C439" s="8"/>
      <c r="D439" s="8"/>
      <c r="E439" s="8"/>
      <c r="F439" s="8"/>
      <c r="G439" s="8"/>
      <c r="H439" s="8"/>
      <c r="I439" s="8"/>
      <c r="J439" s="8"/>
      <c r="K439" s="8"/>
      <c r="L439" s="8"/>
      <c r="M439" s="8"/>
      <c r="N439" s="8"/>
      <c r="O439" s="8"/>
      <c r="P439" s="8"/>
      <c r="Q439" s="8"/>
      <c r="R439" s="8"/>
      <c r="S439" s="8"/>
      <c r="T439" s="8"/>
      <c r="U439" s="8"/>
      <c r="V439" s="8"/>
      <c r="W439" s="8"/>
      <c r="X439" s="8"/>
      <c r="Y439" s="8"/>
      <c r="Z439" s="8"/>
    </row>
    <row r="440">
      <c r="A440" s="8"/>
      <c r="B440" s="8"/>
      <c r="C440" s="8"/>
      <c r="D440" s="8"/>
      <c r="E440" s="8"/>
      <c r="F440" s="8"/>
      <c r="G440" s="8"/>
      <c r="H440" s="8"/>
      <c r="I440" s="8"/>
      <c r="J440" s="8"/>
      <c r="K440" s="8"/>
      <c r="L440" s="8"/>
      <c r="M440" s="8"/>
      <c r="N440" s="8"/>
      <c r="O440" s="8"/>
      <c r="P440" s="8"/>
      <c r="Q440" s="8"/>
      <c r="R440" s="8"/>
      <c r="S440" s="8"/>
      <c r="T440" s="8"/>
      <c r="U440" s="8"/>
      <c r="V440" s="8"/>
      <c r="W440" s="8"/>
      <c r="X440" s="8"/>
      <c r="Y440" s="8"/>
      <c r="Z440" s="8"/>
    </row>
    <row r="441">
      <c r="A441" s="8"/>
      <c r="B441" s="8"/>
      <c r="C441" s="8"/>
      <c r="D441" s="8"/>
      <c r="E441" s="8"/>
      <c r="F441" s="8"/>
      <c r="G441" s="8"/>
      <c r="H441" s="8"/>
      <c r="I441" s="8"/>
      <c r="J441" s="8"/>
      <c r="K441" s="8"/>
      <c r="L441" s="8"/>
      <c r="M441" s="8"/>
      <c r="N441" s="8"/>
      <c r="O441" s="8"/>
      <c r="P441" s="8"/>
      <c r="Q441" s="8"/>
      <c r="R441" s="8"/>
      <c r="S441" s="8"/>
      <c r="T441" s="8"/>
      <c r="U441" s="8"/>
      <c r="V441" s="8"/>
      <c r="W441" s="8"/>
      <c r="X441" s="8"/>
      <c r="Y441" s="8"/>
      <c r="Z441" s="8"/>
    </row>
    <row r="442">
      <c r="A442" s="8"/>
      <c r="B442" s="8"/>
      <c r="C442" s="8"/>
      <c r="D442" s="8"/>
      <c r="E442" s="8"/>
      <c r="F442" s="8"/>
      <c r="G442" s="8"/>
      <c r="H442" s="8"/>
      <c r="I442" s="8"/>
      <c r="J442" s="8"/>
      <c r="K442" s="8"/>
      <c r="L442" s="8"/>
      <c r="M442" s="8"/>
      <c r="N442" s="8"/>
      <c r="O442" s="8"/>
      <c r="P442" s="8"/>
      <c r="Q442" s="8"/>
      <c r="R442" s="8"/>
      <c r="S442" s="8"/>
      <c r="T442" s="8"/>
      <c r="U442" s="8"/>
      <c r="V442" s="8"/>
      <c r="W442" s="8"/>
      <c r="X442" s="8"/>
      <c r="Y442" s="8"/>
      <c r="Z442" s="8"/>
    </row>
    <row r="443">
      <c r="A443" s="8"/>
      <c r="B443" s="8"/>
      <c r="C443" s="8"/>
      <c r="D443" s="8"/>
      <c r="E443" s="8"/>
      <c r="F443" s="8"/>
      <c r="G443" s="8"/>
      <c r="H443" s="8"/>
      <c r="I443" s="8"/>
      <c r="J443" s="8"/>
      <c r="K443" s="8"/>
      <c r="L443" s="8"/>
      <c r="M443" s="8"/>
      <c r="N443" s="8"/>
      <c r="O443" s="8"/>
      <c r="P443" s="8"/>
      <c r="Q443" s="8"/>
      <c r="R443" s="8"/>
      <c r="S443" s="8"/>
      <c r="T443" s="8"/>
      <c r="U443" s="8"/>
      <c r="V443" s="8"/>
      <c r="W443" s="8"/>
      <c r="X443" s="8"/>
      <c r="Y443" s="8"/>
      <c r="Z443" s="8"/>
    </row>
    <row r="444">
      <c r="A444" s="8"/>
      <c r="B444" s="8"/>
      <c r="C444" s="8"/>
      <c r="D444" s="8"/>
      <c r="E444" s="8"/>
      <c r="F444" s="8"/>
      <c r="G444" s="8"/>
      <c r="H444" s="8"/>
      <c r="I444" s="8"/>
      <c r="J444" s="8"/>
      <c r="K444" s="8"/>
      <c r="L444" s="8"/>
      <c r="M444" s="8"/>
      <c r="N444" s="8"/>
      <c r="O444" s="8"/>
      <c r="P444" s="8"/>
      <c r="Q444" s="8"/>
      <c r="R444" s="8"/>
      <c r="S444" s="8"/>
      <c r="T444" s="8"/>
      <c r="U444" s="8"/>
      <c r="V444" s="8"/>
      <c r="W444" s="8"/>
      <c r="X444" s="8"/>
      <c r="Y444" s="8"/>
      <c r="Z444" s="8"/>
    </row>
    <row r="445">
      <c r="A445" s="8"/>
      <c r="B445" s="8"/>
      <c r="C445" s="8"/>
      <c r="D445" s="8"/>
      <c r="E445" s="8"/>
      <c r="F445" s="8"/>
      <c r="G445" s="8"/>
      <c r="H445" s="8"/>
      <c r="I445" s="8"/>
      <c r="J445" s="8"/>
      <c r="K445" s="8"/>
      <c r="L445" s="8"/>
      <c r="M445" s="8"/>
      <c r="N445" s="8"/>
      <c r="O445" s="8"/>
      <c r="P445" s="8"/>
      <c r="Q445" s="8"/>
      <c r="R445" s="8"/>
      <c r="S445" s="8"/>
      <c r="T445" s="8"/>
      <c r="U445" s="8"/>
      <c r="V445" s="8"/>
      <c r="W445" s="8"/>
      <c r="X445" s="8"/>
      <c r="Y445" s="8"/>
      <c r="Z445" s="8"/>
    </row>
    <row r="446">
      <c r="A446" s="8"/>
      <c r="B446" s="8"/>
      <c r="C446" s="8"/>
      <c r="D446" s="8"/>
      <c r="E446" s="8"/>
      <c r="F446" s="8"/>
      <c r="G446" s="8"/>
      <c r="H446" s="8"/>
      <c r="I446" s="8"/>
      <c r="J446" s="8"/>
      <c r="K446" s="8"/>
      <c r="L446" s="8"/>
      <c r="M446" s="8"/>
      <c r="N446" s="8"/>
      <c r="O446" s="8"/>
      <c r="P446" s="8"/>
      <c r="Q446" s="8"/>
      <c r="R446" s="8"/>
      <c r="S446" s="8"/>
      <c r="T446" s="8"/>
      <c r="U446" s="8"/>
      <c r="V446" s="8"/>
      <c r="W446" s="8"/>
      <c r="X446" s="8"/>
      <c r="Y446" s="8"/>
      <c r="Z446" s="8"/>
    </row>
    <row r="447">
      <c r="A447" s="8"/>
      <c r="B447" s="8"/>
      <c r="C447" s="8"/>
      <c r="D447" s="8"/>
      <c r="E447" s="8"/>
      <c r="F447" s="8"/>
      <c r="G447" s="8"/>
      <c r="H447" s="8"/>
      <c r="I447" s="8"/>
      <c r="J447" s="8"/>
      <c r="K447" s="8"/>
      <c r="L447" s="8"/>
      <c r="M447" s="8"/>
      <c r="N447" s="8"/>
      <c r="O447" s="8"/>
      <c r="P447" s="8"/>
      <c r="Q447" s="8"/>
      <c r="R447" s="8"/>
      <c r="S447" s="8"/>
      <c r="T447" s="8"/>
      <c r="U447" s="8"/>
      <c r="V447" s="8"/>
      <c r="W447" s="8"/>
      <c r="X447" s="8"/>
      <c r="Y447" s="8"/>
      <c r="Z447" s="8"/>
    </row>
    <row r="448">
      <c r="A448" s="8"/>
      <c r="B448" s="8"/>
      <c r="C448" s="8"/>
      <c r="D448" s="8"/>
      <c r="E448" s="8"/>
      <c r="F448" s="8"/>
      <c r="G448" s="8"/>
      <c r="H448" s="8"/>
      <c r="I448" s="8"/>
      <c r="J448" s="8"/>
      <c r="K448" s="8"/>
      <c r="L448" s="8"/>
      <c r="M448" s="8"/>
      <c r="N448" s="8"/>
      <c r="O448" s="8"/>
      <c r="P448" s="8"/>
      <c r="Q448" s="8"/>
      <c r="R448" s="8"/>
      <c r="S448" s="8"/>
      <c r="T448" s="8"/>
      <c r="U448" s="8"/>
      <c r="V448" s="8"/>
      <c r="W448" s="8"/>
      <c r="X448" s="8"/>
      <c r="Y448" s="8"/>
      <c r="Z448" s="8"/>
    </row>
    <row r="449">
      <c r="A449" s="8"/>
      <c r="B449" s="8"/>
      <c r="C449" s="8"/>
      <c r="D449" s="8"/>
      <c r="E449" s="8"/>
      <c r="F449" s="8"/>
      <c r="G449" s="8"/>
      <c r="H449" s="8"/>
      <c r="I449" s="8"/>
      <c r="J449" s="8"/>
      <c r="K449" s="8"/>
      <c r="L449" s="8"/>
      <c r="M449" s="8"/>
      <c r="N449" s="8"/>
      <c r="O449" s="8"/>
      <c r="P449" s="8"/>
      <c r="Q449" s="8"/>
      <c r="R449" s="8"/>
      <c r="S449" s="8"/>
      <c r="T449" s="8"/>
      <c r="U449" s="8"/>
      <c r="V449" s="8"/>
      <c r="W449" s="8"/>
      <c r="X449" s="8"/>
      <c r="Y449" s="8"/>
      <c r="Z449" s="8"/>
    </row>
    <row r="450">
      <c r="A450" s="8"/>
      <c r="B450" s="8"/>
      <c r="C450" s="8"/>
      <c r="D450" s="8"/>
      <c r="E450" s="8"/>
      <c r="F450" s="8"/>
      <c r="G450" s="8"/>
      <c r="H450" s="8"/>
      <c r="I450" s="8"/>
      <c r="J450" s="8"/>
      <c r="K450" s="8"/>
      <c r="L450" s="8"/>
      <c r="M450" s="8"/>
      <c r="N450" s="8"/>
      <c r="O450" s="8"/>
      <c r="P450" s="8"/>
      <c r="Q450" s="8"/>
      <c r="R450" s="8"/>
      <c r="S450" s="8"/>
      <c r="T450" s="8"/>
      <c r="U450" s="8"/>
      <c r="V450" s="8"/>
      <c r="W450" s="8"/>
      <c r="X450" s="8"/>
      <c r="Y450" s="8"/>
      <c r="Z450" s="8"/>
    </row>
    <row r="451">
      <c r="A451" s="8"/>
      <c r="B451" s="8"/>
      <c r="C451" s="8"/>
      <c r="D451" s="8"/>
      <c r="E451" s="8"/>
      <c r="F451" s="8"/>
      <c r="G451" s="8"/>
      <c r="H451" s="8"/>
      <c r="I451" s="8"/>
      <c r="J451" s="8"/>
      <c r="K451" s="8"/>
      <c r="L451" s="8"/>
      <c r="M451" s="8"/>
      <c r="N451" s="8"/>
      <c r="O451" s="8"/>
      <c r="P451" s="8"/>
      <c r="Q451" s="8"/>
      <c r="R451" s="8"/>
      <c r="S451" s="8"/>
      <c r="T451" s="8"/>
      <c r="U451" s="8"/>
      <c r="V451" s="8"/>
      <c r="W451" s="8"/>
      <c r="X451" s="8"/>
      <c r="Y451" s="8"/>
      <c r="Z451" s="8"/>
    </row>
    <row r="452">
      <c r="A452" s="8"/>
      <c r="B452" s="8"/>
      <c r="C452" s="8"/>
      <c r="D452" s="8"/>
      <c r="E452" s="8"/>
      <c r="F452" s="8"/>
      <c r="G452" s="8"/>
      <c r="H452" s="8"/>
      <c r="I452" s="8"/>
      <c r="J452" s="8"/>
      <c r="K452" s="8"/>
      <c r="L452" s="8"/>
      <c r="M452" s="8"/>
      <c r="N452" s="8"/>
      <c r="O452" s="8"/>
      <c r="P452" s="8"/>
      <c r="Q452" s="8"/>
      <c r="R452" s="8"/>
      <c r="S452" s="8"/>
      <c r="T452" s="8"/>
      <c r="U452" s="8"/>
      <c r="V452" s="8"/>
      <c r="W452" s="8"/>
      <c r="X452" s="8"/>
      <c r="Y452" s="8"/>
      <c r="Z452" s="8"/>
    </row>
    <row r="453">
      <c r="A453" s="8"/>
      <c r="B453" s="8"/>
      <c r="C453" s="8"/>
      <c r="D453" s="8"/>
      <c r="E453" s="8"/>
      <c r="F453" s="8"/>
      <c r="G453" s="8"/>
      <c r="H453" s="8"/>
      <c r="I453" s="8"/>
      <c r="J453" s="8"/>
      <c r="K453" s="8"/>
      <c r="L453" s="8"/>
      <c r="M453" s="8"/>
      <c r="N453" s="8"/>
      <c r="O453" s="8"/>
      <c r="P453" s="8"/>
      <c r="Q453" s="8"/>
      <c r="R453" s="8"/>
      <c r="S453" s="8"/>
      <c r="T453" s="8"/>
      <c r="U453" s="8"/>
      <c r="V453" s="8"/>
      <c r="W453" s="8"/>
      <c r="X453" s="8"/>
      <c r="Y453" s="8"/>
      <c r="Z453" s="8"/>
    </row>
    <row r="454">
      <c r="A454" s="8"/>
      <c r="B454" s="8"/>
      <c r="C454" s="8"/>
      <c r="D454" s="8"/>
      <c r="E454" s="8"/>
      <c r="F454" s="8"/>
      <c r="G454" s="8"/>
      <c r="H454" s="8"/>
      <c r="I454" s="8"/>
      <c r="J454" s="8"/>
      <c r="K454" s="8"/>
      <c r="L454" s="8"/>
      <c r="M454" s="8"/>
      <c r="N454" s="8"/>
      <c r="O454" s="8"/>
      <c r="P454" s="8"/>
      <c r="Q454" s="8"/>
      <c r="R454" s="8"/>
      <c r="S454" s="8"/>
      <c r="T454" s="8"/>
      <c r="U454" s="8"/>
      <c r="V454" s="8"/>
      <c r="W454" s="8"/>
      <c r="X454" s="8"/>
      <c r="Y454" s="8"/>
      <c r="Z454" s="8"/>
    </row>
    <row r="455">
      <c r="A455" s="8"/>
      <c r="B455" s="8"/>
      <c r="C455" s="8"/>
      <c r="D455" s="8"/>
      <c r="E455" s="8"/>
      <c r="F455" s="8"/>
      <c r="G455" s="8"/>
      <c r="H455" s="8"/>
      <c r="I455" s="8"/>
      <c r="J455" s="8"/>
      <c r="K455" s="8"/>
      <c r="L455" s="8"/>
      <c r="M455" s="8"/>
      <c r="N455" s="8"/>
      <c r="O455" s="8"/>
      <c r="P455" s="8"/>
      <c r="Q455" s="8"/>
      <c r="R455" s="8"/>
      <c r="S455" s="8"/>
      <c r="T455" s="8"/>
      <c r="U455" s="8"/>
      <c r="V455" s="8"/>
      <c r="W455" s="8"/>
      <c r="X455" s="8"/>
      <c r="Y455" s="8"/>
      <c r="Z455" s="8"/>
    </row>
    <row r="456">
      <c r="A456" s="8"/>
      <c r="B456" s="8"/>
      <c r="C456" s="8"/>
      <c r="D456" s="8"/>
      <c r="E456" s="8"/>
      <c r="F456" s="8"/>
      <c r="G456" s="8"/>
      <c r="H456" s="8"/>
      <c r="I456" s="8"/>
      <c r="J456" s="8"/>
      <c r="K456" s="8"/>
      <c r="L456" s="8"/>
      <c r="M456" s="8"/>
      <c r="N456" s="8"/>
      <c r="O456" s="8"/>
      <c r="P456" s="8"/>
      <c r="Q456" s="8"/>
      <c r="R456" s="8"/>
      <c r="S456" s="8"/>
      <c r="T456" s="8"/>
      <c r="U456" s="8"/>
      <c r="V456" s="8"/>
      <c r="W456" s="8"/>
      <c r="X456" s="8"/>
      <c r="Y456" s="8"/>
      <c r="Z456" s="8"/>
    </row>
    <row r="457">
      <c r="A457" s="8"/>
      <c r="B457" s="8"/>
      <c r="C457" s="8"/>
      <c r="D457" s="8"/>
      <c r="E457" s="8"/>
      <c r="F457" s="8"/>
      <c r="G457" s="8"/>
      <c r="H457" s="8"/>
      <c r="I457" s="8"/>
      <c r="J457" s="8"/>
      <c r="K457" s="8"/>
      <c r="L457" s="8"/>
      <c r="M457" s="8"/>
      <c r="N457" s="8"/>
      <c r="O457" s="8"/>
      <c r="P457" s="8"/>
      <c r="Q457" s="8"/>
      <c r="R457" s="8"/>
      <c r="S457" s="8"/>
      <c r="T457" s="8"/>
      <c r="U457" s="8"/>
      <c r="V457" s="8"/>
      <c r="W457" s="8"/>
      <c r="X457" s="8"/>
      <c r="Y457" s="8"/>
      <c r="Z457" s="8"/>
    </row>
    <row r="458">
      <c r="A458" s="8"/>
      <c r="B458" s="8"/>
      <c r="C458" s="8"/>
      <c r="D458" s="8"/>
      <c r="E458" s="8"/>
      <c r="F458" s="8"/>
      <c r="G458" s="8"/>
      <c r="H458" s="8"/>
      <c r="I458" s="8"/>
      <c r="J458" s="8"/>
      <c r="K458" s="8"/>
      <c r="L458" s="8"/>
      <c r="M458" s="8"/>
      <c r="N458" s="8"/>
      <c r="O458" s="8"/>
      <c r="P458" s="8"/>
      <c r="Q458" s="8"/>
      <c r="R458" s="8"/>
      <c r="S458" s="8"/>
      <c r="T458" s="8"/>
      <c r="U458" s="8"/>
      <c r="V458" s="8"/>
      <c r="W458" s="8"/>
      <c r="X458" s="8"/>
      <c r="Y458" s="8"/>
      <c r="Z458" s="8"/>
    </row>
    <row r="459">
      <c r="A459" s="8"/>
      <c r="B459" s="8"/>
      <c r="C459" s="8"/>
      <c r="D459" s="8"/>
      <c r="E459" s="8"/>
      <c r="F459" s="8"/>
      <c r="G459" s="8"/>
      <c r="H459" s="8"/>
      <c r="I459" s="8"/>
      <c r="J459" s="8"/>
      <c r="K459" s="8"/>
      <c r="L459" s="8"/>
      <c r="M459" s="8"/>
      <c r="N459" s="8"/>
      <c r="O459" s="8"/>
      <c r="P459" s="8"/>
      <c r="Q459" s="8"/>
      <c r="R459" s="8"/>
      <c r="S459" s="8"/>
      <c r="T459" s="8"/>
      <c r="U459" s="8"/>
      <c r="V459" s="8"/>
      <c r="W459" s="8"/>
      <c r="X459" s="8"/>
      <c r="Y459" s="8"/>
      <c r="Z459" s="8"/>
    </row>
    <row r="460">
      <c r="A460" s="8"/>
      <c r="B460" s="8"/>
      <c r="C460" s="8"/>
      <c r="D460" s="8"/>
      <c r="E460" s="8"/>
      <c r="F460" s="8"/>
      <c r="G460" s="8"/>
      <c r="H460" s="8"/>
      <c r="I460" s="8"/>
      <c r="J460" s="8"/>
      <c r="K460" s="8"/>
      <c r="L460" s="8"/>
      <c r="M460" s="8"/>
      <c r="N460" s="8"/>
      <c r="O460" s="8"/>
      <c r="P460" s="8"/>
      <c r="Q460" s="8"/>
      <c r="R460" s="8"/>
      <c r="S460" s="8"/>
      <c r="T460" s="8"/>
      <c r="U460" s="8"/>
      <c r="V460" s="8"/>
      <c r="W460" s="8"/>
      <c r="X460" s="8"/>
      <c r="Y460" s="8"/>
      <c r="Z460" s="8"/>
    </row>
    <row r="461">
      <c r="A461" s="8"/>
      <c r="B461" s="8"/>
      <c r="C461" s="8"/>
      <c r="D461" s="8"/>
      <c r="E461" s="8"/>
      <c r="F461" s="8"/>
      <c r="G461" s="8"/>
      <c r="H461" s="8"/>
      <c r="I461" s="8"/>
      <c r="J461" s="8"/>
      <c r="K461" s="8"/>
      <c r="L461" s="8"/>
      <c r="M461" s="8"/>
      <c r="N461" s="8"/>
      <c r="O461" s="8"/>
      <c r="P461" s="8"/>
      <c r="Q461" s="8"/>
      <c r="R461" s="8"/>
      <c r="S461" s="8"/>
      <c r="T461" s="8"/>
      <c r="U461" s="8"/>
      <c r="V461" s="8"/>
      <c r="W461" s="8"/>
      <c r="X461" s="8"/>
      <c r="Y461" s="8"/>
      <c r="Z461" s="8"/>
    </row>
    <row r="462">
      <c r="A462" s="8"/>
      <c r="B462" s="8"/>
      <c r="C462" s="8"/>
      <c r="D462" s="8"/>
      <c r="E462" s="8"/>
      <c r="F462" s="8"/>
      <c r="G462" s="8"/>
      <c r="H462" s="8"/>
      <c r="I462" s="8"/>
      <c r="J462" s="8"/>
      <c r="K462" s="8"/>
      <c r="L462" s="8"/>
      <c r="M462" s="8"/>
      <c r="N462" s="8"/>
      <c r="O462" s="8"/>
      <c r="P462" s="8"/>
      <c r="Q462" s="8"/>
      <c r="R462" s="8"/>
      <c r="S462" s="8"/>
      <c r="T462" s="8"/>
      <c r="U462" s="8"/>
      <c r="V462" s="8"/>
      <c r="W462" s="8"/>
      <c r="X462" s="8"/>
      <c r="Y462" s="8"/>
      <c r="Z462" s="8"/>
    </row>
    <row r="463">
      <c r="A463" s="8"/>
      <c r="B463" s="8"/>
      <c r="C463" s="8"/>
      <c r="D463" s="8"/>
      <c r="E463" s="8"/>
      <c r="F463" s="8"/>
      <c r="G463" s="8"/>
      <c r="H463" s="8"/>
      <c r="I463" s="8"/>
      <c r="J463" s="8"/>
      <c r="K463" s="8"/>
      <c r="L463" s="8"/>
      <c r="M463" s="8"/>
      <c r="N463" s="8"/>
      <c r="O463" s="8"/>
      <c r="P463" s="8"/>
      <c r="Q463" s="8"/>
      <c r="R463" s="8"/>
      <c r="S463" s="8"/>
      <c r="T463" s="8"/>
      <c r="U463" s="8"/>
      <c r="V463" s="8"/>
      <c r="W463" s="8"/>
      <c r="X463" s="8"/>
      <c r="Y463" s="8"/>
      <c r="Z463" s="8"/>
    </row>
    <row r="464">
      <c r="A464" s="8"/>
      <c r="B464" s="8"/>
      <c r="C464" s="8"/>
      <c r="D464" s="8"/>
      <c r="E464" s="8"/>
      <c r="F464" s="8"/>
      <c r="G464" s="8"/>
      <c r="H464" s="8"/>
      <c r="I464" s="8"/>
      <c r="J464" s="8"/>
      <c r="K464" s="8"/>
      <c r="L464" s="8"/>
      <c r="M464" s="8"/>
      <c r="N464" s="8"/>
      <c r="O464" s="8"/>
      <c r="P464" s="8"/>
      <c r="Q464" s="8"/>
      <c r="R464" s="8"/>
      <c r="S464" s="8"/>
      <c r="T464" s="8"/>
      <c r="U464" s="8"/>
      <c r="V464" s="8"/>
      <c r="W464" s="8"/>
      <c r="X464" s="8"/>
      <c r="Y464" s="8"/>
      <c r="Z464" s="8"/>
    </row>
    <row r="465">
      <c r="A465" s="8"/>
      <c r="B465" s="8"/>
      <c r="C465" s="8"/>
      <c r="D465" s="8"/>
      <c r="E465" s="8"/>
      <c r="F465" s="8"/>
      <c r="G465" s="8"/>
      <c r="H465" s="8"/>
      <c r="I465" s="8"/>
      <c r="J465" s="8"/>
      <c r="K465" s="8"/>
      <c r="L465" s="8"/>
      <c r="M465" s="8"/>
      <c r="N465" s="8"/>
      <c r="O465" s="8"/>
      <c r="P465" s="8"/>
      <c r="Q465" s="8"/>
      <c r="R465" s="8"/>
      <c r="S465" s="8"/>
      <c r="T465" s="8"/>
      <c r="U465" s="8"/>
      <c r="V465" s="8"/>
      <c r="W465" s="8"/>
      <c r="X465" s="8"/>
      <c r="Y465" s="8"/>
      <c r="Z465" s="8"/>
    </row>
    <row r="466">
      <c r="A466" s="8"/>
      <c r="B466" s="8"/>
      <c r="C466" s="8"/>
      <c r="D466" s="8"/>
      <c r="E466" s="8"/>
      <c r="F466" s="8"/>
      <c r="G466" s="8"/>
      <c r="H466" s="8"/>
      <c r="I466" s="8"/>
      <c r="J466" s="8"/>
      <c r="K466" s="8"/>
      <c r="L466" s="8"/>
      <c r="M466" s="8"/>
      <c r="N466" s="8"/>
      <c r="O466" s="8"/>
      <c r="P466" s="8"/>
      <c r="Q466" s="8"/>
      <c r="R466" s="8"/>
      <c r="S466" s="8"/>
      <c r="T466" s="8"/>
      <c r="U466" s="8"/>
      <c r="V466" s="8"/>
      <c r="W466" s="8"/>
      <c r="X466" s="8"/>
      <c r="Y466" s="8"/>
      <c r="Z466" s="8"/>
    </row>
    <row r="467">
      <c r="A467" s="8"/>
      <c r="B467" s="8"/>
      <c r="C467" s="8"/>
      <c r="D467" s="8"/>
      <c r="E467" s="8"/>
      <c r="F467" s="8"/>
      <c r="G467" s="8"/>
      <c r="H467" s="8"/>
      <c r="I467" s="8"/>
      <c r="J467" s="8"/>
      <c r="K467" s="8"/>
      <c r="L467" s="8"/>
      <c r="M467" s="8"/>
      <c r="N467" s="8"/>
      <c r="O467" s="8"/>
      <c r="P467" s="8"/>
      <c r="Q467" s="8"/>
      <c r="R467" s="8"/>
      <c r="S467" s="8"/>
      <c r="T467" s="8"/>
      <c r="U467" s="8"/>
      <c r="V467" s="8"/>
      <c r="W467" s="8"/>
      <c r="X467" s="8"/>
      <c r="Y467" s="8"/>
      <c r="Z467" s="8"/>
    </row>
    <row r="468">
      <c r="A468" s="8"/>
      <c r="B468" s="8"/>
      <c r="C468" s="8"/>
      <c r="D468" s="8"/>
      <c r="E468" s="8"/>
      <c r="F468" s="8"/>
      <c r="G468" s="8"/>
      <c r="H468" s="8"/>
      <c r="I468" s="8"/>
      <c r="J468" s="8"/>
      <c r="K468" s="8"/>
      <c r="L468" s="8"/>
      <c r="M468" s="8"/>
      <c r="N468" s="8"/>
      <c r="O468" s="8"/>
      <c r="P468" s="8"/>
      <c r="Q468" s="8"/>
      <c r="R468" s="8"/>
      <c r="S468" s="8"/>
      <c r="T468" s="8"/>
      <c r="U468" s="8"/>
      <c r="V468" s="8"/>
      <c r="W468" s="8"/>
      <c r="X468" s="8"/>
      <c r="Y468" s="8"/>
      <c r="Z468" s="8"/>
    </row>
    <row r="469">
      <c r="A469" s="8"/>
      <c r="B469" s="8"/>
      <c r="C469" s="8"/>
      <c r="D469" s="8"/>
      <c r="E469" s="8"/>
      <c r="F469" s="8"/>
      <c r="G469" s="8"/>
      <c r="H469" s="8"/>
      <c r="I469" s="8"/>
      <c r="J469" s="8"/>
      <c r="K469" s="8"/>
      <c r="L469" s="8"/>
      <c r="M469" s="8"/>
      <c r="N469" s="8"/>
      <c r="O469" s="8"/>
      <c r="P469" s="8"/>
      <c r="Q469" s="8"/>
      <c r="R469" s="8"/>
      <c r="S469" s="8"/>
      <c r="T469" s="8"/>
      <c r="U469" s="8"/>
      <c r="V469" s="8"/>
      <c r="W469" s="8"/>
      <c r="X469" s="8"/>
      <c r="Y469" s="8"/>
      <c r="Z469" s="8"/>
    </row>
    <row r="470">
      <c r="A470" s="8"/>
      <c r="B470" s="8"/>
      <c r="C470" s="8"/>
      <c r="D470" s="8"/>
      <c r="E470" s="8"/>
      <c r="F470" s="8"/>
      <c r="G470" s="8"/>
      <c r="H470" s="8"/>
      <c r="I470" s="8"/>
      <c r="J470" s="8"/>
      <c r="K470" s="8"/>
      <c r="L470" s="8"/>
      <c r="M470" s="8"/>
      <c r="N470" s="8"/>
      <c r="O470" s="8"/>
      <c r="P470" s="8"/>
      <c r="Q470" s="8"/>
      <c r="R470" s="8"/>
      <c r="S470" s="8"/>
      <c r="T470" s="8"/>
      <c r="U470" s="8"/>
      <c r="V470" s="8"/>
      <c r="W470" s="8"/>
      <c r="X470" s="8"/>
      <c r="Y470" s="8"/>
      <c r="Z470" s="8"/>
    </row>
    <row r="471">
      <c r="A471" s="8"/>
      <c r="B471" s="8"/>
      <c r="C471" s="8"/>
      <c r="D471" s="8"/>
      <c r="E471" s="8"/>
      <c r="F471" s="8"/>
      <c r="G471" s="8"/>
      <c r="H471" s="8"/>
      <c r="I471" s="8"/>
      <c r="J471" s="8"/>
      <c r="K471" s="8"/>
      <c r="L471" s="8"/>
      <c r="M471" s="8"/>
      <c r="N471" s="8"/>
      <c r="O471" s="8"/>
      <c r="P471" s="8"/>
      <c r="Q471" s="8"/>
      <c r="R471" s="8"/>
      <c r="S471" s="8"/>
      <c r="T471" s="8"/>
      <c r="U471" s="8"/>
      <c r="V471" s="8"/>
      <c r="W471" s="8"/>
      <c r="X471" s="8"/>
      <c r="Y471" s="8"/>
      <c r="Z471" s="8"/>
    </row>
    <row r="472">
      <c r="A472" s="8"/>
      <c r="B472" s="8"/>
      <c r="C472" s="8"/>
      <c r="D472" s="8"/>
      <c r="E472" s="8"/>
      <c r="F472" s="8"/>
      <c r="G472" s="8"/>
      <c r="H472" s="8"/>
      <c r="I472" s="8"/>
      <c r="J472" s="8"/>
      <c r="K472" s="8"/>
      <c r="L472" s="8"/>
      <c r="M472" s="8"/>
      <c r="N472" s="8"/>
      <c r="O472" s="8"/>
      <c r="P472" s="8"/>
      <c r="Q472" s="8"/>
      <c r="R472" s="8"/>
      <c r="S472" s="8"/>
      <c r="T472" s="8"/>
      <c r="U472" s="8"/>
      <c r="V472" s="8"/>
      <c r="W472" s="8"/>
      <c r="X472" s="8"/>
      <c r="Y472" s="8"/>
      <c r="Z472" s="8"/>
    </row>
    <row r="473">
      <c r="A473" s="8"/>
      <c r="B473" s="8"/>
      <c r="C473" s="8"/>
      <c r="D473" s="8"/>
      <c r="E473" s="8"/>
      <c r="F473" s="8"/>
      <c r="G473" s="8"/>
      <c r="H473" s="8"/>
      <c r="I473" s="8"/>
      <c r="J473" s="8"/>
      <c r="K473" s="8"/>
      <c r="L473" s="8"/>
      <c r="M473" s="8"/>
      <c r="N473" s="8"/>
      <c r="O473" s="8"/>
      <c r="P473" s="8"/>
      <c r="Q473" s="8"/>
      <c r="R473" s="8"/>
      <c r="S473" s="8"/>
      <c r="T473" s="8"/>
      <c r="U473" s="8"/>
      <c r="V473" s="8"/>
      <c r="W473" s="8"/>
      <c r="X473" s="8"/>
      <c r="Y473" s="8"/>
      <c r="Z473" s="8"/>
    </row>
    <row r="474">
      <c r="A474" s="8"/>
      <c r="B474" s="8"/>
      <c r="C474" s="8"/>
      <c r="D474" s="8"/>
      <c r="E474" s="8"/>
      <c r="F474" s="8"/>
      <c r="G474" s="8"/>
      <c r="H474" s="8"/>
      <c r="I474" s="8"/>
      <c r="J474" s="8"/>
      <c r="K474" s="8"/>
      <c r="L474" s="8"/>
      <c r="M474" s="8"/>
      <c r="N474" s="8"/>
      <c r="O474" s="8"/>
      <c r="P474" s="8"/>
      <c r="Q474" s="8"/>
      <c r="R474" s="8"/>
      <c r="S474" s="8"/>
      <c r="T474" s="8"/>
      <c r="U474" s="8"/>
      <c r="V474" s="8"/>
      <c r="W474" s="8"/>
      <c r="X474" s="8"/>
      <c r="Y474" s="8"/>
      <c r="Z474" s="8"/>
    </row>
    <row r="475">
      <c r="A475" s="8"/>
      <c r="B475" s="8"/>
      <c r="C475" s="8"/>
      <c r="D475" s="8"/>
      <c r="E475" s="8"/>
      <c r="F475" s="8"/>
      <c r="G475" s="8"/>
      <c r="H475" s="8"/>
      <c r="I475" s="8"/>
      <c r="J475" s="8"/>
      <c r="K475" s="8"/>
      <c r="L475" s="8"/>
      <c r="M475" s="8"/>
      <c r="N475" s="8"/>
      <c r="O475" s="8"/>
      <c r="P475" s="8"/>
      <c r="Q475" s="8"/>
      <c r="R475" s="8"/>
      <c r="S475" s="8"/>
      <c r="T475" s="8"/>
      <c r="U475" s="8"/>
      <c r="V475" s="8"/>
      <c r="W475" s="8"/>
      <c r="X475" s="8"/>
      <c r="Y475" s="8"/>
      <c r="Z475" s="8"/>
    </row>
    <row r="476">
      <c r="A476" s="8"/>
      <c r="B476" s="8"/>
      <c r="C476" s="8"/>
      <c r="D476" s="8"/>
      <c r="E476" s="8"/>
      <c r="F476" s="8"/>
      <c r="G476" s="8"/>
      <c r="H476" s="8"/>
      <c r="I476" s="8"/>
      <c r="J476" s="8"/>
      <c r="K476" s="8"/>
      <c r="L476" s="8"/>
      <c r="M476" s="8"/>
      <c r="N476" s="8"/>
      <c r="O476" s="8"/>
      <c r="P476" s="8"/>
      <c r="Q476" s="8"/>
      <c r="R476" s="8"/>
      <c r="S476" s="8"/>
      <c r="T476" s="8"/>
      <c r="U476" s="8"/>
      <c r="V476" s="8"/>
      <c r="W476" s="8"/>
      <c r="X476" s="8"/>
      <c r="Y476" s="8"/>
      <c r="Z476" s="8"/>
    </row>
    <row r="477">
      <c r="A477" s="8"/>
      <c r="B477" s="8"/>
      <c r="C477" s="8"/>
      <c r="D477" s="8"/>
      <c r="E477" s="8"/>
      <c r="F477" s="8"/>
      <c r="G477" s="8"/>
      <c r="H477" s="8"/>
      <c r="I477" s="8"/>
      <c r="J477" s="8"/>
      <c r="K477" s="8"/>
      <c r="L477" s="8"/>
      <c r="M477" s="8"/>
      <c r="N477" s="8"/>
      <c r="O477" s="8"/>
      <c r="P477" s="8"/>
      <c r="Q477" s="8"/>
      <c r="R477" s="8"/>
      <c r="S477" s="8"/>
      <c r="T477" s="8"/>
      <c r="U477" s="8"/>
      <c r="V477" s="8"/>
      <c r="W477" s="8"/>
      <c r="X477" s="8"/>
      <c r="Y477" s="8"/>
      <c r="Z477" s="8"/>
    </row>
    <row r="478">
      <c r="A478" s="8"/>
      <c r="B478" s="8"/>
      <c r="C478" s="8"/>
      <c r="D478" s="8"/>
      <c r="E478" s="8"/>
      <c r="F478" s="8"/>
      <c r="G478" s="8"/>
      <c r="H478" s="8"/>
      <c r="I478" s="8"/>
      <c r="J478" s="8"/>
      <c r="K478" s="8"/>
      <c r="L478" s="8"/>
      <c r="M478" s="8"/>
      <c r="N478" s="8"/>
      <c r="O478" s="8"/>
      <c r="P478" s="8"/>
      <c r="Q478" s="8"/>
      <c r="R478" s="8"/>
      <c r="S478" s="8"/>
      <c r="T478" s="8"/>
      <c r="U478" s="8"/>
      <c r="V478" s="8"/>
      <c r="W478" s="8"/>
      <c r="X478" s="8"/>
      <c r="Y478" s="8"/>
      <c r="Z478" s="8"/>
    </row>
    <row r="479">
      <c r="A479" s="8"/>
      <c r="B479" s="8"/>
      <c r="C479" s="8"/>
      <c r="D479" s="8"/>
      <c r="E479" s="8"/>
      <c r="F479" s="8"/>
      <c r="G479" s="8"/>
      <c r="H479" s="8"/>
      <c r="I479" s="8"/>
      <c r="J479" s="8"/>
      <c r="K479" s="8"/>
      <c r="L479" s="8"/>
      <c r="M479" s="8"/>
      <c r="N479" s="8"/>
      <c r="O479" s="8"/>
      <c r="P479" s="8"/>
      <c r="Q479" s="8"/>
      <c r="R479" s="8"/>
      <c r="S479" s="8"/>
      <c r="T479" s="8"/>
      <c r="U479" s="8"/>
      <c r="V479" s="8"/>
      <c r="W479" s="8"/>
      <c r="X479" s="8"/>
      <c r="Y479" s="8"/>
      <c r="Z479" s="8"/>
    </row>
    <row r="480">
      <c r="A480" s="8"/>
      <c r="B480" s="8"/>
      <c r="C480" s="8"/>
      <c r="D480" s="8"/>
      <c r="E480" s="8"/>
      <c r="F480" s="8"/>
      <c r="G480" s="8"/>
      <c r="H480" s="8"/>
      <c r="I480" s="8"/>
      <c r="J480" s="8"/>
      <c r="K480" s="8"/>
      <c r="L480" s="8"/>
      <c r="M480" s="8"/>
      <c r="N480" s="8"/>
      <c r="O480" s="8"/>
      <c r="P480" s="8"/>
      <c r="Q480" s="8"/>
      <c r="R480" s="8"/>
      <c r="S480" s="8"/>
      <c r="T480" s="8"/>
      <c r="U480" s="8"/>
      <c r="V480" s="8"/>
      <c r="W480" s="8"/>
      <c r="X480" s="8"/>
      <c r="Y480" s="8"/>
      <c r="Z480" s="8"/>
    </row>
    <row r="481">
      <c r="A481" s="8"/>
      <c r="B481" s="8"/>
      <c r="C481" s="8"/>
      <c r="D481" s="8"/>
      <c r="E481" s="8"/>
      <c r="F481" s="8"/>
      <c r="G481" s="8"/>
      <c r="H481" s="8"/>
      <c r="I481" s="8"/>
      <c r="J481" s="8"/>
      <c r="K481" s="8"/>
      <c r="L481" s="8"/>
      <c r="M481" s="8"/>
      <c r="N481" s="8"/>
      <c r="O481" s="8"/>
      <c r="P481" s="8"/>
      <c r="Q481" s="8"/>
      <c r="R481" s="8"/>
      <c r="S481" s="8"/>
      <c r="T481" s="8"/>
      <c r="U481" s="8"/>
      <c r="V481" s="8"/>
      <c r="W481" s="8"/>
      <c r="X481" s="8"/>
      <c r="Y481" s="8"/>
      <c r="Z481" s="8"/>
    </row>
    <row r="482">
      <c r="A482" s="8"/>
      <c r="B482" s="8"/>
      <c r="C482" s="8"/>
      <c r="D482" s="8"/>
      <c r="E482" s="8"/>
      <c r="F482" s="8"/>
      <c r="G482" s="8"/>
      <c r="H482" s="8"/>
      <c r="I482" s="8"/>
      <c r="J482" s="8"/>
      <c r="K482" s="8"/>
      <c r="L482" s="8"/>
      <c r="M482" s="8"/>
      <c r="N482" s="8"/>
      <c r="O482" s="8"/>
      <c r="P482" s="8"/>
      <c r="Q482" s="8"/>
      <c r="R482" s="8"/>
      <c r="S482" s="8"/>
      <c r="T482" s="8"/>
      <c r="U482" s="8"/>
      <c r="V482" s="8"/>
      <c r="W482" s="8"/>
      <c r="X482" s="8"/>
      <c r="Y482" s="8"/>
      <c r="Z482" s="8"/>
    </row>
    <row r="483">
      <c r="A483" s="8"/>
      <c r="B483" s="8"/>
      <c r="C483" s="8"/>
      <c r="D483" s="8"/>
      <c r="E483" s="8"/>
      <c r="F483" s="8"/>
      <c r="G483" s="8"/>
      <c r="H483" s="8"/>
      <c r="I483" s="8"/>
      <c r="J483" s="8"/>
      <c r="K483" s="8"/>
      <c r="L483" s="8"/>
      <c r="M483" s="8"/>
      <c r="N483" s="8"/>
      <c r="O483" s="8"/>
      <c r="P483" s="8"/>
      <c r="Q483" s="8"/>
      <c r="R483" s="8"/>
      <c r="S483" s="8"/>
      <c r="T483" s="8"/>
      <c r="U483" s="8"/>
      <c r="V483" s="8"/>
      <c r="W483" s="8"/>
      <c r="X483" s="8"/>
      <c r="Y483" s="8"/>
      <c r="Z483" s="8"/>
    </row>
    <row r="484">
      <c r="A484" s="8"/>
      <c r="B484" s="8"/>
      <c r="C484" s="8"/>
      <c r="D484" s="8"/>
      <c r="E484" s="8"/>
      <c r="F484" s="8"/>
      <c r="G484" s="8"/>
      <c r="H484" s="8"/>
      <c r="I484" s="8"/>
      <c r="J484" s="8"/>
      <c r="K484" s="8"/>
      <c r="L484" s="8"/>
      <c r="M484" s="8"/>
      <c r="N484" s="8"/>
      <c r="O484" s="8"/>
      <c r="P484" s="8"/>
      <c r="Q484" s="8"/>
      <c r="R484" s="8"/>
      <c r="S484" s="8"/>
      <c r="T484" s="8"/>
      <c r="U484" s="8"/>
      <c r="V484" s="8"/>
      <c r="W484" s="8"/>
      <c r="X484" s="8"/>
      <c r="Y484" s="8"/>
      <c r="Z484" s="8"/>
    </row>
    <row r="485">
      <c r="A485" s="8"/>
      <c r="B485" s="8"/>
      <c r="C485" s="8"/>
      <c r="D485" s="8"/>
      <c r="E485" s="8"/>
      <c r="F485" s="8"/>
      <c r="G485" s="8"/>
      <c r="H485" s="8"/>
      <c r="I485" s="8"/>
      <c r="J485" s="8"/>
      <c r="K485" s="8"/>
      <c r="L485" s="8"/>
      <c r="M485" s="8"/>
      <c r="N485" s="8"/>
      <c r="O485" s="8"/>
      <c r="P485" s="8"/>
      <c r="Q485" s="8"/>
      <c r="R485" s="8"/>
      <c r="S485" s="8"/>
      <c r="T485" s="8"/>
      <c r="U485" s="8"/>
      <c r="V485" s="8"/>
      <c r="W485" s="8"/>
      <c r="X485" s="8"/>
      <c r="Y485" s="8"/>
      <c r="Z485" s="8"/>
    </row>
    <row r="486">
      <c r="A486" s="8"/>
      <c r="B486" s="8"/>
      <c r="C486" s="8"/>
      <c r="D486" s="8"/>
      <c r="E486" s="8"/>
      <c r="F486" s="8"/>
      <c r="G486" s="8"/>
      <c r="H486" s="8"/>
      <c r="I486" s="8"/>
      <c r="J486" s="8"/>
      <c r="K486" s="8"/>
      <c r="L486" s="8"/>
      <c r="M486" s="8"/>
      <c r="N486" s="8"/>
      <c r="O486" s="8"/>
      <c r="P486" s="8"/>
      <c r="Q486" s="8"/>
      <c r="R486" s="8"/>
      <c r="S486" s="8"/>
      <c r="T486" s="8"/>
      <c r="U486" s="8"/>
      <c r="V486" s="8"/>
      <c r="W486" s="8"/>
      <c r="X486" s="8"/>
      <c r="Y486" s="8"/>
      <c r="Z486" s="8"/>
    </row>
    <row r="487">
      <c r="A487" s="8"/>
      <c r="B487" s="8"/>
      <c r="C487" s="8"/>
      <c r="D487" s="8"/>
      <c r="E487" s="8"/>
      <c r="F487" s="8"/>
      <c r="G487" s="8"/>
      <c r="H487" s="8"/>
      <c r="I487" s="8"/>
      <c r="J487" s="8"/>
      <c r="K487" s="8"/>
      <c r="L487" s="8"/>
      <c r="M487" s="8"/>
      <c r="N487" s="8"/>
      <c r="O487" s="8"/>
      <c r="P487" s="8"/>
      <c r="Q487" s="8"/>
      <c r="R487" s="8"/>
      <c r="S487" s="8"/>
      <c r="T487" s="8"/>
      <c r="U487" s="8"/>
      <c r="V487" s="8"/>
      <c r="W487" s="8"/>
      <c r="X487" s="8"/>
      <c r="Y487" s="8"/>
      <c r="Z487" s="8"/>
    </row>
    <row r="488">
      <c r="A488" s="8"/>
      <c r="B488" s="8"/>
      <c r="C488" s="8"/>
      <c r="D488" s="8"/>
      <c r="E488" s="8"/>
      <c r="F488" s="8"/>
      <c r="G488" s="8"/>
      <c r="H488" s="8"/>
      <c r="I488" s="8"/>
      <c r="J488" s="8"/>
      <c r="K488" s="8"/>
      <c r="L488" s="8"/>
      <c r="M488" s="8"/>
      <c r="N488" s="8"/>
      <c r="O488" s="8"/>
      <c r="P488" s="8"/>
      <c r="Q488" s="8"/>
      <c r="R488" s="8"/>
      <c r="S488" s="8"/>
      <c r="T488" s="8"/>
      <c r="U488" s="8"/>
      <c r="V488" s="8"/>
      <c r="W488" s="8"/>
      <c r="X488" s="8"/>
      <c r="Y488" s="8"/>
      <c r="Z488" s="8"/>
    </row>
    <row r="489">
      <c r="A489" s="8"/>
      <c r="B489" s="8"/>
      <c r="C489" s="8"/>
      <c r="D489" s="8"/>
      <c r="E489" s="8"/>
      <c r="F489" s="8"/>
      <c r="G489" s="8"/>
      <c r="H489" s="8"/>
      <c r="I489" s="8"/>
      <c r="J489" s="8"/>
      <c r="K489" s="8"/>
      <c r="L489" s="8"/>
      <c r="M489" s="8"/>
      <c r="N489" s="8"/>
      <c r="O489" s="8"/>
      <c r="P489" s="8"/>
      <c r="Q489" s="8"/>
      <c r="R489" s="8"/>
      <c r="S489" s="8"/>
      <c r="T489" s="8"/>
      <c r="U489" s="8"/>
      <c r="V489" s="8"/>
      <c r="W489" s="8"/>
      <c r="X489" s="8"/>
      <c r="Y489" s="8"/>
      <c r="Z489" s="8"/>
    </row>
    <row r="490">
      <c r="A490" s="8"/>
      <c r="B490" s="8"/>
      <c r="C490" s="8"/>
      <c r="D490" s="8"/>
      <c r="E490" s="8"/>
      <c r="F490" s="8"/>
      <c r="G490" s="8"/>
      <c r="H490" s="8"/>
      <c r="I490" s="8"/>
      <c r="J490" s="8"/>
      <c r="K490" s="8"/>
      <c r="L490" s="8"/>
      <c r="M490" s="8"/>
      <c r="N490" s="8"/>
      <c r="O490" s="8"/>
      <c r="P490" s="8"/>
      <c r="Q490" s="8"/>
      <c r="R490" s="8"/>
      <c r="S490" s="8"/>
      <c r="T490" s="8"/>
      <c r="U490" s="8"/>
      <c r="V490" s="8"/>
      <c r="W490" s="8"/>
      <c r="X490" s="8"/>
      <c r="Y490" s="8"/>
      <c r="Z490" s="8"/>
    </row>
    <row r="491">
      <c r="A491" s="8"/>
      <c r="B491" s="8"/>
      <c r="C491" s="8"/>
      <c r="D491" s="8"/>
      <c r="E491" s="8"/>
      <c r="F491" s="8"/>
      <c r="G491" s="8"/>
      <c r="H491" s="8"/>
      <c r="I491" s="8"/>
      <c r="J491" s="8"/>
      <c r="K491" s="8"/>
      <c r="L491" s="8"/>
      <c r="M491" s="8"/>
      <c r="N491" s="8"/>
      <c r="O491" s="8"/>
      <c r="P491" s="8"/>
      <c r="Q491" s="8"/>
      <c r="R491" s="8"/>
      <c r="S491" s="8"/>
      <c r="T491" s="8"/>
      <c r="U491" s="8"/>
      <c r="V491" s="8"/>
      <c r="W491" s="8"/>
      <c r="X491" s="8"/>
      <c r="Y491" s="8"/>
      <c r="Z491" s="8"/>
    </row>
    <row r="492">
      <c r="A492" s="8"/>
      <c r="B492" s="8"/>
      <c r="C492" s="8"/>
      <c r="D492" s="8"/>
      <c r="E492" s="8"/>
      <c r="F492" s="8"/>
      <c r="G492" s="8"/>
      <c r="H492" s="8"/>
      <c r="I492" s="8"/>
      <c r="J492" s="8"/>
      <c r="K492" s="8"/>
      <c r="L492" s="8"/>
      <c r="M492" s="8"/>
      <c r="N492" s="8"/>
      <c r="O492" s="8"/>
      <c r="P492" s="8"/>
      <c r="Q492" s="8"/>
      <c r="R492" s="8"/>
      <c r="S492" s="8"/>
      <c r="T492" s="8"/>
      <c r="U492" s="8"/>
      <c r="V492" s="8"/>
      <c r="W492" s="8"/>
      <c r="X492" s="8"/>
      <c r="Y492" s="8"/>
      <c r="Z492" s="8"/>
    </row>
    <row r="493">
      <c r="A493" s="8"/>
      <c r="B493" s="8"/>
      <c r="C493" s="8"/>
      <c r="D493" s="8"/>
      <c r="E493" s="8"/>
      <c r="F493" s="8"/>
      <c r="G493" s="8"/>
      <c r="H493" s="8"/>
      <c r="I493" s="8"/>
      <c r="J493" s="8"/>
      <c r="K493" s="8"/>
      <c r="L493" s="8"/>
      <c r="M493" s="8"/>
      <c r="N493" s="8"/>
      <c r="O493" s="8"/>
      <c r="P493" s="8"/>
      <c r="Q493" s="8"/>
      <c r="R493" s="8"/>
      <c r="S493" s="8"/>
      <c r="T493" s="8"/>
      <c r="U493" s="8"/>
      <c r="V493" s="8"/>
      <c r="W493" s="8"/>
      <c r="X493" s="8"/>
      <c r="Y493" s="8"/>
      <c r="Z493" s="8"/>
    </row>
    <row r="494">
      <c r="A494" s="8"/>
      <c r="B494" s="8"/>
      <c r="C494" s="8"/>
      <c r="D494" s="8"/>
      <c r="E494" s="8"/>
      <c r="F494" s="8"/>
      <c r="G494" s="8"/>
      <c r="H494" s="8"/>
      <c r="I494" s="8"/>
      <c r="J494" s="8"/>
      <c r="K494" s="8"/>
      <c r="L494" s="8"/>
      <c r="M494" s="8"/>
      <c r="N494" s="8"/>
      <c r="O494" s="8"/>
      <c r="P494" s="8"/>
      <c r="Q494" s="8"/>
      <c r="R494" s="8"/>
      <c r="S494" s="8"/>
      <c r="T494" s="8"/>
      <c r="U494" s="8"/>
      <c r="V494" s="8"/>
      <c r="W494" s="8"/>
      <c r="X494" s="8"/>
      <c r="Y494" s="8"/>
      <c r="Z494" s="8"/>
    </row>
    <row r="495">
      <c r="A495" s="8"/>
      <c r="B495" s="8"/>
      <c r="C495" s="8"/>
      <c r="D495" s="8"/>
      <c r="E495" s="8"/>
      <c r="F495" s="8"/>
      <c r="G495" s="8"/>
      <c r="H495" s="8"/>
      <c r="I495" s="8"/>
      <c r="J495" s="8"/>
      <c r="K495" s="8"/>
      <c r="L495" s="8"/>
      <c r="M495" s="8"/>
      <c r="N495" s="8"/>
      <c r="O495" s="8"/>
      <c r="P495" s="8"/>
      <c r="Q495" s="8"/>
      <c r="R495" s="8"/>
      <c r="S495" s="8"/>
      <c r="T495" s="8"/>
      <c r="U495" s="8"/>
      <c r="V495" s="8"/>
      <c r="W495" s="8"/>
      <c r="X495" s="8"/>
      <c r="Y495" s="8"/>
      <c r="Z495" s="8"/>
    </row>
    <row r="496">
      <c r="A496" s="8"/>
      <c r="B496" s="8"/>
      <c r="C496" s="8"/>
      <c r="D496" s="8"/>
      <c r="E496" s="8"/>
      <c r="F496" s="8"/>
      <c r="G496" s="8"/>
      <c r="H496" s="8"/>
      <c r="I496" s="8"/>
      <c r="J496" s="8"/>
      <c r="K496" s="8"/>
      <c r="L496" s="8"/>
      <c r="M496" s="8"/>
      <c r="N496" s="8"/>
      <c r="O496" s="8"/>
      <c r="P496" s="8"/>
      <c r="Q496" s="8"/>
      <c r="R496" s="8"/>
      <c r="S496" s="8"/>
      <c r="T496" s="8"/>
      <c r="U496" s="8"/>
      <c r="V496" s="8"/>
      <c r="W496" s="8"/>
      <c r="X496" s="8"/>
      <c r="Y496" s="8"/>
      <c r="Z496" s="8"/>
    </row>
    <row r="497">
      <c r="A497" s="8"/>
      <c r="B497" s="8"/>
      <c r="C497" s="8"/>
      <c r="D497" s="8"/>
      <c r="E497" s="8"/>
      <c r="F497" s="8"/>
      <c r="G497" s="8"/>
      <c r="H497" s="8"/>
      <c r="I497" s="8"/>
      <c r="J497" s="8"/>
      <c r="K497" s="8"/>
      <c r="L497" s="8"/>
      <c r="M497" s="8"/>
      <c r="N497" s="8"/>
      <c r="O497" s="8"/>
      <c r="P497" s="8"/>
      <c r="Q497" s="8"/>
      <c r="R497" s="8"/>
      <c r="S497" s="8"/>
      <c r="T497" s="8"/>
      <c r="U497" s="8"/>
      <c r="V497" s="8"/>
      <c r="W497" s="8"/>
      <c r="X497" s="8"/>
      <c r="Y497" s="8"/>
      <c r="Z497" s="8"/>
    </row>
    <row r="498">
      <c r="A498" s="8"/>
      <c r="B498" s="8"/>
      <c r="C498" s="8"/>
      <c r="D498" s="8"/>
      <c r="E498" s="8"/>
      <c r="F498" s="8"/>
      <c r="G498" s="8"/>
      <c r="H498" s="8"/>
      <c r="I498" s="8"/>
      <c r="J498" s="8"/>
      <c r="K498" s="8"/>
      <c r="L498" s="8"/>
      <c r="M498" s="8"/>
      <c r="N498" s="8"/>
      <c r="O498" s="8"/>
      <c r="P498" s="8"/>
      <c r="Q498" s="8"/>
      <c r="R498" s="8"/>
      <c r="S498" s="8"/>
      <c r="T498" s="8"/>
      <c r="U498" s="8"/>
      <c r="V498" s="8"/>
      <c r="W498" s="8"/>
      <c r="X498" s="8"/>
      <c r="Y498" s="8"/>
      <c r="Z498" s="8"/>
    </row>
    <row r="499">
      <c r="A499" s="8"/>
      <c r="B499" s="8"/>
      <c r="C499" s="8"/>
      <c r="D499" s="8"/>
      <c r="E499" s="8"/>
      <c r="F499" s="8"/>
      <c r="G499" s="8"/>
      <c r="H499" s="8"/>
      <c r="I499" s="8"/>
      <c r="J499" s="8"/>
      <c r="K499" s="8"/>
      <c r="L499" s="8"/>
      <c r="M499" s="8"/>
      <c r="N499" s="8"/>
      <c r="O499" s="8"/>
      <c r="P499" s="8"/>
      <c r="Q499" s="8"/>
      <c r="R499" s="8"/>
      <c r="S499" s="8"/>
      <c r="T499" s="8"/>
      <c r="U499" s="8"/>
      <c r="V499" s="8"/>
      <c r="W499" s="8"/>
      <c r="X499" s="8"/>
      <c r="Y499" s="8"/>
      <c r="Z499" s="8"/>
    </row>
    <row r="500">
      <c r="A500" s="8"/>
      <c r="B500" s="8"/>
      <c r="C500" s="8"/>
      <c r="D500" s="8"/>
      <c r="E500" s="8"/>
      <c r="F500" s="8"/>
      <c r="G500" s="8"/>
      <c r="H500" s="8"/>
      <c r="I500" s="8"/>
      <c r="J500" s="8"/>
      <c r="K500" s="8"/>
      <c r="L500" s="8"/>
      <c r="M500" s="8"/>
      <c r="N500" s="8"/>
      <c r="O500" s="8"/>
      <c r="P500" s="8"/>
      <c r="Q500" s="8"/>
      <c r="R500" s="8"/>
      <c r="S500" s="8"/>
      <c r="T500" s="8"/>
      <c r="U500" s="8"/>
      <c r="V500" s="8"/>
      <c r="W500" s="8"/>
      <c r="X500" s="8"/>
      <c r="Y500" s="8"/>
      <c r="Z500" s="8"/>
    </row>
    <row r="501">
      <c r="A501" s="8"/>
      <c r="B501" s="8"/>
      <c r="C501" s="8"/>
      <c r="D501" s="8"/>
      <c r="E501" s="8"/>
      <c r="F501" s="8"/>
      <c r="G501" s="8"/>
      <c r="H501" s="8"/>
      <c r="I501" s="8"/>
      <c r="J501" s="8"/>
      <c r="K501" s="8"/>
      <c r="L501" s="8"/>
      <c r="M501" s="8"/>
      <c r="N501" s="8"/>
      <c r="O501" s="8"/>
      <c r="P501" s="8"/>
      <c r="Q501" s="8"/>
      <c r="R501" s="8"/>
      <c r="S501" s="8"/>
      <c r="T501" s="8"/>
      <c r="U501" s="8"/>
      <c r="V501" s="8"/>
      <c r="W501" s="8"/>
      <c r="X501" s="8"/>
      <c r="Y501" s="8"/>
      <c r="Z501" s="8"/>
    </row>
    <row r="502">
      <c r="A502" s="8"/>
      <c r="B502" s="8"/>
      <c r="C502" s="8"/>
      <c r="D502" s="8"/>
      <c r="E502" s="8"/>
      <c r="F502" s="8"/>
      <c r="G502" s="8"/>
      <c r="H502" s="8"/>
      <c r="I502" s="8"/>
      <c r="J502" s="8"/>
      <c r="K502" s="8"/>
      <c r="L502" s="8"/>
      <c r="M502" s="8"/>
      <c r="N502" s="8"/>
      <c r="O502" s="8"/>
      <c r="P502" s="8"/>
      <c r="Q502" s="8"/>
      <c r="R502" s="8"/>
      <c r="S502" s="8"/>
      <c r="T502" s="8"/>
      <c r="U502" s="8"/>
      <c r="V502" s="8"/>
      <c r="W502" s="8"/>
      <c r="X502" s="8"/>
      <c r="Y502" s="8"/>
      <c r="Z502" s="8"/>
    </row>
    <row r="503">
      <c r="A503" s="8"/>
      <c r="B503" s="8"/>
      <c r="C503" s="8"/>
      <c r="D503" s="8"/>
      <c r="E503" s="8"/>
      <c r="F503" s="8"/>
      <c r="G503" s="8"/>
      <c r="H503" s="8"/>
      <c r="I503" s="8"/>
      <c r="J503" s="8"/>
      <c r="K503" s="8"/>
      <c r="L503" s="8"/>
      <c r="M503" s="8"/>
      <c r="N503" s="8"/>
      <c r="O503" s="8"/>
      <c r="P503" s="8"/>
      <c r="Q503" s="8"/>
      <c r="R503" s="8"/>
      <c r="S503" s="8"/>
      <c r="T503" s="8"/>
      <c r="U503" s="8"/>
      <c r="V503" s="8"/>
      <c r="W503" s="8"/>
      <c r="X503" s="8"/>
      <c r="Y503" s="8"/>
      <c r="Z503" s="8"/>
    </row>
    <row r="504">
      <c r="A504" s="8"/>
      <c r="B504" s="8"/>
      <c r="C504" s="8"/>
      <c r="D504" s="8"/>
      <c r="E504" s="8"/>
      <c r="F504" s="8"/>
      <c r="G504" s="8"/>
      <c r="H504" s="8"/>
      <c r="I504" s="8"/>
      <c r="J504" s="8"/>
      <c r="K504" s="8"/>
      <c r="L504" s="8"/>
      <c r="M504" s="8"/>
      <c r="N504" s="8"/>
      <c r="O504" s="8"/>
      <c r="P504" s="8"/>
      <c r="Q504" s="8"/>
      <c r="R504" s="8"/>
      <c r="S504" s="8"/>
      <c r="T504" s="8"/>
      <c r="U504" s="8"/>
      <c r="V504" s="8"/>
      <c r="W504" s="8"/>
      <c r="X504" s="8"/>
      <c r="Y504" s="8"/>
      <c r="Z504" s="8"/>
    </row>
    <row r="505">
      <c r="A505" s="8"/>
      <c r="B505" s="8"/>
      <c r="C505" s="8"/>
      <c r="D505" s="8"/>
      <c r="E505" s="8"/>
      <c r="F505" s="8"/>
      <c r="G505" s="8"/>
      <c r="H505" s="8"/>
      <c r="I505" s="8"/>
      <c r="J505" s="8"/>
      <c r="K505" s="8"/>
      <c r="L505" s="8"/>
      <c r="M505" s="8"/>
      <c r="N505" s="8"/>
      <c r="O505" s="8"/>
      <c r="P505" s="8"/>
      <c r="Q505" s="8"/>
      <c r="R505" s="8"/>
      <c r="S505" s="8"/>
      <c r="T505" s="8"/>
      <c r="U505" s="8"/>
      <c r="V505" s="8"/>
      <c r="W505" s="8"/>
      <c r="X505" s="8"/>
      <c r="Y505" s="8"/>
      <c r="Z505" s="8"/>
    </row>
    <row r="506">
      <c r="A506" s="8"/>
      <c r="B506" s="8"/>
      <c r="C506" s="8"/>
      <c r="D506" s="8"/>
      <c r="E506" s="8"/>
      <c r="F506" s="8"/>
      <c r="G506" s="8"/>
      <c r="H506" s="8"/>
      <c r="I506" s="8"/>
      <c r="J506" s="8"/>
      <c r="K506" s="8"/>
      <c r="L506" s="8"/>
      <c r="M506" s="8"/>
      <c r="N506" s="8"/>
      <c r="O506" s="8"/>
      <c r="P506" s="8"/>
      <c r="Q506" s="8"/>
      <c r="R506" s="8"/>
      <c r="S506" s="8"/>
      <c r="T506" s="8"/>
      <c r="U506" s="8"/>
      <c r="V506" s="8"/>
      <c r="W506" s="8"/>
      <c r="X506" s="8"/>
      <c r="Y506" s="8"/>
      <c r="Z506" s="8"/>
    </row>
    <row r="507">
      <c r="A507" s="8"/>
      <c r="B507" s="8"/>
      <c r="C507" s="8"/>
      <c r="D507" s="8"/>
      <c r="E507" s="8"/>
      <c r="F507" s="8"/>
      <c r="G507" s="8"/>
      <c r="H507" s="8"/>
      <c r="I507" s="8"/>
      <c r="J507" s="8"/>
      <c r="K507" s="8"/>
      <c r="L507" s="8"/>
      <c r="M507" s="8"/>
      <c r="N507" s="8"/>
      <c r="O507" s="8"/>
      <c r="P507" s="8"/>
      <c r="Q507" s="8"/>
      <c r="R507" s="8"/>
      <c r="S507" s="8"/>
      <c r="T507" s="8"/>
      <c r="U507" s="8"/>
      <c r="V507" s="8"/>
      <c r="W507" s="8"/>
      <c r="X507" s="8"/>
      <c r="Y507" s="8"/>
      <c r="Z507" s="8"/>
    </row>
    <row r="508">
      <c r="A508" s="8"/>
      <c r="B508" s="8"/>
      <c r="C508" s="8"/>
      <c r="D508" s="8"/>
      <c r="E508" s="8"/>
      <c r="F508" s="8"/>
      <c r="G508" s="8"/>
      <c r="H508" s="8"/>
      <c r="I508" s="8"/>
      <c r="J508" s="8"/>
      <c r="K508" s="8"/>
      <c r="L508" s="8"/>
      <c r="M508" s="8"/>
      <c r="N508" s="8"/>
      <c r="O508" s="8"/>
      <c r="P508" s="8"/>
      <c r="Q508" s="8"/>
      <c r="R508" s="8"/>
      <c r="S508" s="8"/>
      <c r="T508" s="8"/>
      <c r="U508" s="8"/>
      <c r="V508" s="8"/>
      <c r="W508" s="8"/>
      <c r="X508" s="8"/>
      <c r="Y508" s="8"/>
      <c r="Z508" s="8"/>
    </row>
    <row r="509">
      <c r="A509" s="8"/>
      <c r="B509" s="8"/>
      <c r="C509" s="8"/>
      <c r="D509" s="8"/>
      <c r="E509" s="8"/>
      <c r="F509" s="8"/>
      <c r="G509" s="8"/>
      <c r="H509" s="8"/>
      <c r="I509" s="8"/>
      <c r="J509" s="8"/>
      <c r="K509" s="8"/>
      <c r="L509" s="8"/>
      <c r="M509" s="8"/>
      <c r="N509" s="8"/>
      <c r="O509" s="8"/>
      <c r="P509" s="8"/>
      <c r="Q509" s="8"/>
      <c r="R509" s="8"/>
      <c r="S509" s="8"/>
      <c r="T509" s="8"/>
      <c r="U509" s="8"/>
      <c r="V509" s="8"/>
      <c r="W509" s="8"/>
      <c r="X509" s="8"/>
      <c r="Y509" s="8"/>
      <c r="Z509" s="8"/>
    </row>
    <row r="510">
      <c r="A510" s="8"/>
      <c r="B510" s="8"/>
      <c r="C510" s="8"/>
      <c r="D510" s="8"/>
      <c r="E510" s="8"/>
      <c r="F510" s="8"/>
      <c r="G510" s="8"/>
      <c r="H510" s="8"/>
      <c r="I510" s="8"/>
      <c r="J510" s="8"/>
      <c r="K510" s="8"/>
      <c r="L510" s="8"/>
      <c r="M510" s="8"/>
      <c r="N510" s="8"/>
      <c r="O510" s="8"/>
      <c r="P510" s="8"/>
      <c r="Q510" s="8"/>
      <c r="R510" s="8"/>
      <c r="S510" s="8"/>
      <c r="T510" s="8"/>
      <c r="U510" s="8"/>
      <c r="V510" s="8"/>
      <c r="W510" s="8"/>
      <c r="X510" s="8"/>
      <c r="Y510" s="8"/>
      <c r="Z510" s="8"/>
    </row>
    <row r="511">
      <c r="A511" s="8"/>
      <c r="B511" s="8"/>
      <c r="C511" s="8"/>
      <c r="D511" s="8"/>
      <c r="E511" s="8"/>
      <c r="F511" s="8"/>
      <c r="G511" s="8"/>
      <c r="H511" s="8"/>
      <c r="I511" s="8"/>
      <c r="J511" s="8"/>
      <c r="K511" s="8"/>
      <c r="L511" s="8"/>
      <c r="M511" s="8"/>
      <c r="N511" s="8"/>
      <c r="O511" s="8"/>
      <c r="P511" s="8"/>
      <c r="Q511" s="8"/>
      <c r="R511" s="8"/>
      <c r="S511" s="8"/>
      <c r="T511" s="8"/>
      <c r="U511" s="8"/>
      <c r="V511" s="8"/>
      <c r="W511" s="8"/>
      <c r="X511" s="8"/>
      <c r="Y511" s="8"/>
      <c r="Z511" s="8"/>
    </row>
    <row r="512">
      <c r="A512" s="8"/>
      <c r="B512" s="8"/>
      <c r="C512" s="8"/>
      <c r="D512" s="8"/>
      <c r="E512" s="8"/>
      <c r="F512" s="8"/>
      <c r="G512" s="8"/>
      <c r="H512" s="8"/>
      <c r="I512" s="8"/>
      <c r="J512" s="8"/>
      <c r="K512" s="8"/>
      <c r="L512" s="8"/>
      <c r="M512" s="8"/>
      <c r="N512" s="8"/>
      <c r="O512" s="8"/>
      <c r="P512" s="8"/>
      <c r="Q512" s="8"/>
      <c r="R512" s="8"/>
      <c r="S512" s="8"/>
      <c r="T512" s="8"/>
      <c r="U512" s="8"/>
      <c r="V512" s="8"/>
      <c r="W512" s="8"/>
      <c r="X512" s="8"/>
      <c r="Y512" s="8"/>
      <c r="Z512" s="8"/>
    </row>
    <row r="513">
      <c r="A513" s="8"/>
      <c r="B513" s="8"/>
      <c r="C513" s="8"/>
      <c r="D513" s="8"/>
      <c r="E513" s="8"/>
      <c r="F513" s="8"/>
      <c r="G513" s="8"/>
      <c r="H513" s="8"/>
      <c r="I513" s="8"/>
      <c r="J513" s="8"/>
      <c r="K513" s="8"/>
      <c r="L513" s="8"/>
      <c r="M513" s="8"/>
      <c r="N513" s="8"/>
      <c r="O513" s="8"/>
      <c r="P513" s="8"/>
      <c r="Q513" s="8"/>
      <c r="R513" s="8"/>
      <c r="S513" s="8"/>
      <c r="T513" s="8"/>
      <c r="U513" s="8"/>
      <c r="V513" s="8"/>
      <c r="W513" s="8"/>
      <c r="X513" s="8"/>
      <c r="Y513" s="8"/>
      <c r="Z513" s="8"/>
    </row>
    <row r="514">
      <c r="A514" s="8"/>
      <c r="B514" s="8"/>
      <c r="C514" s="8"/>
      <c r="D514" s="8"/>
      <c r="E514" s="8"/>
      <c r="F514" s="8"/>
      <c r="G514" s="8"/>
      <c r="H514" s="8"/>
      <c r="I514" s="8"/>
      <c r="J514" s="8"/>
      <c r="K514" s="8"/>
      <c r="L514" s="8"/>
      <c r="M514" s="8"/>
      <c r="N514" s="8"/>
      <c r="O514" s="8"/>
      <c r="P514" s="8"/>
      <c r="Q514" s="8"/>
      <c r="R514" s="8"/>
      <c r="S514" s="8"/>
      <c r="T514" s="8"/>
      <c r="U514" s="8"/>
      <c r="V514" s="8"/>
      <c r="W514" s="8"/>
      <c r="X514" s="8"/>
      <c r="Y514" s="8"/>
      <c r="Z514" s="8"/>
    </row>
    <row r="515">
      <c r="A515" s="8"/>
      <c r="B515" s="8"/>
      <c r="C515" s="8"/>
      <c r="D515" s="8"/>
      <c r="E515" s="8"/>
      <c r="F515" s="8"/>
      <c r="G515" s="8"/>
      <c r="H515" s="8"/>
      <c r="I515" s="8"/>
      <c r="J515" s="8"/>
      <c r="K515" s="8"/>
      <c r="L515" s="8"/>
      <c r="M515" s="8"/>
      <c r="N515" s="8"/>
      <c r="O515" s="8"/>
      <c r="P515" s="8"/>
      <c r="Q515" s="8"/>
      <c r="R515" s="8"/>
      <c r="S515" s="8"/>
      <c r="T515" s="8"/>
      <c r="U515" s="8"/>
      <c r="V515" s="8"/>
      <c r="W515" s="8"/>
      <c r="X515" s="8"/>
      <c r="Y515" s="8"/>
      <c r="Z515" s="8"/>
    </row>
    <row r="516">
      <c r="A516" s="8"/>
      <c r="B516" s="8"/>
      <c r="C516" s="8"/>
      <c r="D516" s="8"/>
      <c r="E516" s="8"/>
      <c r="F516" s="8"/>
      <c r="G516" s="8"/>
      <c r="H516" s="8"/>
      <c r="I516" s="8"/>
      <c r="J516" s="8"/>
      <c r="K516" s="8"/>
      <c r="L516" s="8"/>
      <c r="M516" s="8"/>
      <c r="N516" s="8"/>
      <c r="O516" s="8"/>
      <c r="P516" s="8"/>
      <c r="Q516" s="8"/>
      <c r="R516" s="8"/>
      <c r="S516" s="8"/>
      <c r="T516" s="8"/>
      <c r="U516" s="8"/>
      <c r="V516" s="8"/>
      <c r="W516" s="8"/>
      <c r="X516" s="8"/>
      <c r="Y516" s="8"/>
      <c r="Z516" s="8"/>
    </row>
    <row r="517">
      <c r="A517" s="8"/>
      <c r="B517" s="8"/>
      <c r="C517" s="8"/>
      <c r="D517" s="8"/>
      <c r="E517" s="8"/>
      <c r="F517" s="8"/>
      <c r="G517" s="8"/>
      <c r="H517" s="8"/>
      <c r="I517" s="8"/>
      <c r="J517" s="8"/>
      <c r="K517" s="8"/>
      <c r="L517" s="8"/>
      <c r="M517" s="8"/>
      <c r="N517" s="8"/>
      <c r="O517" s="8"/>
      <c r="P517" s="8"/>
      <c r="Q517" s="8"/>
      <c r="R517" s="8"/>
      <c r="S517" s="8"/>
      <c r="T517" s="8"/>
      <c r="U517" s="8"/>
      <c r="V517" s="8"/>
      <c r="W517" s="8"/>
      <c r="X517" s="8"/>
      <c r="Y517" s="8"/>
      <c r="Z517" s="8"/>
    </row>
    <row r="518">
      <c r="A518" s="8"/>
      <c r="B518" s="8"/>
      <c r="C518" s="8"/>
      <c r="D518" s="8"/>
      <c r="E518" s="8"/>
      <c r="F518" s="8"/>
      <c r="G518" s="8"/>
      <c r="H518" s="8"/>
      <c r="I518" s="8"/>
      <c r="J518" s="8"/>
      <c r="K518" s="8"/>
      <c r="L518" s="8"/>
      <c r="M518" s="8"/>
      <c r="N518" s="8"/>
      <c r="O518" s="8"/>
      <c r="P518" s="8"/>
      <c r="Q518" s="8"/>
      <c r="R518" s="8"/>
      <c r="S518" s="8"/>
      <c r="T518" s="8"/>
      <c r="U518" s="8"/>
      <c r="V518" s="8"/>
      <c r="W518" s="8"/>
      <c r="X518" s="8"/>
      <c r="Y518" s="8"/>
      <c r="Z518" s="8"/>
    </row>
    <row r="519">
      <c r="A519" s="8"/>
      <c r="B519" s="8"/>
      <c r="C519" s="8"/>
      <c r="D519" s="8"/>
      <c r="E519" s="8"/>
      <c r="F519" s="8"/>
      <c r="G519" s="8"/>
      <c r="H519" s="8"/>
      <c r="I519" s="8"/>
      <c r="J519" s="8"/>
      <c r="K519" s="8"/>
      <c r="L519" s="8"/>
      <c r="M519" s="8"/>
      <c r="N519" s="8"/>
      <c r="O519" s="8"/>
      <c r="P519" s="8"/>
      <c r="Q519" s="8"/>
      <c r="R519" s="8"/>
      <c r="S519" s="8"/>
      <c r="T519" s="8"/>
      <c r="U519" s="8"/>
      <c r="V519" s="8"/>
      <c r="W519" s="8"/>
      <c r="X519" s="8"/>
      <c r="Y519" s="8"/>
      <c r="Z519" s="8"/>
    </row>
    <row r="520">
      <c r="A520" s="8"/>
      <c r="B520" s="8"/>
      <c r="C520" s="8"/>
      <c r="D520" s="8"/>
      <c r="E520" s="8"/>
      <c r="F520" s="8"/>
      <c r="G520" s="8"/>
      <c r="H520" s="8"/>
      <c r="I520" s="8"/>
      <c r="J520" s="8"/>
      <c r="K520" s="8"/>
      <c r="L520" s="8"/>
      <c r="M520" s="8"/>
      <c r="N520" s="8"/>
      <c r="O520" s="8"/>
      <c r="P520" s="8"/>
      <c r="Q520" s="8"/>
      <c r="R520" s="8"/>
      <c r="S520" s="8"/>
      <c r="T520" s="8"/>
      <c r="U520" s="8"/>
      <c r="V520" s="8"/>
      <c r="W520" s="8"/>
      <c r="X520" s="8"/>
      <c r="Y520" s="8"/>
      <c r="Z520" s="8"/>
    </row>
    <row r="521">
      <c r="A521" s="8"/>
      <c r="B521" s="8"/>
      <c r="C521" s="8"/>
      <c r="D521" s="8"/>
      <c r="E521" s="8"/>
      <c r="F521" s="8"/>
      <c r="G521" s="8"/>
      <c r="H521" s="8"/>
      <c r="I521" s="8"/>
      <c r="J521" s="8"/>
      <c r="K521" s="8"/>
      <c r="L521" s="8"/>
      <c r="M521" s="8"/>
      <c r="N521" s="8"/>
      <c r="O521" s="8"/>
      <c r="P521" s="8"/>
      <c r="Q521" s="8"/>
      <c r="R521" s="8"/>
      <c r="S521" s="8"/>
      <c r="T521" s="8"/>
      <c r="U521" s="8"/>
      <c r="V521" s="8"/>
      <c r="W521" s="8"/>
      <c r="X521" s="8"/>
      <c r="Y521" s="8"/>
      <c r="Z521" s="8"/>
    </row>
    <row r="522">
      <c r="A522" s="8"/>
      <c r="B522" s="8"/>
      <c r="C522" s="8"/>
      <c r="D522" s="8"/>
      <c r="E522" s="8"/>
      <c r="F522" s="8"/>
      <c r="G522" s="8"/>
      <c r="H522" s="8"/>
      <c r="I522" s="8"/>
      <c r="J522" s="8"/>
      <c r="K522" s="8"/>
      <c r="L522" s="8"/>
      <c r="M522" s="8"/>
      <c r="N522" s="8"/>
      <c r="O522" s="8"/>
      <c r="P522" s="8"/>
      <c r="Q522" s="8"/>
      <c r="R522" s="8"/>
      <c r="S522" s="8"/>
      <c r="T522" s="8"/>
      <c r="U522" s="8"/>
      <c r="V522" s="8"/>
      <c r="W522" s="8"/>
      <c r="X522" s="8"/>
      <c r="Y522" s="8"/>
      <c r="Z522" s="8"/>
    </row>
    <row r="523">
      <c r="A523" s="8"/>
      <c r="B523" s="8"/>
      <c r="C523" s="8"/>
      <c r="D523" s="8"/>
      <c r="E523" s="8"/>
      <c r="F523" s="8"/>
      <c r="G523" s="8"/>
      <c r="H523" s="8"/>
      <c r="I523" s="8"/>
      <c r="J523" s="8"/>
      <c r="K523" s="8"/>
      <c r="L523" s="8"/>
      <c r="M523" s="8"/>
      <c r="N523" s="8"/>
      <c r="O523" s="8"/>
      <c r="P523" s="8"/>
      <c r="Q523" s="8"/>
      <c r="R523" s="8"/>
      <c r="S523" s="8"/>
      <c r="T523" s="8"/>
      <c r="U523" s="8"/>
      <c r="V523" s="8"/>
      <c r="W523" s="8"/>
      <c r="X523" s="8"/>
      <c r="Y523" s="8"/>
      <c r="Z523" s="8"/>
    </row>
    <row r="524">
      <c r="A524" s="8"/>
      <c r="B524" s="8"/>
      <c r="C524" s="8"/>
      <c r="D524" s="8"/>
      <c r="E524" s="8"/>
      <c r="F524" s="8"/>
      <c r="G524" s="8"/>
      <c r="H524" s="8"/>
      <c r="I524" s="8"/>
      <c r="J524" s="8"/>
      <c r="K524" s="8"/>
      <c r="L524" s="8"/>
      <c r="M524" s="8"/>
      <c r="N524" s="8"/>
      <c r="O524" s="8"/>
      <c r="P524" s="8"/>
      <c r="Q524" s="8"/>
      <c r="R524" s="8"/>
      <c r="S524" s="8"/>
      <c r="T524" s="8"/>
      <c r="U524" s="8"/>
      <c r="V524" s="8"/>
      <c r="W524" s="8"/>
      <c r="X524" s="8"/>
      <c r="Y524" s="8"/>
      <c r="Z524" s="8"/>
    </row>
    <row r="525">
      <c r="A525" s="8"/>
      <c r="B525" s="8"/>
      <c r="C525" s="8"/>
      <c r="D525" s="8"/>
      <c r="E525" s="8"/>
      <c r="F525" s="8"/>
      <c r="G525" s="8"/>
      <c r="H525" s="8"/>
      <c r="I525" s="8"/>
      <c r="J525" s="8"/>
      <c r="K525" s="8"/>
      <c r="L525" s="8"/>
      <c r="M525" s="8"/>
      <c r="N525" s="8"/>
      <c r="O525" s="8"/>
      <c r="P525" s="8"/>
      <c r="Q525" s="8"/>
      <c r="R525" s="8"/>
      <c r="S525" s="8"/>
      <c r="T525" s="8"/>
      <c r="U525" s="8"/>
      <c r="V525" s="8"/>
      <c r="W525" s="8"/>
      <c r="X525" s="8"/>
      <c r="Y525" s="8"/>
      <c r="Z525" s="8"/>
    </row>
    <row r="526">
      <c r="A526" s="8"/>
      <c r="B526" s="8"/>
      <c r="C526" s="8"/>
      <c r="D526" s="8"/>
      <c r="E526" s="8"/>
      <c r="F526" s="8"/>
      <c r="G526" s="8"/>
      <c r="H526" s="8"/>
      <c r="I526" s="8"/>
      <c r="J526" s="8"/>
      <c r="K526" s="8"/>
      <c r="L526" s="8"/>
      <c r="M526" s="8"/>
      <c r="N526" s="8"/>
      <c r="O526" s="8"/>
      <c r="P526" s="8"/>
      <c r="Q526" s="8"/>
      <c r="R526" s="8"/>
      <c r="S526" s="8"/>
      <c r="T526" s="8"/>
      <c r="U526" s="8"/>
      <c r="V526" s="8"/>
      <c r="W526" s="8"/>
      <c r="X526" s="8"/>
      <c r="Y526" s="8"/>
      <c r="Z526" s="8"/>
    </row>
    <row r="527">
      <c r="A527" s="8"/>
      <c r="B527" s="8"/>
      <c r="C527" s="8"/>
      <c r="D527" s="8"/>
      <c r="E527" s="8"/>
      <c r="F527" s="8"/>
      <c r="G527" s="8"/>
      <c r="H527" s="8"/>
      <c r="I527" s="8"/>
      <c r="J527" s="8"/>
      <c r="K527" s="8"/>
      <c r="L527" s="8"/>
      <c r="M527" s="8"/>
      <c r="N527" s="8"/>
      <c r="O527" s="8"/>
      <c r="P527" s="8"/>
      <c r="Q527" s="8"/>
      <c r="R527" s="8"/>
      <c r="S527" s="8"/>
      <c r="T527" s="8"/>
      <c r="U527" s="8"/>
      <c r="V527" s="8"/>
      <c r="W527" s="8"/>
      <c r="X527" s="8"/>
      <c r="Y527" s="8"/>
      <c r="Z527" s="8"/>
    </row>
    <row r="528">
      <c r="A528" s="8"/>
      <c r="B528" s="8"/>
      <c r="C528" s="8"/>
      <c r="D528" s="8"/>
      <c r="E528" s="8"/>
      <c r="F528" s="8"/>
      <c r="G528" s="8"/>
      <c r="H528" s="8"/>
      <c r="I528" s="8"/>
      <c r="J528" s="8"/>
      <c r="K528" s="8"/>
      <c r="L528" s="8"/>
      <c r="M528" s="8"/>
      <c r="N528" s="8"/>
      <c r="O528" s="8"/>
      <c r="P528" s="8"/>
      <c r="Q528" s="8"/>
      <c r="R528" s="8"/>
      <c r="S528" s="8"/>
      <c r="T528" s="8"/>
      <c r="U528" s="8"/>
      <c r="V528" s="8"/>
      <c r="W528" s="8"/>
      <c r="X528" s="8"/>
      <c r="Y528" s="8"/>
      <c r="Z528" s="8"/>
    </row>
    <row r="529">
      <c r="A529" s="8"/>
      <c r="B529" s="8"/>
      <c r="C529" s="8"/>
      <c r="D529" s="8"/>
      <c r="E529" s="8"/>
      <c r="F529" s="8"/>
      <c r="G529" s="8"/>
      <c r="H529" s="8"/>
      <c r="I529" s="8"/>
      <c r="J529" s="8"/>
      <c r="K529" s="8"/>
      <c r="L529" s="8"/>
      <c r="M529" s="8"/>
      <c r="N529" s="8"/>
      <c r="O529" s="8"/>
      <c r="P529" s="8"/>
      <c r="Q529" s="8"/>
      <c r="R529" s="8"/>
      <c r="S529" s="8"/>
      <c r="T529" s="8"/>
      <c r="U529" s="8"/>
      <c r="V529" s="8"/>
      <c r="W529" s="8"/>
      <c r="X529" s="8"/>
      <c r="Y529" s="8"/>
      <c r="Z529" s="8"/>
    </row>
    <row r="530">
      <c r="A530" s="8"/>
      <c r="B530" s="8"/>
      <c r="C530" s="8"/>
      <c r="D530" s="8"/>
      <c r="E530" s="8"/>
      <c r="F530" s="8"/>
      <c r="G530" s="8"/>
      <c r="H530" s="8"/>
      <c r="I530" s="8"/>
      <c r="J530" s="8"/>
      <c r="K530" s="8"/>
      <c r="L530" s="8"/>
      <c r="M530" s="8"/>
      <c r="N530" s="8"/>
      <c r="O530" s="8"/>
      <c r="P530" s="8"/>
      <c r="Q530" s="8"/>
      <c r="R530" s="8"/>
      <c r="S530" s="8"/>
      <c r="T530" s="8"/>
      <c r="U530" s="8"/>
      <c r="V530" s="8"/>
      <c r="W530" s="8"/>
      <c r="X530" s="8"/>
      <c r="Y530" s="8"/>
      <c r="Z530" s="8"/>
    </row>
    <row r="531">
      <c r="A531" s="8"/>
      <c r="B531" s="8"/>
      <c r="C531" s="8"/>
      <c r="D531" s="8"/>
      <c r="E531" s="8"/>
      <c r="F531" s="8"/>
      <c r="G531" s="8"/>
      <c r="H531" s="8"/>
      <c r="I531" s="8"/>
      <c r="J531" s="8"/>
      <c r="K531" s="8"/>
      <c r="L531" s="8"/>
      <c r="M531" s="8"/>
      <c r="N531" s="8"/>
      <c r="O531" s="8"/>
      <c r="P531" s="8"/>
      <c r="Q531" s="8"/>
      <c r="R531" s="8"/>
      <c r="S531" s="8"/>
      <c r="T531" s="8"/>
      <c r="U531" s="8"/>
      <c r="V531" s="8"/>
      <c r="W531" s="8"/>
      <c r="X531" s="8"/>
      <c r="Y531" s="8"/>
      <c r="Z531" s="8"/>
    </row>
    <row r="532">
      <c r="A532" s="8"/>
      <c r="B532" s="8"/>
      <c r="C532" s="8"/>
      <c r="D532" s="8"/>
      <c r="E532" s="8"/>
      <c r="F532" s="8"/>
      <c r="G532" s="8"/>
      <c r="H532" s="8"/>
      <c r="I532" s="8"/>
      <c r="J532" s="8"/>
      <c r="K532" s="8"/>
      <c r="L532" s="8"/>
      <c r="M532" s="8"/>
      <c r="N532" s="8"/>
      <c r="O532" s="8"/>
      <c r="P532" s="8"/>
      <c r="Q532" s="8"/>
      <c r="R532" s="8"/>
      <c r="S532" s="8"/>
      <c r="T532" s="8"/>
      <c r="U532" s="8"/>
      <c r="V532" s="8"/>
      <c r="W532" s="8"/>
      <c r="X532" s="8"/>
      <c r="Y532" s="8"/>
      <c r="Z532" s="8"/>
    </row>
    <row r="533">
      <c r="A533" s="8"/>
      <c r="B533" s="8"/>
      <c r="C533" s="8"/>
      <c r="D533" s="8"/>
      <c r="E533" s="8"/>
      <c r="F533" s="8"/>
      <c r="G533" s="8"/>
      <c r="H533" s="8"/>
      <c r="I533" s="8"/>
      <c r="J533" s="8"/>
      <c r="K533" s="8"/>
      <c r="L533" s="8"/>
      <c r="M533" s="8"/>
      <c r="N533" s="8"/>
      <c r="O533" s="8"/>
      <c r="P533" s="8"/>
      <c r="Q533" s="8"/>
      <c r="R533" s="8"/>
      <c r="S533" s="8"/>
      <c r="T533" s="8"/>
      <c r="U533" s="8"/>
      <c r="V533" s="8"/>
      <c r="W533" s="8"/>
      <c r="X533" s="8"/>
      <c r="Y533" s="8"/>
      <c r="Z533" s="8"/>
    </row>
    <row r="534">
      <c r="A534" s="8"/>
      <c r="B534" s="8"/>
      <c r="C534" s="8"/>
      <c r="D534" s="8"/>
      <c r="E534" s="8"/>
      <c r="F534" s="8"/>
      <c r="G534" s="8"/>
      <c r="H534" s="8"/>
      <c r="I534" s="8"/>
      <c r="J534" s="8"/>
      <c r="K534" s="8"/>
      <c r="L534" s="8"/>
      <c r="M534" s="8"/>
      <c r="N534" s="8"/>
      <c r="O534" s="8"/>
      <c r="P534" s="8"/>
      <c r="Q534" s="8"/>
      <c r="R534" s="8"/>
      <c r="S534" s="8"/>
      <c r="T534" s="8"/>
      <c r="U534" s="8"/>
      <c r="V534" s="8"/>
      <c r="W534" s="8"/>
      <c r="X534" s="8"/>
      <c r="Y534" s="8"/>
      <c r="Z534" s="8"/>
    </row>
    <row r="535">
      <c r="A535" s="8"/>
      <c r="B535" s="8"/>
      <c r="C535" s="8"/>
      <c r="D535" s="8"/>
      <c r="E535" s="8"/>
      <c r="F535" s="8"/>
      <c r="G535" s="8"/>
      <c r="H535" s="8"/>
      <c r="I535" s="8"/>
      <c r="J535" s="8"/>
      <c r="K535" s="8"/>
      <c r="L535" s="8"/>
      <c r="M535" s="8"/>
      <c r="N535" s="8"/>
      <c r="O535" s="8"/>
      <c r="P535" s="8"/>
      <c r="Q535" s="8"/>
      <c r="R535" s="8"/>
      <c r="S535" s="8"/>
      <c r="T535" s="8"/>
      <c r="U535" s="8"/>
      <c r="V535" s="8"/>
      <c r="W535" s="8"/>
      <c r="X535" s="8"/>
      <c r="Y535" s="8"/>
      <c r="Z535" s="8"/>
    </row>
    <row r="536">
      <c r="A536" s="8"/>
      <c r="B536" s="8"/>
      <c r="C536" s="8"/>
      <c r="D536" s="8"/>
      <c r="E536" s="8"/>
      <c r="F536" s="8"/>
      <c r="G536" s="8"/>
      <c r="H536" s="8"/>
      <c r="I536" s="8"/>
      <c r="J536" s="8"/>
      <c r="K536" s="8"/>
      <c r="L536" s="8"/>
      <c r="M536" s="8"/>
      <c r="N536" s="8"/>
      <c r="O536" s="8"/>
      <c r="P536" s="8"/>
      <c r="Q536" s="8"/>
      <c r="R536" s="8"/>
      <c r="S536" s="8"/>
      <c r="T536" s="8"/>
      <c r="U536" s="8"/>
      <c r="V536" s="8"/>
      <c r="W536" s="8"/>
      <c r="X536" s="8"/>
      <c r="Y536" s="8"/>
      <c r="Z536" s="8"/>
    </row>
    <row r="537">
      <c r="A537" s="8"/>
      <c r="B537" s="8"/>
      <c r="C537" s="8"/>
      <c r="D537" s="8"/>
      <c r="E537" s="8"/>
      <c r="F537" s="8"/>
      <c r="G537" s="8"/>
      <c r="H537" s="8"/>
      <c r="I537" s="8"/>
      <c r="J537" s="8"/>
      <c r="K537" s="8"/>
      <c r="L537" s="8"/>
      <c r="M537" s="8"/>
      <c r="N537" s="8"/>
      <c r="O537" s="8"/>
      <c r="P537" s="8"/>
      <c r="Q537" s="8"/>
      <c r="R537" s="8"/>
      <c r="S537" s="8"/>
      <c r="T537" s="8"/>
      <c r="U537" s="8"/>
      <c r="V537" s="8"/>
      <c r="W537" s="8"/>
      <c r="X537" s="8"/>
      <c r="Y537" s="8"/>
      <c r="Z537" s="8"/>
    </row>
    <row r="538">
      <c r="A538" s="8"/>
      <c r="B538" s="8"/>
      <c r="C538" s="8"/>
      <c r="D538" s="8"/>
      <c r="E538" s="8"/>
      <c r="F538" s="8"/>
      <c r="G538" s="8"/>
      <c r="H538" s="8"/>
      <c r="I538" s="8"/>
      <c r="J538" s="8"/>
      <c r="K538" s="8"/>
      <c r="L538" s="8"/>
      <c r="M538" s="8"/>
      <c r="N538" s="8"/>
      <c r="O538" s="8"/>
      <c r="P538" s="8"/>
      <c r="Q538" s="8"/>
      <c r="R538" s="8"/>
      <c r="S538" s="8"/>
      <c r="T538" s="8"/>
      <c r="U538" s="8"/>
      <c r="V538" s="8"/>
      <c r="W538" s="8"/>
      <c r="X538" s="8"/>
      <c r="Y538" s="8"/>
      <c r="Z538" s="8"/>
    </row>
    <row r="539">
      <c r="A539" s="8"/>
      <c r="B539" s="8"/>
      <c r="C539" s="8"/>
      <c r="D539" s="8"/>
      <c r="E539" s="8"/>
      <c r="F539" s="8"/>
      <c r="G539" s="8"/>
      <c r="H539" s="8"/>
      <c r="I539" s="8"/>
      <c r="J539" s="8"/>
      <c r="K539" s="8"/>
      <c r="L539" s="8"/>
      <c r="M539" s="8"/>
      <c r="N539" s="8"/>
      <c r="O539" s="8"/>
      <c r="P539" s="8"/>
      <c r="Q539" s="8"/>
      <c r="R539" s="8"/>
      <c r="S539" s="8"/>
      <c r="T539" s="8"/>
      <c r="U539" s="8"/>
      <c r="V539" s="8"/>
      <c r="W539" s="8"/>
      <c r="X539" s="8"/>
      <c r="Y539" s="8"/>
      <c r="Z539" s="8"/>
    </row>
    <row r="540">
      <c r="A540" s="8"/>
      <c r="B540" s="8"/>
      <c r="C540" s="8"/>
      <c r="D540" s="8"/>
      <c r="E540" s="8"/>
      <c r="F540" s="8"/>
      <c r="G540" s="8"/>
      <c r="H540" s="8"/>
      <c r="I540" s="8"/>
      <c r="J540" s="8"/>
      <c r="K540" s="8"/>
      <c r="L540" s="8"/>
      <c r="M540" s="8"/>
      <c r="N540" s="8"/>
      <c r="O540" s="8"/>
      <c r="P540" s="8"/>
      <c r="Q540" s="8"/>
      <c r="R540" s="8"/>
      <c r="S540" s="8"/>
      <c r="T540" s="8"/>
      <c r="U540" s="8"/>
      <c r="V540" s="8"/>
      <c r="W540" s="8"/>
      <c r="X540" s="8"/>
      <c r="Y540" s="8"/>
      <c r="Z540" s="8"/>
    </row>
    <row r="541">
      <c r="A541" s="8"/>
      <c r="B541" s="8"/>
      <c r="C541" s="8"/>
      <c r="D541" s="8"/>
      <c r="E541" s="8"/>
      <c r="F541" s="8"/>
      <c r="G541" s="8"/>
      <c r="H541" s="8"/>
      <c r="I541" s="8"/>
      <c r="J541" s="8"/>
      <c r="K541" s="8"/>
      <c r="L541" s="8"/>
      <c r="M541" s="8"/>
      <c r="N541" s="8"/>
      <c r="O541" s="8"/>
      <c r="P541" s="8"/>
      <c r="Q541" s="8"/>
      <c r="R541" s="8"/>
      <c r="S541" s="8"/>
      <c r="T541" s="8"/>
      <c r="U541" s="8"/>
      <c r="V541" s="8"/>
      <c r="W541" s="8"/>
      <c r="X541" s="8"/>
      <c r="Y541" s="8"/>
      <c r="Z541" s="8"/>
    </row>
    <row r="542">
      <c r="A542" s="8"/>
      <c r="B542" s="8"/>
      <c r="C542" s="8"/>
      <c r="D542" s="8"/>
      <c r="E542" s="8"/>
      <c r="F542" s="8"/>
      <c r="G542" s="8"/>
      <c r="H542" s="8"/>
      <c r="I542" s="8"/>
      <c r="J542" s="8"/>
      <c r="K542" s="8"/>
      <c r="L542" s="8"/>
      <c r="M542" s="8"/>
      <c r="N542" s="8"/>
      <c r="O542" s="8"/>
      <c r="P542" s="8"/>
      <c r="Q542" s="8"/>
      <c r="R542" s="8"/>
      <c r="S542" s="8"/>
      <c r="T542" s="8"/>
      <c r="U542" s="8"/>
      <c r="V542" s="8"/>
      <c r="W542" s="8"/>
      <c r="X542" s="8"/>
      <c r="Y542" s="8"/>
      <c r="Z542" s="8"/>
    </row>
    <row r="543">
      <c r="A543" s="8"/>
      <c r="B543" s="8"/>
      <c r="C543" s="8"/>
      <c r="D543" s="8"/>
      <c r="E543" s="8"/>
      <c r="F543" s="8"/>
      <c r="G543" s="8"/>
      <c r="H543" s="8"/>
      <c r="I543" s="8"/>
      <c r="J543" s="8"/>
      <c r="K543" s="8"/>
      <c r="L543" s="8"/>
      <c r="M543" s="8"/>
      <c r="N543" s="8"/>
      <c r="O543" s="8"/>
      <c r="P543" s="8"/>
      <c r="Q543" s="8"/>
      <c r="R543" s="8"/>
      <c r="S543" s="8"/>
      <c r="T543" s="8"/>
      <c r="U543" s="8"/>
      <c r="V543" s="8"/>
      <c r="W543" s="8"/>
      <c r="X543" s="8"/>
      <c r="Y543" s="8"/>
      <c r="Z543" s="8"/>
    </row>
    <row r="544">
      <c r="A544" s="8"/>
      <c r="B544" s="8"/>
      <c r="C544" s="8"/>
      <c r="D544" s="8"/>
      <c r="E544" s="8"/>
      <c r="F544" s="8"/>
      <c r="G544" s="8"/>
      <c r="H544" s="8"/>
      <c r="I544" s="8"/>
      <c r="J544" s="8"/>
      <c r="K544" s="8"/>
      <c r="L544" s="8"/>
      <c r="M544" s="8"/>
      <c r="N544" s="8"/>
      <c r="O544" s="8"/>
      <c r="P544" s="8"/>
      <c r="Q544" s="8"/>
      <c r="R544" s="8"/>
      <c r="S544" s="8"/>
      <c r="T544" s="8"/>
      <c r="U544" s="8"/>
      <c r="V544" s="8"/>
      <c r="W544" s="8"/>
      <c r="X544" s="8"/>
      <c r="Y544" s="8"/>
      <c r="Z544" s="8"/>
    </row>
    <row r="545">
      <c r="A545" s="8"/>
      <c r="B545" s="8"/>
      <c r="C545" s="8"/>
      <c r="D545" s="8"/>
      <c r="E545" s="8"/>
      <c r="F545" s="8"/>
      <c r="G545" s="8"/>
      <c r="H545" s="8"/>
      <c r="I545" s="8"/>
      <c r="J545" s="8"/>
      <c r="K545" s="8"/>
      <c r="L545" s="8"/>
      <c r="M545" s="8"/>
      <c r="N545" s="8"/>
      <c r="O545" s="8"/>
      <c r="P545" s="8"/>
      <c r="Q545" s="8"/>
      <c r="R545" s="8"/>
      <c r="S545" s="8"/>
      <c r="T545" s="8"/>
      <c r="U545" s="8"/>
      <c r="V545" s="8"/>
      <c r="W545" s="8"/>
      <c r="X545" s="8"/>
      <c r="Y545" s="8"/>
      <c r="Z545" s="8"/>
    </row>
    <row r="546">
      <c r="A546" s="8"/>
      <c r="B546" s="8"/>
      <c r="C546" s="8"/>
      <c r="D546" s="8"/>
      <c r="E546" s="8"/>
      <c r="F546" s="8"/>
      <c r="G546" s="8"/>
      <c r="H546" s="8"/>
      <c r="I546" s="8"/>
      <c r="J546" s="8"/>
      <c r="K546" s="8"/>
      <c r="L546" s="8"/>
      <c r="M546" s="8"/>
      <c r="N546" s="8"/>
      <c r="O546" s="8"/>
      <c r="P546" s="8"/>
      <c r="Q546" s="8"/>
      <c r="R546" s="8"/>
      <c r="S546" s="8"/>
      <c r="T546" s="8"/>
      <c r="U546" s="8"/>
      <c r="V546" s="8"/>
      <c r="W546" s="8"/>
      <c r="X546" s="8"/>
      <c r="Y546" s="8"/>
      <c r="Z546" s="8"/>
    </row>
    <row r="547">
      <c r="A547" s="8"/>
      <c r="B547" s="8"/>
      <c r="C547" s="8"/>
      <c r="D547" s="8"/>
      <c r="E547" s="8"/>
      <c r="F547" s="8"/>
      <c r="G547" s="8"/>
      <c r="H547" s="8"/>
      <c r="I547" s="8"/>
      <c r="J547" s="8"/>
      <c r="K547" s="8"/>
      <c r="L547" s="8"/>
      <c r="M547" s="8"/>
      <c r="N547" s="8"/>
      <c r="O547" s="8"/>
      <c r="P547" s="8"/>
      <c r="Q547" s="8"/>
      <c r="R547" s="8"/>
      <c r="S547" s="8"/>
      <c r="T547" s="8"/>
      <c r="U547" s="8"/>
      <c r="V547" s="8"/>
      <c r="W547" s="8"/>
      <c r="X547" s="8"/>
      <c r="Y547" s="8"/>
      <c r="Z547" s="8"/>
    </row>
    <row r="548">
      <c r="A548" s="8"/>
      <c r="B548" s="8"/>
      <c r="C548" s="8"/>
      <c r="D548" s="8"/>
      <c r="E548" s="8"/>
      <c r="F548" s="8"/>
      <c r="G548" s="8"/>
      <c r="H548" s="8"/>
      <c r="I548" s="8"/>
      <c r="J548" s="8"/>
      <c r="K548" s="8"/>
      <c r="L548" s="8"/>
      <c r="M548" s="8"/>
      <c r="N548" s="8"/>
      <c r="O548" s="8"/>
      <c r="P548" s="8"/>
      <c r="Q548" s="8"/>
      <c r="R548" s="8"/>
      <c r="S548" s="8"/>
      <c r="T548" s="8"/>
      <c r="U548" s="8"/>
      <c r="V548" s="8"/>
      <c r="W548" s="8"/>
      <c r="X548" s="8"/>
      <c r="Y548" s="8"/>
      <c r="Z548" s="8"/>
    </row>
    <row r="549">
      <c r="A549" s="8"/>
      <c r="B549" s="8"/>
      <c r="C549" s="8"/>
      <c r="D549" s="8"/>
      <c r="E549" s="8"/>
      <c r="F549" s="8"/>
      <c r="G549" s="8"/>
      <c r="H549" s="8"/>
      <c r="I549" s="8"/>
      <c r="J549" s="8"/>
      <c r="K549" s="8"/>
      <c r="L549" s="8"/>
      <c r="M549" s="8"/>
      <c r="N549" s="8"/>
      <c r="O549" s="8"/>
      <c r="P549" s="8"/>
      <c r="Q549" s="8"/>
      <c r="R549" s="8"/>
      <c r="S549" s="8"/>
      <c r="T549" s="8"/>
      <c r="U549" s="8"/>
      <c r="V549" s="8"/>
      <c r="W549" s="8"/>
      <c r="X549" s="8"/>
      <c r="Y549" s="8"/>
      <c r="Z549" s="8"/>
    </row>
    <row r="550">
      <c r="A550" s="8"/>
      <c r="B550" s="8"/>
      <c r="C550" s="8"/>
      <c r="D550" s="8"/>
      <c r="E550" s="8"/>
      <c r="F550" s="8"/>
      <c r="G550" s="8"/>
      <c r="H550" s="8"/>
      <c r="I550" s="8"/>
      <c r="J550" s="8"/>
      <c r="K550" s="8"/>
      <c r="L550" s="8"/>
      <c r="M550" s="8"/>
      <c r="N550" s="8"/>
      <c r="O550" s="8"/>
      <c r="P550" s="8"/>
      <c r="Q550" s="8"/>
      <c r="R550" s="8"/>
      <c r="S550" s="8"/>
      <c r="T550" s="8"/>
      <c r="U550" s="8"/>
      <c r="V550" s="8"/>
      <c r="W550" s="8"/>
      <c r="X550" s="8"/>
      <c r="Y550" s="8"/>
      <c r="Z550" s="8"/>
    </row>
    <row r="551">
      <c r="A551" s="8"/>
      <c r="B551" s="8"/>
      <c r="C551" s="8"/>
      <c r="D551" s="8"/>
      <c r="E551" s="8"/>
      <c r="F551" s="8"/>
      <c r="G551" s="8"/>
      <c r="H551" s="8"/>
      <c r="I551" s="8"/>
      <c r="J551" s="8"/>
      <c r="K551" s="8"/>
      <c r="L551" s="8"/>
      <c r="M551" s="8"/>
      <c r="N551" s="8"/>
      <c r="O551" s="8"/>
      <c r="P551" s="8"/>
      <c r="Q551" s="8"/>
      <c r="R551" s="8"/>
      <c r="S551" s="8"/>
      <c r="T551" s="8"/>
      <c r="U551" s="8"/>
      <c r="V551" s="8"/>
      <c r="W551" s="8"/>
      <c r="X551" s="8"/>
      <c r="Y551" s="8"/>
      <c r="Z551" s="8"/>
    </row>
    <row r="552">
      <c r="A552" s="8"/>
      <c r="B552" s="8"/>
      <c r="C552" s="8"/>
      <c r="D552" s="8"/>
      <c r="E552" s="8"/>
      <c r="F552" s="8"/>
      <c r="G552" s="8"/>
      <c r="H552" s="8"/>
      <c r="I552" s="8"/>
      <c r="J552" s="8"/>
      <c r="K552" s="8"/>
      <c r="L552" s="8"/>
      <c r="M552" s="8"/>
      <c r="N552" s="8"/>
      <c r="O552" s="8"/>
      <c r="P552" s="8"/>
      <c r="Q552" s="8"/>
      <c r="R552" s="8"/>
      <c r="S552" s="8"/>
      <c r="T552" s="8"/>
      <c r="U552" s="8"/>
      <c r="V552" s="8"/>
      <c r="W552" s="8"/>
      <c r="X552" s="8"/>
      <c r="Y552" s="8"/>
      <c r="Z552" s="8"/>
    </row>
    <row r="553">
      <c r="A553" s="8"/>
      <c r="B553" s="8"/>
      <c r="C553" s="8"/>
      <c r="D553" s="8"/>
      <c r="E553" s="8"/>
      <c r="F553" s="8"/>
      <c r="G553" s="8"/>
      <c r="H553" s="8"/>
      <c r="I553" s="8"/>
      <c r="J553" s="8"/>
      <c r="K553" s="8"/>
      <c r="L553" s="8"/>
      <c r="M553" s="8"/>
      <c r="N553" s="8"/>
      <c r="O553" s="8"/>
      <c r="P553" s="8"/>
      <c r="Q553" s="8"/>
      <c r="R553" s="8"/>
      <c r="S553" s="8"/>
      <c r="T553" s="8"/>
      <c r="U553" s="8"/>
      <c r="V553" s="8"/>
      <c r="W553" s="8"/>
      <c r="X553" s="8"/>
      <c r="Y553" s="8"/>
      <c r="Z553" s="8"/>
    </row>
    <row r="554">
      <c r="A554" s="8"/>
      <c r="B554" s="8"/>
      <c r="C554" s="8"/>
      <c r="D554" s="8"/>
      <c r="E554" s="8"/>
      <c r="F554" s="8"/>
      <c r="G554" s="8"/>
      <c r="H554" s="8"/>
      <c r="I554" s="8"/>
      <c r="J554" s="8"/>
      <c r="K554" s="8"/>
      <c r="L554" s="8"/>
      <c r="M554" s="8"/>
      <c r="N554" s="8"/>
      <c r="O554" s="8"/>
      <c r="P554" s="8"/>
      <c r="Q554" s="8"/>
      <c r="R554" s="8"/>
      <c r="S554" s="8"/>
      <c r="T554" s="8"/>
      <c r="U554" s="8"/>
      <c r="V554" s="8"/>
      <c r="W554" s="8"/>
      <c r="X554" s="8"/>
      <c r="Y554" s="8"/>
      <c r="Z554" s="8"/>
    </row>
    <row r="555">
      <c r="A555" s="8"/>
      <c r="B555" s="8"/>
      <c r="C555" s="8"/>
      <c r="D555" s="8"/>
      <c r="E555" s="8"/>
      <c r="F555" s="8"/>
      <c r="G555" s="8"/>
      <c r="H555" s="8"/>
      <c r="I555" s="8"/>
      <c r="J555" s="8"/>
      <c r="K555" s="8"/>
      <c r="L555" s="8"/>
      <c r="M555" s="8"/>
      <c r="N555" s="8"/>
      <c r="O555" s="8"/>
      <c r="P555" s="8"/>
      <c r="Q555" s="8"/>
      <c r="R555" s="8"/>
      <c r="S555" s="8"/>
      <c r="T555" s="8"/>
      <c r="U555" s="8"/>
      <c r="V555" s="8"/>
      <c r="W555" s="8"/>
      <c r="X555" s="8"/>
      <c r="Y555" s="8"/>
      <c r="Z555" s="8"/>
    </row>
    <row r="556">
      <c r="A556" s="8"/>
      <c r="B556" s="8"/>
      <c r="C556" s="8"/>
      <c r="D556" s="8"/>
      <c r="E556" s="8"/>
      <c r="F556" s="8"/>
      <c r="G556" s="8"/>
      <c r="H556" s="8"/>
      <c r="I556" s="8"/>
      <c r="J556" s="8"/>
      <c r="K556" s="8"/>
      <c r="L556" s="8"/>
      <c r="M556" s="8"/>
      <c r="N556" s="8"/>
      <c r="O556" s="8"/>
      <c r="P556" s="8"/>
      <c r="Q556" s="8"/>
      <c r="R556" s="8"/>
      <c r="S556" s="8"/>
      <c r="T556" s="8"/>
      <c r="U556" s="8"/>
      <c r="V556" s="8"/>
      <c r="W556" s="8"/>
      <c r="X556" s="8"/>
      <c r="Y556" s="8"/>
      <c r="Z556" s="8"/>
    </row>
    <row r="557">
      <c r="A557" s="8"/>
      <c r="B557" s="8"/>
      <c r="C557" s="8"/>
      <c r="D557" s="8"/>
      <c r="E557" s="8"/>
      <c r="F557" s="8"/>
      <c r="G557" s="8"/>
      <c r="H557" s="8"/>
      <c r="I557" s="8"/>
      <c r="J557" s="8"/>
      <c r="K557" s="8"/>
      <c r="L557" s="8"/>
      <c r="M557" s="8"/>
      <c r="N557" s="8"/>
      <c r="O557" s="8"/>
      <c r="P557" s="8"/>
      <c r="Q557" s="8"/>
      <c r="R557" s="8"/>
      <c r="S557" s="8"/>
      <c r="T557" s="8"/>
      <c r="U557" s="8"/>
      <c r="V557" s="8"/>
      <c r="W557" s="8"/>
      <c r="X557" s="8"/>
      <c r="Y557" s="8"/>
      <c r="Z557" s="8"/>
    </row>
    <row r="558">
      <c r="A558" s="8"/>
      <c r="B558" s="8"/>
      <c r="C558" s="8"/>
      <c r="D558" s="8"/>
      <c r="E558" s="8"/>
      <c r="F558" s="8"/>
      <c r="G558" s="8"/>
      <c r="H558" s="8"/>
      <c r="I558" s="8"/>
      <c r="J558" s="8"/>
      <c r="K558" s="8"/>
      <c r="L558" s="8"/>
      <c r="M558" s="8"/>
      <c r="N558" s="8"/>
      <c r="O558" s="8"/>
      <c r="P558" s="8"/>
      <c r="Q558" s="8"/>
      <c r="R558" s="8"/>
      <c r="S558" s="8"/>
      <c r="T558" s="8"/>
      <c r="U558" s="8"/>
      <c r="V558" s="8"/>
      <c r="W558" s="8"/>
      <c r="X558" s="8"/>
      <c r="Y558" s="8"/>
      <c r="Z558" s="8"/>
    </row>
    <row r="559">
      <c r="A559" s="8"/>
      <c r="B559" s="8"/>
      <c r="C559" s="8"/>
      <c r="D559" s="8"/>
      <c r="E559" s="8"/>
      <c r="F559" s="8"/>
      <c r="G559" s="8"/>
      <c r="H559" s="8"/>
      <c r="I559" s="8"/>
      <c r="J559" s="8"/>
      <c r="K559" s="8"/>
      <c r="L559" s="8"/>
      <c r="M559" s="8"/>
      <c r="N559" s="8"/>
      <c r="O559" s="8"/>
      <c r="P559" s="8"/>
      <c r="Q559" s="8"/>
      <c r="R559" s="8"/>
      <c r="S559" s="8"/>
      <c r="T559" s="8"/>
      <c r="U559" s="8"/>
      <c r="V559" s="8"/>
      <c r="W559" s="8"/>
      <c r="X559" s="8"/>
      <c r="Y559" s="8"/>
      <c r="Z559" s="8"/>
    </row>
    <row r="560">
      <c r="A560" s="8"/>
      <c r="B560" s="8"/>
      <c r="C560" s="8"/>
      <c r="D560" s="8"/>
      <c r="E560" s="8"/>
      <c r="F560" s="8"/>
      <c r="G560" s="8"/>
      <c r="H560" s="8"/>
      <c r="I560" s="8"/>
      <c r="J560" s="8"/>
      <c r="K560" s="8"/>
      <c r="L560" s="8"/>
      <c r="M560" s="8"/>
      <c r="N560" s="8"/>
      <c r="O560" s="8"/>
      <c r="P560" s="8"/>
      <c r="Q560" s="8"/>
      <c r="R560" s="8"/>
      <c r="S560" s="8"/>
      <c r="T560" s="8"/>
      <c r="U560" s="8"/>
      <c r="V560" s="8"/>
      <c r="W560" s="8"/>
      <c r="X560" s="8"/>
      <c r="Y560" s="8"/>
      <c r="Z560" s="8"/>
    </row>
    <row r="561">
      <c r="A561" s="8"/>
      <c r="B561" s="8"/>
      <c r="C561" s="8"/>
      <c r="D561" s="8"/>
      <c r="E561" s="8"/>
      <c r="F561" s="8"/>
      <c r="G561" s="8"/>
      <c r="H561" s="8"/>
      <c r="I561" s="8"/>
      <c r="J561" s="8"/>
      <c r="K561" s="8"/>
      <c r="L561" s="8"/>
      <c r="M561" s="8"/>
      <c r="N561" s="8"/>
      <c r="O561" s="8"/>
      <c r="P561" s="8"/>
      <c r="Q561" s="8"/>
      <c r="R561" s="8"/>
      <c r="S561" s="8"/>
      <c r="T561" s="8"/>
      <c r="U561" s="8"/>
      <c r="V561" s="8"/>
      <c r="W561" s="8"/>
      <c r="X561" s="8"/>
      <c r="Y561" s="8"/>
      <c r="Z561" s="8"/>
    </row>
    <row r="562">
      <c r="A562" s="8"/>
      <c r="B562" s="8"/>
      <c r="C562" s="8"/>
      <c r="D562" s="8"/>
      <c r="E562" s="8"/>
      <c r="F562" s="8"/>
      <c r="G562" s="8"/>
      <c r="H562" s="8"/>
      <c r="I562" s="8"/>
      <c r="J562" s="8"/>
      <c r="K562" s="8"/>
      <c r="L562" s="8"/>
      <c r="M562" s="8"/>
      <c r="N562" s="8"/>
      <c r="O562" s="8"/>
      <c r="P562" s="8"/>
      <c r="Q562" s="8"/>
      <c r="R562" s="8"/>
      <c r="S562" s="8"/>
      <c r="T562" s="8"/>
      <c r="U562" s="8"/>
      <c r="V562" s="8"/>
      <c r="W562" s="8"/>
      <c r="X562" s="8"/>
      <c r="Y562" s="8"/>
      <c r="Z562" s="8"/>
    </row>
    <row r="563">
      <c r="A563" s="8"/>
      <c r="B563" s="8"/>
      <c r="C563" s="8"/>
      <c r="D563" s="8"/>
      <c r="E563" s="8"/>
      <c r="F563" s="8"/>
      <c r="G563" s="8"/>
      <c r="H563" s="8"/>
      <c r="I563" s="8"/>
      <c r="J563" s="8"/>
      <c r="K563" s="8"/>
      <c r="L563" s="8"/>
      <c r="M563" s="8"/>
      <c r="N563" s="8"/>
      <c r="O563" s="8"/>
      <c r="P563" s="8"/>
      <c r="Q563" s="8"/>
      <c r="R563" s="8"/>
      <c r="S563" s="8"/>
      <c r="T563" s="8"/>
      <c r="U563" s="8"/>
      <c r="V563" s="8"/>
      <c r="W563" s="8"/>
      <c r="X563" s="8"/>
      <c r="Y563" s="8"/>
      <c r="Z563" s="8"/>
    </row>
    <row r="564">
      <c r="A564" s="8"/>
      <c r="B564" s="8"/>
      <c r="C564" s="8"/>
      <c r="D564" s="8"/>
      <c r="E564" s="8"/>
      <c r="F564" s="8"/>
      <c r="G564" s="8"/>
      <c r="H564" s="8"/>
      <c r="I564" s="8"/>
      <c r="J564" s="8"/>
      <c r="K564" s="8"/>
      <c r="L564" s="8"/>
      <c r="M564" s="8"/>
      <c r="N564" s="8"/>
      <c r="O564" s="8"/>
      <c r="P564" s="8"/>
      <c r="Q564" s="8"/>
      <c r="R564" s="8"/>
      <c r="S564" s="8"/>
      <c r="T564" s="8"/>
      <c r="U564" s="8"/>
      <c r="V564" s="8"/>
      <c r="W564" s="8"/>
      <c r="X564" s="8"/>
      <c r="Y564" s="8"/>
      <c r="Z564" s="8"/>
    </row>
    <row r="565">
      <c r="A565" s="8"/>
      <c r="B565" s="8"/>
      <c r="C565" s="8"/>
      <c r="D565" s="8"/>
      <c r="E565" s="8"/>
      <c r="F565" s="8"/>
      <c r="G565" s="8"/>
      <c r="H565" s="8"/>
      <c r="I565" s="8"/>
      <c r="J565" s="8"/>
      <c r="K565" s="8"/>
      <c r="L565" s="8"/>
      <c r="M565" s="8"/>
      <c r="N565" s="8"/>
      <c r="O565" s="8"/>
      <c r="P565" s="8"/>
      <c r="Q565" s="8"/>
      <c r="R565" s="8"/>
      <c r="S565" s="8"/>
      <c r="T565" s="8"/>
      <c r="U565" s="8"/>
      <c r="V565" s="8"/>
      <c r="W565" s="8"/>
      <c r="X565" s="8"/>
      <c r="Y565" s="8"/>
      <c r="Z565" s="8"/>
    </row>
    <row r="566">
      <c r="A566" s="8"/>
      <c r="B566" s="8"/>
      <c r="C566" s="8"/>
      <c r="D566" s="8"/>
      <c r="E566" s="8"/>
      <c r="F566" s="8"/>
      <c r="G566" s="8"/>
      <c r="H566" s="8"/>
      <c r="I566" s="8"/>
      <c r="J566" s="8"/>
      <c r="K566" s="8"/>
      <c r="L566" s="8"/>
      <c r="M566" s="8"/>
      <c r="N566" s="8"/>
      <c r="O566" s="8"/>
      <c r="P566" s="8"/>
      <c r="Q566" s="8"/>
      <c r="R566" s="8"/>
      <c r="S566" s="8"/>
      <c r="T566" s="8"/>
      <c r="U566" s="8"/>
      <c r="V566" s="8"/>
      <c r="W566" s="8"/>
      <c r="X566" s="8"/>
      <c r="Y566" s="8"/>
      <c r="Z566" s="8"/>
    </row>
    <row r="567">
      <c r="A567" s="8"/>
      <c r="B567" s="8"/>
      <c r="C567" s="8"/>
      <c r="D567" s="8"/>
      <c r="E567" s="8"/>
      <c r="F567" s="8"/>
      <c r="G567" s="8"/>
      <c r="H567" s="8"/>
      <c r="I567" s="8"/>
      <c r="J567" s="8"/>
      <c r="K567" s="8"/>
      <c r="L567" s="8"/>
      <c r="M567" s="8"/>
      <c r="N567" s="8"/>
      <c r="O567" s="8"/>
      <c r="P567" s="8"/>
      <c r="Q567" s="8"/>
      <c r="R567" s="8"/>
      <c r="S567" s="8"/>
      <c r="T567" s="8"/>
      <c r="U567" s="8"/>
      <c r="V567" s="8"/>
      <c r="W567" s="8"/>
      <c r="X567" s="8"/>
      <c r="Y567" s="8"/>
      <c r="Z567" s="8"/>
    </row>
    <row r="568">
      <c r="A568" s="8"/>
      <c r="B568" s="8"/>
      <c r="C568" s="8"/>
      <c r="D568" s="8"/>
      <c r="E568" s="8"/>
      <c r="F568" s="8"/>
      <c r="G568" s="8"/>
      <c r="H568" s="8"/>
      <c r="I568" s="8"/>
      <c r="J568" s="8"/>
      <c r="K568" s="8"/>
      <c r="L568" s="8"/>
      <c r="M568" s="8"/>
      <c r="N568" s="8"/>
      <c r="O568" s="8"/>
      <c r="P568" s="8"/>
      <c r="Q568" s="8"/>
      <c r="R568" s="8"/>
      <c r="S568" s="8"/>
      <c r="T568" s="8"/>
      <c r="U568" s="8"/>
      <c r="V568" s="8"/>
      <c r="W568" s="8"/>
      <c r="X568" s="8"/>
      <c r="Y568" s="8"/>
      <c r="Z568" s="8"/>
    </row>
    <row r="569">
      <c r="A569" s="8"/>
      <c r="B569" s="8"/>
      <c r="C569" s="8"/>
      <c r="D569" s="8"/>
      <c r="E569" s="8"/>
      <c r="F569" s="8"/>
      <c r="G569" s="8"/>
      <c r="H569" s="8"/>
      <c r="I569" s="8"/>
      <c r="J569" s="8"/>
      <c r="K569" s="8"/>
      <c r="L569" s="8"/>
      <c r="M569" s="8"/>
      <c r="N569" s="8"/>
      <c r="O569" s="8"/>
      <c r="P569" s="8"/>
      <c r="Q569" s="8"/>
      <c r="R569" s="8"/>
      <c r="S569" s="8"/>
      <c r="T569" s="8"/>
      <c r="U569" s="8"/>
      <c r="V569" s="8"/>
      <c r="W569" s="8"/>
      <c r="X569" s="8"/>
      <c r="Y569" s="8"/>
      <c r="Z569" s="8"/>
    </row>
    <row r="570">
      <c r="A570" s="8"/>
      <c r="B570" s="8"/>
      <c r="C570" s="8"/>
      <c r="D570" s="8"/>
      <c r="E570" s="8"/>
      <c r="F570" s="8"/>
      <c r="G570" s="8"/>
      <c r="H570" s="8"/>
      <c r="I570" s="8"/>
      <c r="J570" s="8"/>
      <c r="K570" s="8"/>
      <c r="L570" s="8"/>
      <c r="M570" s="8"/>
      <c r="N570" s="8"/>
      <c r="O570" s="8"/>
      <c r="P570" s="8"/>
      <c r="Q570" s="8"/>
      <c r="R570" s="8"/>
      <c r="S570" s="8"/>
      <c r="T570" s="8"/>
      <c r="U570" s="8"/>
      <c r="V570" s="8"/>
      <c r="W570" s="8"/>
      <c r="X570" s="8"/>
      <c r="Y570" s="8"/>
      <c r="Z570" s="8"/>
    </row>
    <row r="571">
      <c r="A571" s="8"/>
      <c r="B571" s="8"/>
      <c r="C571" s="8"/>
      <c r="D571" s="8"/>
      <c r="E571" s="8"/>
      <c r="F571" s="8"/>
      <c r="G571" s="8"/>
      <c r="H571" s="8"/>
      <c r="I571" s="8"/>
      <c r="J571" s="8"/>
      <c r="K571" s="8"/>
      <c r="L571" s="8"/>
      <c r="M571" s="8"/>
      <c r="N571" s="8"/>
      <c r="O571" s="8"/>
      <c r="P571" s="8"/>
      <c r="Q571" s="8"/>
      <c r="R571" s="8"/>
      <c r="S571" s="8"/>
      <c r="T571" s="8"/>
      <c r="U571" s="8"/>
      <c r="V571" s="8"/>
      <c r="W571" s="8"/>
      <c r="X571" s="8"/>
      <c r="Y571" s="8"/>
      <c r="Z571" s="8"/>
    </row>
    <row r="572">
      <c r="A572" s="8"/>
      <c r="B572" s="8"/>
      <c r="C572" s="8"/>
      <c r="D572" s="8"/>
      <c r="E572" s="8"/>
      <c r="F572" s="8"/>
      <c r="G572" s="8"/>
      <c r="H572" s="8"/>
      <c r="I572" s="8"/>
      <c r="J572" s="8"/>
      <c r="K572" s="8"/>
      <c r="L572" s="8"/>
      <c r="M572" s="8"/>
      <c r="N572" s="8"/>
      <c r="O572" s="8"/>
      <c r="P572" s="8"/>
      <c r="Q572" s="8"/>
      <c r="R572" s="8"/>
      <c r="S572" s="8"/>
      <c r="T572" s="8"/>
      <c r="U572" s="8"/>
      <c r="V572" s="8"/>
      <c r="W572" s="8"/>
      <c r="X572" s="8"/>
      <c r="Y572" s="8"/>
      <c r="Z572" s="8"/>
    </row>
    <row r="573">
      <c r="A573" s="8"/>
      <c r="B573" s="8"/>
      <c r="C573" s="8"/>
      <c r="D573" s="8"/>
      <c r="E573" s="8"/>
      <c r="F573" s="8"/>
      <c r="G573" s="8"/>
      <c r="H573" s="8"/>
      <c r="I573" s="8"/>
      <c r="J573" s="8"/>
      <c r="K573" s="8"/>
      <c r="L573" s="8"/>
      <c r="M573" s="8"/>
      <c r="N573" s="8"/>
      <c r="O573" s="8"/>
      <c r="P573" s="8"/>
      <c r="Q573" s="8"/>
      <c r="R573" s="8"/>
      <c r="S573" s="8"/>
      <c r="T573" s="8"/>
      <c r="U573" s="8"/>
      <c r="V573" s="8"/>
      <c r="W573" s="8"/>
      <c r="X573" s="8"/>
      <c r="Y573" s="8"/>
      <c r="Z573" s="8"/>
    </row>
    <row r="574">
      <c r="A574" s="8"/>
      <c r="B574" s="8"/>
      <c r="C574" s="8"/>
      <c r="D574" s="8"/>
      <c r="E574" s="8"/>
      <c r="F574" s="8"/>
      <c r="G574" s="8"/>
      <c r="H574" s="8"/>
      <c r="I574" s="8"/>
      <c r="J574" s="8"/>
      <c r="K574" s="8"/>
      <c r="L574" s="8"/>
      <c r="M574" s="8"/>
      <c r="N574" s="8"/>
      <c r="O574" s="8"/>
      <c r="P574" s="8"/>
      <c r="Q574" s="8"/>
      <c r="R574" s="8"/>
      <c r="S574" s="8"/>
      <c r="T574" s="8"/>
      <c r="U574" s="8"/>
      <c r="V574" s="8"/>
      <c r="W574" s="8"/>
      <c r="X574" s="8"/>
      <c r="Y574" s="8"/>
      <c r="Z574" s="8"/>
    </row>
    <row r="575">
      <c r="A575" s="8"/>
      <c r="B575" s="8"/>
      <c r="C575" s="8"/>
      <c r="D575" s="8"/>
      <c r="E575" s="8"/>
      <c r="F575" s="8"/>
      <c r="G575" s="8"/>
      <c r="H575" s="8"/>
      <c r="I575" s="8"/>
      <c r="J575" s="8"/>
      <c r="K575" s="8"/>
      <c r="L575" s="8"/>
      <c r="M575" s="8"/>
      <c r="N575" s="8"/>
      <c r="O575" s="8"/>
      <c r="P575" s="8"/>
      <c r="Q575" s="8"/>
      <c r="R575" s="8"/>
      <c r="S575" s="8"/>
      <c r="T575" s="8"/>
      <c r="U575" s="8"/>
      <c r="V575" s="8"/>
      <c r="W575" s="8"/>
      <c r="X575" s="8"/>
      <c r="Y575" s="8"/>
      <c r="Z575" s="8"/>
    </row>
    <row r="576">
      <c r="A576" s="8"/>
      <c r="B576" s="8"/>
      <c r="C576" s="8"/>
      <c r="D576" s="8"/>
      <c r="E576" s="8"/>
      <c r="F576" s="8"/>
      <c r="G576" s="8"/>
      <c r="H576" s="8"/>
      <c r="I576" s="8"/>
      <c r="J576" s="8"/>
      <c r="K576" s="8"/>
      <c r="L576" s="8"/>
      <c r="M576" s="8"/>
      <c r="N576" s="8"/>
      <c r="O576" s="8"/>
      <c r="P576" s="8"/>
      <c r="Q576" s="8"/>
      <c r="R576" s="8"/>
      <c r="S576" s="8"/>
      <c r="T576" s="8"/>
      <c r="U576" s="8"/>
      <c r="V576" s="8"/>
      <c r="W576" s="8"/>
      <c r="X576" s="8"/>
      <c r="Y576" s="8"/>
      <c r="Z576" s="8"/>
    </row>
    <row r="577">
      <c r="A577" s="8"/>
      <c r="B577" s="8"/>
      <c r="C577" s="8"/>
      <c r="D577" s="8"/>
      <c r="E577" s="8"/>
      <c r="F577" s="8"/>
      <c r="G577" s="8"/>
      <c r="H577" s="8"/>
      <c r="I577" s="8"/>
      <c r="J577" s="8"/>
      <c r="K577" s="8"/>
      <c r="L577" s="8"/>
      <c r="M577" s="8"/>
      <c r="N577" s="8"/>
      <c r="O577" s="8"/>
      <c r="P577" s="8"/>
      <c r="Q577" s="8"/>
      <c r="R577" s="8"/>
      <c r="S577" s="8"/>
      <c r="T577" s="8"/>
      <c r="U577" s="8"/>
      <c r="V577" s="8"/>
      <c r="W577" s="8"/>
      <c r="X577" s="8"/>
      <c r="Y577" s="8"/>
      <c r="Z577" s="8"/>
    </row>
    <row r="578">
      <c r="A578" s="8"/>
      <c r="B578" s="8"/>
      <c r="C578" s="8"/>
      <c r="D578" s="8"/>
      <c r="E578" s="8"/>
      <c r="F578" s="8"/>
      <c r="G578" s="8"/>
      <c r="H578" s="8"/>
      <c r="I578" s="8"/>
      <c r="J578" s="8"/>
      <c r="K578" s="8"/>
      <c r="L578" s="8"/>
      <c r="M578" s="8"/>
      <c r="N578" s="8"/>
      <c r="O578" s="8"/>
      <c r="P578" s="8"/>
      <c r="Q578" s="8"/>
      <c r="R578" s="8"/>
      <c r="S578" s="8"/>
      <c r="T578" s="8"/>
      <c r="U578" s="8"/>
      <c r="V578" s="8"/>
      <c r="W578" s="8"/>
      <c r="X578" s="8"/>
      <c r="Y578" s="8"/>
      <c r="Z578" s="8"/>
    </row>
    <row r="579">
      <c r="A579" s="8"/>
      <c r="B579" s="8"/>
      <c r="C579" s="8"/>
      <c r="D579" s="8"/>
      <c r="E579" s="8"/>
      <c r="F579" s="8"/>
      <c r="G579" s="8"/>
      <c r="H579" s="8"/>
      <c r="I579" s="8"/>
      <c r="J579" s="8"/>
      <c r="K579" s="8"/>
      <c r="L579" s="8"/>
      <c r="M579" s="8"/>
      <c r="N579" s="8"/>
      <c r="O579" s="8"/>
      <c r="P579" s="8"/>
      <c r="Q579" s="8"/>
      <c r="R579" s="8"/>
      <c r="S579" s="8"/>
      <c r="T579" s="8"/>
      <c r="U579" s="8"/>
      <c r="V579" s="8"/>
      <c r="W579" s="8"/>
      <c r="X579" s="8"/>
      <c r="Y579" s="8"/>
      <c r="Z579" s="8"/>
    </row>
    <row r="580">
      <c r="A580" s="8"/>
      <c r="B580" s="8"/>
      <c r="C580" s="8"/>
      <c r="D580" s="8"/>
      <c r="E580" s="8"/>
      <c r="F580" s="8"/>
      <c r="G580" s="8"/>
      <c r="H580" s="8"/>
      <c r="I580" s="8"/>
      <c r="J580" s="8"/>
      <c r="K580" s="8"/>
      <c r="L580" s="8"/>
      <c r="M580" s="8"/>
      <c r="N580" s="8"/>
      <c r="O580" s="8"/>
      <c r="P580" s="8"/>
      <c r="Q580" s="8"/>
      <c r="R580" s="8"/>
      <c r="S580" s="8"/>
      <c r="T580" s="8"/>
      <c r="U580" s="8"/>
      <c r="V580" s="8"/>
      <c r="W580" s="8"/>
      <c r="X580" s="8"/>
      <c r="Y580" s="8"/>
      <c r="Z580" s="8"/>
    </row>
    <row r="581">
      <c r="A581" s="8"/>
      <c r="B581" s="8"/>
      <c r="C581" s="8"/>
      <c r="D581" s="8"/>
      <c r="E581" s="8"/>
      <c r="F581" s="8"/>
      <c r="G581" s="8"/>
      <c r="H581" s="8"/>
      <c r="I581" s="8"/>
      <c r="J581" s="8"/>
      <c r="K581" s="8"/>
      <c r="L581" s="8"/>
      <c r="M581" s="8"/>
      <c r="N581" s="8"/>
      <c r="O581" s="8"/>
      <c r="P581" s="8"/>
      <c r="Q581" s="8"/>
      <c r="R581" s="8"/>
      <c r="S581" s="8"/>
      <c r="T581" s="8"/>
      <c r="U581" s="8"/>
      <c r="V581" s="8"/>
      <c r="W581" s="8"/>
      <c r="X581" s="8"/>
      <c r="Y581" s="8"/>
      <c r="Z581" s="8"/>
    </row>
    <row r="582">
      <c r="A582" s="8"/>
      <c r="B582" s="8"/>
      <c r="C582" s="8"/>
      <c r="D582" s="8"/>
      <c r="E582" s="8"/>
      <c r="F582" s="8"/>
      <c r="G582" s="8"/>
      <c r="H582" s="8"/>
      <c r="I582" s="8"/>
      <c r="J582" s="8"/>
      <c r="K582" s="8"/>
      <c r="L582" s="8"/>
      <c r="M582" s="8"/>
      <c r="N582" s="8"/>
      <c r="O582" s="8"/>
      <c r="P582" s="8"/>
      <c r="Q582" s="8"/>
      <c r="R582" s="8"/>
      <c r="S582" s="8"/>
      <c r="T582" s="8"/>
      <c r="U582" s="8"/>
      <c r="V582" s="8"/>
      <c r="W582" s="8"/>
      <c r="X582" s="8"/>
      <c r="Y582" s="8"/>
      <c r="Z582" s="8"/>
    </row>
    <row r="583">
      <c r="A583" s="8"/>
      <c r="B583" s="8"/>
      <c r="C583" s="8"/>
      <c r="D583" s="8"/>
      <c r="E583" s="8"/>
      <c r="F583" s="8"/>
      <c r="G583" s="8"/>
      <c r="H583" s="8"/>
      <c r="I583" s="8"/>
      <c r="J583" s="8"/>
      <c r="K583" s="8"/>
      <c r="L583" s="8"/>
      <c r="M583" s="8"/>
      <c r="N583" s="8"/>
      <c r="O583" s="8"/>
      <c r="P583" s="8"/>
      <c r="Q583" s="8"/>
      <c r="R583" s="8"/>
      <c r="S583" s="8"/>
      <c r="T583" s="8"/>
      <c r="U583" s="8"/>
      <c r="V583" s="8"/>
      <c r="W583" s="8"/>
      <c r="X583" s="8"/>
      <c r="Y583" s="8"/>
      <c r="Z583" s="8"/>
    </row>
    <row r="584">
      <c r="A584" s="8"/>
      <c r="B584" s="8"/>
      <c r="C584" s="8"/>
      <c r="D584" s="8"/>
      <c r="E584" s="8"/>
      <c r="F584" s="8"/>
      <c r="G584" s="8"/>
      <c r="H584" s="8"/>
      <c r="I584" s="8"/>
      <c r="J584" s="8"/>
      <c r="K584" s="8"/>
      <c r="L584" s="8"/>
      <c r="M584" s="8"/>
      <c r="N584" s="8"/>
      <c r="O584" s="8"/>
      <c r="P584" s="8"/>
      <c r="Q584" s="8"/>
      <c r="R584" s="8"/>
      <c r="S584" s="8"/>
      <c r="T584" s="8"/>
      <c r="U584" s="8"/>
      <c r="V584" s="8"/>
      <c r="W584" s="8"/>
      <c r="X584" s="8"/>
      <c r="Y584" s="8"/>
      <c r="Z584" s="8"/>
    </row>
    <row r="585">
      <c r="A585" s="8"/>
      <c r="B585" s="8"/>
      <c r="C585" s="8"/>
      <c r="D585" s="8"/>
      <c r="E585" s="8"/>
      <c r="F585" s="8"/>
      <c r="G585" s="8"/>
      <c r="H585" s="8"/>
      <c r="I585" s="8"/>
      <c r="J585" s="8"/>
      <c r="K585" s="8"/>
      <c r="L585" s="8"/>
      <c r="M585" s="8"/>
      <c r="N585" s="8"/>
      <c r="O585" s="8"/>
      <c r="P585" s="8"/>
      <c r="Q585" s="8"/>
      <c r="R585" s="8"/>
      <c r="S585" s="8"/>
      <c r="T585" s="8"/>
      <c r="U585" s="8"/>
      <c r="V585" s="8"/>
      <c r="W585" s="8"/>
      <c r="X585" s="8"/>
      <c r="Y585" s="8"/>
      <c r="Z585" s="8"/>
    </row>
    <row r="586">
      <c r="A586" s="8"/>
      <c r="B586" s="8"/>
      <c r="C586" s="8"/>
      <c r="D586" s="8"/>
      <c r="E586" s="8"/>
      <c r="F586" s="8"/>
      <c r="G586" s="8"/>
      <c r="H586" s="8"/>
      <c r="I586" s="8"/>
      <c r="J586" s="8"/>
      <c r="K586" s="8"/>
      <c r="L586" s="8"/>
      <c r="M586" s="8"/>
      <c r="N586" s="8"/>
      <c r="O586" s="8"/>
      <c r="P586" s="8"/>
      <c r="Q586" s="8"/>
      <c r="R586" s="8"/>
      <c r="S586" s="8"/>
      <c r="T586" s="8"/>
      <c r="U586" s="8"/>
      <c r="V586" s="8"/>
      <c r="W586" s="8"/>
      <c r="X586" s="8"/>
      <c r="Y586" s="8"/>
      <c r="Z586" s="8"/>
    </row>
    <row r="587">
      <c r="A587" s="8"/>
      <c r="B587" s="8"/>
      <c r="C587" s="8"/>
      <c r="D587" s="8"/>
      <c r="E587" s="8"/>
      <c r="F587" s="8"/>
      <c r="G587" s="8"/>
      <c r="H587" s="8"/>
      <c r="I587" s="8"/>
      <c r="J587" s="8"/>
      <c r="K587" s="8"/>
      <c r="L587" s="8"/>
      <c r="M587" s="8"/>
      <c r="N587" s="8"/>
      <c r="O587" s="8"/>
      <c r="P587" s="8"/>
      <c r="Q587" s="8"/>
      <c r="R587" s="8"/>
      <c r="S587" s="8"/>
      <c r="T587" s="8"/>
      <c r="U587" s="8"/>
      <c r="V587" s="8"/>
      <c r="W587" s="8"/>
      <c r="X587" s="8"/>
      <c r="Y587" s="8"/>
      <c r="Z587" s="8"/>
    </row>
    <row r="588">
      <c r="A588" s="8"/>
      <c r="B588" s="8"/>
      <c r="C588" s="8"/>
      <c r="D588" s="8"/>
      <c r="E588" s="8"/>
      <c r="F588" s="8"/>
      <c r="G588" s="8"/>
      <c r="H588" s="8"/>
      <c r="I588" s="8"/>
      <c r="J588" s="8"/>
      <c r="K588" s="8"/>
      <c r="L588" s="8"/>
      <c r="M588" s="8"/>
      <c r="N588" s="8"/>
      <c r="O588" s="8"/>
      <c r="P588" s="8"/>
      <c r="Q588" s="8"/>
      <c r="R588" s="8"/>
      <c r="S588" s="8"/>
      <c r="T588" s="8"/>
      <c r="U588" s="8"/>
      <c r="V588" s="8"/>
      <c r="W588" s="8"/>
      <c r="X588" s="8"/>
      <c r="Y588" s="8"/>
      <c r="Z588" s="8"/>
    </row>
    <row r="589">
      <c r="A589" s="8"/>
      <c r="B589" s="8"/>
      <c r="C589" s="8"/>
      <c r="D589" s="8"/>
      <c r="E589" s="8"/>
      <c r="F589" s="8"/>
      <c r="G589" s="8"/>
      <c r="H589" s="8"/>
      <c r="I589" s="8"/>
      <c r="J589" s="8"/>
      <c r="K589" s="8"/>
      <c r="L589" s="8"/>
      <c r="M589" s="8"/>
      <c r="N589" s="8"/>
      <c r="O589" s="8"/>
      <c r="P589" s="8"/>
      <c r="Q589" s="8"/>
      <c r="R589" s="8"/>
      <c r="S589" s="8"/>
      <c r="T589" s="8"/>
      <c r="U589" s="8"/>
      <c r="V589" s="8"/>
      <c r="W589" s="8"/>
      <c r="X589" s="8"/>
      <c r="Y589" s="8"/>
      <c r="Z589" s="8"/>
    </row>
    <row r="590">
      <c r="A590" s="8"/>
      <c r="B590" s="8"/>
      <c r="C590" s="8"/>
      <c r="D590" s="8"/>
      <c r="E590" s="8"/>
      <c r="F590" s="8"/>
      <c r="G590" s="8"/>
      <c r="H590" s="8"/>
      <c r="I590" s="8"/>
      <c r="J590" s="8"/>
      <c r="K590" s="8"/>
      <c r="L590" s="8"/>
      <c r="M590" s="8"/>
      <c r="N590" s="8"/>
      <c r="O590" s="8"/>
      <c r="P590" s="8"/>
      <c r="Q590" s="8"/>
      <c r="R590" s="8"/>
      <c r="S590" s="8"/>
      <c r="T590" s="8"/>
      <c r="U590" s="8"/>
      <c r="V590" s="8"/>
      <c r="W590" s="8"/>
      <c r="X590" s="8"/>
      <c r="Y590" s="8"/>
      <c r="Z590" s="8"/>
    </row>
    <row r="591">
      <c r="A591" s="8"/>
      <c r="B591" s="8"/>
      <c r="C591" s="8"/>
      <c r="D591" s="8"/>
      <c r="E591" s="8"/>
      <c r="F591" s="8"/>
      <c r="G591" s="8"/>
      <c r="H591" s="8"/>
      <c r="I591" s="8"/>
      <c r="J591" s="8"/>
      <c r="K591" s="8"/>
      <c r="L591" s="8"/>
      <c r="M591" s="8"/>
      <c r="N591" s="8"/>
      <c r="O591" s="8"/>
      <c r="P591" s="8"/>
      <c r="Q591" s="8"/>
      <c r="R591" s="8"/>
      <c r="S591" s="8"/>
      <c r="T591" s="8"/>
      <c r="U591" s="8"/>
      <c r="V591" s="8"/>
      <c r="W591" s="8"/>
      <c r="X591" s="8"/>
      <c r="Y591" s="8"/>
      <c r="Z591" s="8"/>
    </row>
    <row r="592">
      <c r="A592" s="8"/>
      <c r="B592" s="8"/>
      <c r="C592" s="8"/>
      <c r="D592" s="8"/>
      <c r="E592" s="8"/>
      <c r="F592" s="8"/>
      <c r="G592" s="8"/>
      <c r="H592" s="8"/>
      <c r="I592" s="8"/>
      <c r="J592" s="8"/>
      <c r="K592" s="8"/>
      <c r="L592" s="8"/>
      <c r="M592" s="8"/>
      <c r="N592" s="8"/>
      <c r="O592" s="8"/>
      <c r="P592" s="8"/>
      <c r="Q592" s="8"/>
      <c r="R592" s="8"/>
      <c r="S592" s="8"/>
      <c r="T592" s="8"/>
      <c r="U592" s="8"/>
      <c r="V592" s="8"/>
      <c r="W592" s="8"/>
      <c r="X592" s="8"/>
      <c r="Y592" s="8"/>
      <c r="Z592" s="8"/>
    </row>
    <row r="593">
      <c r="A593" s="8"/>
      <c r="B593" s="8"/>
      <c r="C593" s="8"/>
      <c r="D593" s="8"/>
      <c r="E593" s="8"/>
      <c r="F593" s="8"/>
      <c r="G593" s="8"/>
      <c r="H593" s="8"/>
      <c r="I593" s="8"/>
      <c r="J593" s="8"/>
      <c r="K593" s="8"/>
      <c r="L593" s="8"/>
      <c r="M593" s="8"/>
      <c r="N593" s="8"/>
      <c r="O593" s="8"/>
      <c r="P593" s="8"/>
      <c r="Q593" s="8"/>
      <c r="R593" s="8"/>
      <c r="S593" s="8"/>
      <c r="T593" s="8"/>
      <c r="U593" s="8"/>
      <c r="V593" s="8"/>
      <c r="W593" s="8"/>
      <c r="X593" s="8"/>
      <c r="Y593" s="8"/>
      <c r="Z593" s="8"/>
    </row>
    <row r="594">
      <c r="A594" s="8"/>
      <c r="B594" s="8"/>
      <c r="C594" s="8"/>
      <c r="D594" s="8"/>
      <c r="E594" s="8"/>
      <c r="F594" s="8"/>
      <c r="G594" s="8"/>
      <c r="H594" s="8"/>
      <c r="I594" s="8"/>
      <c r="J594" s="8"/>
      <c r="K594" s="8"/>
      <c r="L594" s="8"/>
      <c r="M594" s="8"/>
      <c r="N594" s="8"/>
      <c r="O594" s="8"/>
      <c r="P594" s="8"/>
      <c r="Q594" s="8"/>
      <c r="R594" s="8"/>
      <c r="S594" s="8"/>
      <c r="T594" s="8"/>
      <c r="U594" s="8"/>
      <c r="V594" s="8"/>
      <c r="W594" s="8"/>
      <c r="X594" s="8"/>
      <c r="Y594" s="8"/>
      <c r="Z594" s="8"/>
    </row>
    <row r="595">
      <c r="A595" s="8"/>
      <c r="B595" s="8"/>
      <c r="C595" s="8"/>
      <c r="D595" s="8"/>
      <c r="E595" s="8"/>
      <c r="F595" s="8"/>
      <c r="G595" s="8"/>
      <c r="H595" s="8"/>
      <c r="I595" s="8"/>
      <c r="J595" s="8"/>
      <c r="K595" s="8"/>
      <c r="L595" s="8"/>
      <c r="M595" s="8"/>
      <c r="N595" s="8"/>
      <c r="O595" s="8"/>
      <c r="P595" s="8"/>
      <c r="Q595" s="8"/>
      <c r="R595" s="8"/>
      <c r="S595" s="8"/>
      <c r="T595" s="8"/>
      <c r="U595" s="8"/>
      <c r="V595" s="8"/>
      <c r="W595" s="8"/>
      <c r="X595" s="8"/>
      <c r="Y595" s="8"/>
      <c r="Z595" s="8"/>
    </row>
    <row r="596">
      <c r="A596" s="8"/>
      <c r="B596" s="8"/>
      <c r="C596" s="8"/>
      <c r="D596" s="8"/>
      <c r="E596" s="8"/>
      <c r="F596" s="8"/>
      <c r="G596" s="8"/>
      <c r="H596" s="8"/>
      <c r="I596" s="8"/>
      <c r="J596" s="8"/>
      <c r="K596" s="8"/>
      <c r="L596" s="8"/>
      <c r="M596" s="8"/>
      <c r="N596" s="8"/>
      <c r="O596" s="8"/>
      <c r="P596" s="8"/>
      <c r="Q596" s="8"/>
      <c r="R596" s="8"/>
      <c r="S596" s="8"/>
      <c r="T596" s="8"/>
      <c r="U596" s="8"/>
      <c r="V596" s="8"/>
      <c r="W596" s="8"/>
      <c r="X596" s="8"/>
      <c r="Y596" s="8"/>
      <c r="Z596" s="8"/>
    </row>
    <row r="597">
      <c r="A597" s="8"/>
      <c r="B597" s="8"/>
      <c r="C597" s="8"/>
      <c r="D597" s="8"/>
      <c r="E597" s="8"/>
      <c r="F597" s="8"/>
      <c r="G597" s="8"/>
      <c r="H597" s="8"/>
      <c r="I597" s="8"/>
      <c r="J597" s="8"/>
      <c r="K597" s="8"/>
      <c r="L597" s="8"/>
      <c r="M597" s="8"/>
      <c r="N597" s="8"/>
      <c r="O597" s="8"/>
      <c r="P597" s="8"/>
      <c r="Q597" s="8"/>
      <c r="R597" s="8"/>
      <c r="S597" s="8"/>
      <c r="T597" s="8"/>
      <c r="U597" s="8"/>
      <c r="V597" s="8"/>
      <c r="W597" s="8"/>
      <c r="X597" s="8"/>
      <c r="Y597" s="8"/>
      <c r="Z597" s="8"/>
    </row>
    <row r="598">
      <c r="A598" s="8"/>
      <c r="B598" s="8"/>
      <c r="C598" s="8"/>
      <c r="D598" s="8"/>
      <c r="E598" s="8"/>
      <c r="F598" s="8"/>
      <c r="G598" s="8"/>
      <c r="H598" s="8"/>
      <c r="I598" s="8"/>
      <c r="J598" s="8"/>
      <c r="K598" s="8"/>
      <c r="L598" s="8"/>
      <c r="M598" s="8"/>
      <c r="N598" s="8"/>
      <c r="O598" s="8"/>
      <c r="P598" s="8"/>
      <c r="Q598" s="8"/>
      <c r="R598" s="8"/>
      <c r="S598" s="8"/>
      <c r="T598" s="8"/>
      <c r="U598" s="8"/>
      <c r="V598" s="8"/>
      <c r="W598" s="8"/>
      <c r="X598" s="8"/>
      <c r="Y598" s="8"/>
      <c r="Z598" s="8"/>
    </row>
    <row r="599">
      <c r="A599" s="8"/>
      <c r="B599" s="8"/>
      <c r="C599" s="8"/>
      <c r="D599" s="8"/>
      <c r="E599" s="8"/>
      <c r="F599" s="8"/>
      <c r="G599" s="8"/>
      <c r="H599" s="8"/>
      <c r="I599" s="8"/>
      <c r="J599" s="8"/>
      <c r="K599" s="8"/>
      <c r="L599" s="8"/>
      <c r="M599" s="8"/>
      <c r="N599" s="8"/>
      <c r="O599" s="8"/>
      <c r="P599" s="8"/>
      <c r="Q599" s="8"/>
      <c r="R599" s="8"/>
      <c r="S599" s="8"/>
      <c r="T599" s="8"/>
      <c r="U599" s="8"/>
      <c r="V599" s="8"/>
      <c r="W599" s="8"/>
      <c r="X599" s="8"/>
      <c r="Y599" s="8"/>
      <c r="Z599" s="8"/>
    </row>
    <row r="600">
      <c r="A600" s="8"/>
      <c r="B600" s="8"/>
      <c r="C600" s="8"/>
      <c r="D600" s="8"/>
      <c r="E600" s="8"/>
      <c r="F600" s="8"/>
      <c r="G600" s="8"/>
      <c r="H600" s="8"/>
      <c r="I600" s="8"/>
      <c r="J600" s="8"/>
      <c r="K600" s="8"/>
      <c r="L600" s="8"/>
      <c r="M600" s="8"/>
      <c r="N600" s="8"/>
      <c r="O600" s="8"/>
      <c r="P600" s="8"/>
      <c r="Q600" s="8"/>
      <c r="R600" s="8"/>
      <c r="S600" s="8"/>
      <c r="T600" s="8"/>
      <c r="U600" s="8"/>
      <c r="V600" s="8"/>
      <c r="W600" s="8"/>
      <c r="X600" s="8"/>
      <c r="Y600" s="8"/>
      <c r="Z600" s="8"/>
    </row>
    <row r="601">
      <c r="A601" s="8"/>
      <c r="B601" s="8"/>
      <c r="C601" s="8"/>
      <c r="D601" s="8"/>
      <c r="E601" s="8"/>
      <c r="F601" s="8"/>
      <c r="G601" s="8"/>
      <c r="H601" s="8"/>
      <c r="I601" s="8"/>
      <c r="J601" s="8"/>
      <c r="K601" s="8"/>
      <c r="L601" s="8"/>
      <c r="M601" s="8"/>
      <c r="N601" s="8"/>
      <c r="O601" s="8"/>
      <c r="P601" s="8"/>
      <c r="Q601" s="8"/>
      <c r="R601" s="8"/>
      <c r="S601" s="8"/>
      <c r="T601" s="8"/>
      <c r="U601" s="8"/>
      <c r="V601" s="8"/>
      <c r="W601" s="8"/>
      <c r="X601" s="8"/>
      <c r="Y601" s="8"/>
      <c r="Z601" s="8"/>
    </row>
    <row r="602">
      <c r="A602" s="8"/>
      <c r="B602" s="8"/>
      <c r="C602" s="8"/>
      <c r="D602" s="8"/>
      <c r="E602" s="8"/>
      <c r="F602" s="8"/>
      <c r="G602" s="8"/>
      <c r="H602" s="8"/>
      <c r="I602" s="8"/>
      <c r="J602" s="8"/>
      <c r="K602" s="8"/>
      <c r="L602" s="8"/>
      <c r="M602" s="8"/>
      <c r="N602" s="8"/>
      <c r="O602" s="8"/>
      <c r="P602" s="8"/>
      <c r="Q602" s="8"/>
      <c r="R602" s="8"/>
      <c r="S602" s="8"/>
      <c r="T602" s="8"/>
      <c r="U602" s="8"/>
      <c r="V602" s="8"/>
      <c r="W602" s="8"/>
      <c r="X602" s="8"/>
      <c r="Y602" s="8"/>
      <c r="Z602" s="8"/>
    </row>
    <row r="603">
      <c r="A603" s="8"/>
      <c r="B603" s="8"/>
      <c r="C603" s="8"/>
      <c r="D603" s="8"/>
      <c r="E603" s="8"/>
      <c r="F603" s="8"/>
      <c r="G603" s="8"/>
      <c r="H603" s="8"/>
      <c r="I603" s="8"/>
      <c r="J603" s="8"/>
      <c r="K603" s="8"/>
      <c r="L603" s="8"/>
      <c r="M603" s="8"/>
      <c r="N603" s="8"/>
      <c r="O603" s="8"/>
      <c r="P603" s="8"/>
      <c r="Q603" s="8"/>
      <c r="R603" s="8"/>
      <c r="S603" s="8"/>
      <c r="T603" s="8"/>
      <c r="U603" s="8"/>
      <c r="V603" s="8"/>
      <c r="W603" s="8"/>
      <c r="X603" s="8"/>
      <c r="Y603" s="8"/>
      <c r="Z603" s="8"/>
    </row>
    <row r="604">
      <c r="A604" s="8"/>
      <c r="B604" s="8"/>
      <c r="C604" s="8"/>
      <c r="D604" s="8"/>
      <c r="E604" s="8"/>
      <c r="F604" s="8"/>
      <c r="G604" s="8"/>
      <c r="H604" s="8"/>
      <c r="I604" s="8"/>
      <c r="J604" s="8"/>
      <c r="K604" s="8"/>
      <c r="L604" s="8"/>
      <c r="M604" s="8"/>
      <c r="N604" s="8"/>
      <c r="O604" s="8"/>
      <c r="P604" s="8"/>
      <c r="Q604" s="8"/>
      <c r="R604" s="8"/>
      <c r="S604" s="8"/>
      <c r="T604" s="8"/>
      <c r="U604" s="8"/>
      <c r="V604" s="8"/>
      <c r="W604" s="8"/>
      <c r="X604" s="8"/>
      <c r="Y604" s="8"/>
      <c r="Z604" s="8"/>
    </row>
    <row r="605">
      <c r="A605" s="8"/>
      <c r="B605" s="8"/>
      <c r="C605" s="8"/>
      <c r="D605" s="8"/>
      <c r="E605" s="8"/>
      <c r="F605" s="8"/>
      <c r="G605" s="8"/>
      <c r="H605" s="8"/>
      <c r="I605" s="8"/>
      <c r="J605" s="8"/>
      <c r="K605" s="8"/>
      <c r="L605" s="8"/>
      <c r="M605" s="8"/>
      <c r="N605" s="8"/>
      <c r="O605" s="8"/>
      <c r="P605" s="8"/>
      <c r="Q605" s="8"/>
      <c r="R605" s="8"/>
      <c r="S605" s="8"/>
      <c r="T605" s="8"/>
      <c r="U605" s="8"/>
      <c r="V605" s="8"/>
      <c r="W605" s="8"/>
      <c r="X605" s="8"/>
      <c r="Y605" s="8"/>
      <c r="Z605" s="8"/>
    </row>
    <row r="606">
      <c r="A606" s="8"/>
      <c r="B606" s="8"/>
      <c r="C606" s="8"/>
      <c r="D606" s="8"/>
      <c r="E606" s="8"/>
      <c r="F606" s="8"/>
      <c r="G606" s="8"/>
      <c r="H606" s="8"/>
      <c r="I606" s="8"/>
      <c r="J606" s="8"/>
      <c r="K606" s="8"/>
      <c r="L606" s="8"/>
      <c r="M606" s="8"/>
      <c r="N606" s="8"/>
      <c r="O606" s="8"/>
      <c r="P606" s="8"/>
      <c r="Q606" s="8"/>
      <c r="R606" s="8"/>
      <c r="S606" s="8"/>
      <c r="T606" s="8"/>
      <c r="U606" s="8"/>
      <c r="V606" s="8"/>
      <c r="W606" s="8"/>
      <c r="X606" s="8"/>
      <c r="Y606" s="8"/>
      <c r="Z606" s="8"/>
    </row>
    <row r="607">
      <c r="A607" s="8"/>
      <c r="B607" s="8"/>
      <c r="C607" s="8"/>
      <c r="D607" s="8"/>
      <c r="E607" s="8"/>
      <c r="F607" s="8"/>
      <c r="G607" s="8"/>
      <c r="H607" s="8"/>
      <c r="I607" s="8"/>
      <c r="J607" s="8"/>
      <c r="K607" s="8"/>
      <c r="L607" s="8"/>
      <c r="M607" s="8"/>
      <c r="N607" s="8"/>
      <c r="O607" s="8"/>
      <c r="P607" s="8"/>
      <c r="Q607" s="8"/>
      <c r="R607" s="8"/>
      <c r="S607" s="8"/>
      <c r="T607" s="8"/>
      <c r="U607" s="8"/>
      <c r="V607" s="8"/>
      <c r="W607" s="8"/>
      <c r="X607" s="8"/>
      <c r="Y607" s="8"/>
      <c r="Z607" s="8"/>
    </row>
    <row r="608">
      <c r="A608" s="8"/>
      <c r="B608" s="8"/>
      <c r="C608" s="8"/>
      <c r="D608" s="8"/>
      <c r="E608" s="8"/>
      <c r="F608" s="8"/>
      <c r="G608" s="8"/>
      <c r="H608" s="8"/>
      <c r="I608" s="8"/>
      <c r="J608" s="8"/>
      <c r="K608" s="8"/>
      <c r="L608" s="8"/>
      <c r="M608" s="8"/>
      <c r="N608" s="8"/>
      <c r="O608" s="8"/>
      <c r="P608" s="8"/>
      <c r="Q608" s="8"/>
      <c r="R608" s="8"/>
      <c r="S608" s="8"/>
      <c r="T608" s="8"/>
      <c r="U608" s="8"/>
      <c r="V608" s="8"/>
      <c r="W608" s="8"/>
      <c r="X608" s="8"/>
      <c r="Y608" s="8"/>
      <c r="Z608" s="8"/>
    </row>
    <row r="609">
      <c r="A609" s="8"/>
      <c r="B609" s="8"/>
      <c r="C609" s="8"/>
      <c r="D609" s="8"/>
      <c r="E609" s="8"/>
      <c r="F609" s="8"/>
      <c r="G609" s="8"/>
      <c r="H609" s="8"/>
      <c r="I609" s="8"/>
      <c r="J609" s="8"/>
      <c r="K609" s="8"/>
      <c r="L609" s="8"/>
      <c r="M609" s="8"/>
      <c r="N609" s="8"/>
      <c r="O609" s="8"/>
      <c r="P609" s="8"/>
      <c r="Q609" s="8"/>
      <c r="R609" s="8"/>
      <c r="S609" s="8"/>
      <c r="T609" s="8"/>
      <c r="U609" s="8"/>
      <c r="V609" s="8"/>
      <c r="W609" s="8"/>
      <c r="X609" s="8"/>
      <c r="Y609" s="8"/>
      <c r="Z609" s="8"/>
    </row>
    <row r="610">
      <c r="A610" s="8"/>
      <c r="B610" s="8"/>
      <c r="C610" s="8"/>
      <c r="D610" s="8"/>
      <c r="E610" s="8"/>
      <c r="F610" s="8"/>
      <c r="G610" s="8"/>
      <c r="H610" s="8"/>
      <c r="I610" s="8"/>
      <c r="J610" s="8"/>
      <c r="K610" s="8"/>
      <c r="L610" s="8"/>
      <c r="M610" s="8"/>
      <c r="N610" s="8"/>
      <c r="O610" s="8"/>
      <c r="P610" s="8"/>
      <c r="Q610" s="8"/>
      <c r="R610" s="8"/>
      <c r="S610" s="8"/>
      <c r="T610" s="8"/>
      <c r="U610" s="8"/>
      <c r="V610" s="8"/>
      <c r="W610" s="8"/>
      <c r="X610" s="8"/>
      <c r="Y610" s="8"/>
      <c r="Z610" s="8"/>
    </row>
    <row r="611">
      <c r="A611" s="8"/>
      <c r="B611" s="8"/>
      <c r="C611" s="8"/>
      <c r="D611" s="8"/>
      <c r="E611" s="8"/>
      <c r="F611" s="8"/>
      <c r="G611" s="8"/>
      <c r="H611" s="8"/>
      <c r="I611" s="8"/>
      <c r="J611" s="8"/>
      <c r="K611" s="8"/>
      <c r="L611" s="8"/>
      <c r="M611" s="8"/>
      <c r="N611" s="8"/>
      <c r="O611" s="8"/>
      <c r="P611" s="8"/>
      <c r="Q611" s="8"/>
      <c r="R611" s="8"/>
      <c r="S611" s="8"/>
      <c r="T611" s="8"/>
      <c r="U611" s="8"/>
      <c r="V611" s="8"/>
      <c r="W611" s="8"/>
      <c r="X611" s="8"/>
      <c r="Y611" s="8"/>
      <c r="Z611" s="8"/>
    </row>
    <row r="612">
      <c r="A612" s="8"/>
      <c r="B612" s="8"/>
      <c r="C612" s="8"/>
      <c r="D612" s="8"/>
      <c r="E612" s="8"/>
      <c r="F612" s="8"/>
      <c r="G612" s="8"/>
      <c r="H612" s="8"/>
      <c r="I612" s="8"/>
      <c r="J612" s="8"/>
      <c r="K612" s="8"/>
      <c r="L612" s="8"/>
      <c r="M612" s="8"/>
      <c r="N612" s="8"/>
      <c r="O612" s="8"/>
      <c r="P612" s="8"/>
      <c r="Q612" s="8"/>
      <c r="R612" s="8"/>
      <c r="S612" s="8"/>
      <c r="T612" s="8"/>
      <c r="U612" s="8"/>
      <c r="V612" s="8"/>
      <c r="W612" s="8"/>
      <c r="X612" s="8"/>
      <c r="Y612" s="8"/>
      <c r="Z612" s="8"/>
    </row>
    <row r="613">
      <c r="A613" s="8"/>
      <c r="B613" s="8"/>
      <c r="C613" s="8"/>
      <c r="D613" s="8"/>
      <c r="E613" s="8"/>
      <c r="F613" s="8"/>
      <c r="G613" s="8"/>
      <c r="H613" s="8"/>
      <c r="I613" s="8"/>
      <c r="J613" s="8"/>
      <c r="K613" s="8"/>
      <c r="L613" s="8"/>
      <c r="M613" s="8"/>
      <c r="N613" s="8"/>
      <c r="O613" s="8"/>
      <c r="P613" s="8"/>
      <c r="Q613" s="8"/>
      <c r="R613" s="8"/>
      <c r="S613" s="8"/>
      <c r="T613" s="8"/>
      <c r="U613" s="8"/>
      <c r="V613" s="8"/>
      <c r="W613" s="8"/>
      <c r="X613" s="8"/>
      <c r="Y613" s="8"/>
      <c r="Z613" s="8"/>
    </row>
    <row r="614">
      <c r="A614" s="8"/>
      <c r="B614" s="8"/>
      <c r="C614" s="8"/>
      <c r="D614" s="8"/>
      <c r="E614" s="8"/>
      <c r="F614" s="8"/>
      <c r="G614" s="8"/>
      <c r="H614" s="8"/>
      <c r="I614" s="8"/>
      <c r="J614" s="8"/>
      <c r="K614" s="8"/>
      <c r="L614" s="8"/>
      <c r="M614" s="8"/>
      <c r="N614" s="8"/>
      <c r="O614" s="8"/>
      <c r="P614" s="8"/>
      <c r="Q614" s="8"/>
      <c r="R614" s="8"/>
      <c r="S614" s="8"/>
      <c r="T614" s="8"/>
      <c r="U614" s="8"/>
      <c r="V614" s="8"/>
      <c r="W614" s="8"/>
      <c r="X614" s="8"/>
      <c r="Y614" s="8"/>
      <c r="Z614" s="8"/>
    </row>
    <row r="615">
      <c r="A615" s="8"/>
      <c r="B615" s="8"/>
      <c r="C615" s="8"/>
      <c r="D615" s="8"/>
      <c r="E615" s="8"/>
      <c r="F615" s="8"/>
      <c r="G615" s="8"/>
      <c r="H615" s="8"/>
      <c r="I615" s="8"/>
      <c r="J615" s="8"/>
      <c r="K615" s="8"/>
      <c r="L615" s="8"/>
      <c r="M615" s="8"/>
      <c r="N615" s="8"/>
      <c r="O615" s="8"/>
      <c r="P615" s="8"/>
      <c r="Q615" s="8"/>
      <c r="R615" s="8"/>
      <c r="S615" s="8"/>
      <c r="T615" s="8"/>
      <c r="U615" s="8"/>
      <c r="V615" s="8"/>
      <c r="W615" s="8"/>
      <c r="X615" s="8"/>
      <c r="Y615" s="8"/>
      <c r="Z615" s="8"/>
    </row>
    <row r="616">
      <c r="A616" s="8"/>
      <c r="B616" s="8"/>
      <c r="C616" s="8"/>
      <c r="D616" s="8"/>
      <c r="E616" s="8"/>
      <c r="F616" s="8"/>
      <c r="G616" s="8"/>
      <c r="H616" s="8"/>
      <c r="I616" s="8"/>
      <c r="J616" s="8"/>
      <c r="K616" s="8"/>
      <c r="L616" s="8"/>
      <c r="M616" s="8"/>
      <c r="N616" s="8"/>
      <c r="O616" s="8"/>
      <c r="P616" s="8"/>
      <c r="Q616" s="8"/>
      <c r="R616" s="8"/>
      <c r="S616" s="8"/>
      <c r="T616" s="8"/>
      <c r="U616" s="8"/>
      <c r="V616" s="8"/>
      <c r="W616" s="8"/>
      <c r="X616" s="8"/>
      <c r="Y616" s="8"/>
      <c r="Z616" s="8"/>
    </row>
    <row r="617">
      <c r="A617" s="8"/>
      <c r="B617" s="8"/>
      <c r="C617" s="8"/>
      <c r="D617" s="8"/>
      <c r="E617" s="8"/>
      <c r="F617" s="8"/>
      <c r="G617" s="8"/>
      <c r="H617" s="8"/>
      <c r="I617" s="8"/>
      <c r="J617" s="8"/>
      <c r="K617" s="8"/>
      <c r="L617" s="8"/>
      <c r="M617" s="8"/>
      <c r="N617" s="8"/>
      <c r="O617" s="8"/>
      <c r="P617" s="8"/>
      <c r="Q617" s="8"/>
      <c r="R617" s="8"/>
      <c r="S617" s="8"/>
      <c r="T617" s="8"/>
      <c r="U617" s="8"/>
      <c r="V617" s="8"/>
      <c r="W617" s="8"/>
      <c r="X617" s="8"/>
      <c r="Y617" s="8"/>
      <c r="Z617" s="8"/>
    </row>
    <row r="618">
      <c r="A618" s="8"/>
      <c r="B618" s="8"/>
      <c r="C618" s="8"/>
      <c r="D618" s="8"/>
      <c r="E618" s="8"/>
      <c r="F618" s="8"/>
      <c r="G618" s="8"/>
      <c r="H618" s="8"/>
      <c r="I618" s="8"/>
      <c r="J618" s="8"/>
      <c r="K618" s="8"/>
      <c r="L618" s="8"/>
      <c r="M618" s="8"/>
      <c r="N618" s="8"/>
      <c r="O618" s="8"/>
      <c r="P618" s="8"/>
      <c r="Q618" s="8"/>
      <c r="R618" s="8"/>
      <c r="S618" s="8"/>
      <c r="T618" s="8"/>
      <c r="U618" s="8"/>
      <c r="V618" s="8"/>
      <c r="W618" s="8"/>
      <c r="X618" s="8"/>
      <c r="Y618" s="8"/>
      <c r="Z618" s="8"/>
    </row>
    <row r="619">
      <c r="A619" s="8"/>
      <c r="B619" s="8"/>
      <c r="C619" s="8"/>
      <c r="D619" s="8"/>
      <c r="E619" s="8"/>
      <c r="F619" s="8"/>
      <c r="G619" s="8"/>
      <c r="H619" s="8"/>
      <c r="I619" s="8"/>
      <c r="J619" s="8"/>
      <c r="K619" s="8"/>
      <c r="L619" s="8"/>
      <c r="M619" s="8"/>
      <c r="N619" s="8"/>
      <c r="O619" s="8"/>
      <c r="P619" s="8"/>
      <c r="Q619" s="8"/>
      <c r="R619" s="8"/>
      <c r="S619" s="8"/>
      <c r="T619" s="8"/>
      <c r="U619" s="8"/>
      <c r="V619" s="8"/>
      <c r="W619" s="8"/>
      <c r="X619" s="8"/>
      <c r="Y619" s="8"/>
      <c r="Z619" s="8"/>
    </row>
    <row r="620">
      <c r="A620" s="8"/>
      <c r="B620" s="8"/>
      <c r="C620" s="8"/>
      <c r="D620" s="8"/>
      <c r="E620" s="8"/>
      <c r="F620" s="8"/>
      <c r="G620" s="8"/>
      <c r="H620" s="8"/>
      <c r="I620" s="8"/>
      <c r="J620" s="8"/>
      <c r="K620" s="8"/>
      <c r="L620" s="8"/>
      <c r="M620" s="8"/>
      <c r="N620" s="8"/>
      <c r="O620" s="8"/>
      <c r="P620" s="8"/>
      <c r="Q620" s="8"/>
      <c r="R620" s="8"/>
      <c r="S620" s="8"/>
      <c r="T620" s="8"/>
      <c r="U620" s="8"/>
      <c r="V620" s="8"/>
      <c r="W620" s="8"/>
      <c r="X620" s="8"/>
      <c r="Y620" s="8"/>
      <c r="Z620" s="8"/>
    </row>
    <row r="621">
      <c r="A621" s="8"/>
      <c r="B621" s="8"/>
      <c r="C621" s="8"/>
      <c r="D621" s="8"/>
      <c r="E621" s="8"/>
      <c r="F621" s="8"/>
      <c r="G621" s="8"/>
      <c r="H621" s="8"/>
      <c r="I621" s="8"/>
      <c r="J621" s="8"/>
      <c r="K621" s="8"/>
      <c r="L621" s="8"/>
      <c r="M621" s="8"/>
      <c r="N621" s="8"/>
      <c r="O621" s="8"/>
      <c r="P621" s="8"/>
      <c r="Q621" s="8"/>
      <c r="R621" s="8"/>
      <c r="S621" s="8"/>
      <c r="T621" s="8"/>
      <c r="U621" s="8"/>
      <c r="V621" s="8"/>
      <c r="W621" s="8"/>
      <c r="X621" s="8"/>
      <c r="Y621" s="8"/>
      <c r="Z621" s="8"/>
    </row>
    <row r="622">
      <c r="A622" s="8"/>
      <c r="B622" s="8"/>
      <c r="C622" s="8"/>
      <c r="D622" s="8"/>
      <c r="E622" s="8"/>
      <c r="F622" s="8"/>
      <c r="G622" s="8"/>
      <c r="H622" s="8"/>
      <c r="I622" s="8"/>
      <c r="J622" s="8"/>
      <c r="K622" s="8"/>
      <c r="L622" s="8"/>
      <c r="M622" s="8"/>
      <c r="N622" s="8"/>
      <c r="O622" s="8"/>
      <c r="P622" s="8"/>
      <c r="Q622" s="8"/>
      <c r="R622" s="8"/>
      <c r="S622" s="8"/>
      <c r="T622" s="8"/>
      <c r="U622" s="8"/>
      <c r="V622" s="8"/>
      <c r="W622" s="8"/>
      <c r="X622" s="8"/>
      <c r="Y622" s="8"/>
      <c r="Z622" s="8"/>
    </row>
    <row r="623">
      <c r="A623" s="8"/>
      <c r="B623" s="8"/>
      <c r="C623" s="8"/>
      <c r="D623" s="8"/>
      <c r="E623" s="8"/>
      <c r="F623" s="8"/>
      <c r="G623" s="8"/>
      <c r="H623" s="8"/>
      <c r="I623" s="8"/>
      <c r="J623" s="8"/>
      <c r="K623" s="8"/>
      <c r="L623" s="8"/>
      <c r="M623" s="8"/>
      <c r="N623" s="8"/>
      <c r="O623" s="8"/>
      <c r="P623" s="8"/>
      <c r="Q623" s="8"/>
      <c r="R623" s="8"/>
      <c r="S623" s="8"/>
      <c r="T623" s="8"/>
      <c r="U623" s="8"/>
      <c r="V623" s="8"/>
      <c r="W623" s="8"/>
      <c r="X623" s="8"/>
      <c r="Y623" s="8"/>
      <c r="Z623" s="8"/>
    </row>
    <row r="624">
      <c r="A624" s="8"/>
      <c r="B624" s="8"/>
      <c r="C624" s="8"/>
      <c r="D624" s="8"/>
      <c r="E624" s="8"/>
      <c r="F624" s="8"/>
      <c r="G624" s="8"/>
      <c r="H624" s="8"/>
      <c r="I624" s="8"/>
      <c r="J624" s="8"/>
      <c r="K624" s="8"/>
      <c r="L624" s="8"/>
      <c r="M624" s="8"/>
      <c r="N624" s="8"/>
      <c r="O624" s="8"/>
      <c r="P624" s="8"/>
      <c r="Q624" s="8"/>
      <c r="R624" s="8"/>
      <c r="S624" s="8"/>
      <c r="T624" s="8"/>
      <c r="U624" s="8"/>
      <c r="V624" s="8"/>
      <c r="W624" s="8"/>
      <c r="X624" s="8"/>
      <c r="Y624" s="8"/>
      <c r="Z624" s="8"/>
    </row>
    <row r="625">
      <c r="A625" s="8"/>
      <c r="B625" s="8"/>
      <c r="C625" s="8"/>
      <c r="D625" s="8"/>
      <c r="E625" s="8"/>
      <c r="F625" s="8"/>
      <c r="G625" s="8"/>
      <c r="H625" s="8"/>
      <c r="I625" s="8"/>
      <c r="J625" s="8"/>
      <c r="K625" s="8"/>
      <c r="L625" s="8"/>
      <c r="M625" s="8"/>
      <c r="N625" s="8"/>
      <c r="O625" s="8"/>
      <c r="P625" s="8"/>
      <c r="Q625" s="8"/>
      <c r="R625" s="8"/>
      <c r="S625" s="8"/>
      <c r="T625" s="8"/>
      <c r="U625" s="8"/>
      <c r="V625" s="8"/>
      <c r="W625" s="8"/>
      <c r="X625" s="8"/>
      <c r="Y625" s="8"/>
      <c r="Z625" s="8"/>
    </row>
    <row r="626">
      <c r="A626" s="8"/>
      <c r="B626" s="8"/>
      <c r="C626" s="8"/>
      <c r="D626" s="8"/>
      <c r="E626" s="8"/>
      <c r="F626" s="8"/>
      <c r="G626" s="8"/>
      <c r="H626" s="8"/>
      <c r="I626" s="8"/>
      <c r="J626" s="8"/>
      <c r="K626" s="8"/>
      <c r="L626" s="8"/>
      <c r="M626" s="8"/>
      <c r="N626" s="8"/>
      <c r="O626" s="8"/>
      <c r="P626" s="8"/>
      <c r="Q626" s="8"/>
      <c r="R626" s="8"/>
      <c r="S626" s="8"/>
      <c r="T626" s="8"/>
      <c r="U626" s="8"/>
      <c r="V626" s="8"/>
      <c r="W626" s="8"/>
      <c r="X626" s="8"/>
      <c r="Y626" s="8"/>
      <c r="Z626" s="8"/>
    </row>
    <row r="627">
      <c r="A627" s="8"/>
      <c r="B627" s="8"/>
      <c r="C627" s="8"/>
      <c r="D627" s="8"/>
      <c r="E627" s="8"/>
      <c r="F627" s="8"/>
      <c r="G627" s="8"/>
      <c r="H627" s="8"/>
      <c r="I627" s="8"/>
      <c r="J627" s="8"/>
      <c r="K627" s="8"/>
      <c r="L627" s="8"/>
      <c r="M627" s="8"/>
      <c r="N627" s="8"/>
      <c r="O627" s="8"/>
      <c r="P627" s="8"/>
      <c r="Q627" s="8"/>
      <c r="R627" s="8"/>
      <c r="S627" s="8"/>
      <c r="T627" s="8"/>
      <c r="U627" s="8"/>
      <c r="V627" s="8"/>
      <c r="W627" s="8"/>
      <c r="X627" s="8"/>
      <c r="Y627" s="8"/>
      <c r="Z627" s="8"/>
    </row>
    <row r="628">
      <c r="A628" s="8"/>
      <c r="B628" s="8"/>
      <c r="C628" s="8"/>
      <c r="D628" s="8"/>
      <c r="E628" s="8"/>
      <c r="F628" s="8"/>
      <c r="G628" s="8"/>
      <c r="H628" s="8"/>
      <c r="I628" s="8"/>
      <c r="J628" s="8"/>
      <c r="K628" s="8"/>
      <c r="L628" s="8"/>
      <c r="M628" s="8"/>
      <c r="N628" s="8"/>
      <c r="O628" s="8"/>
      <c r="P628" s="8"/>
      <c r="Q628" s="8"/>
      <c r="R628" s="8"/>
      <c r="S628" s="8"/>
      <c r="T628" s="8"/>
      <c r="U628" s="8"/>
      <c r="V628" s="8"/>
      <c r="W628" s="8"/>
      <c r="X628" s="8"/>
      <c r="Y628" s="8"/>
      <c r="Z628" s="8"/>
    </row>
    <row r="629">
      <c r="A629" s="8"/>
      <c r="B629" s="8"/>
      <c r="C629" s="8"/>
      <c r="D629" s="8"/>
      <c r="E629" s="8"/>
      <c r="F629" s="8"/>
      <c r="G629" s="8"/>
      <c r="H629" s="8"/>
      <c r="I629" s="8"/>
      <c r="J629" s="8"/>
      <c r="K629" s="8"/>
      <c r="L629" s="8"/>
      <c r="M629" s="8"/>
      <c r="N629" s="8"/>
      <c r="O629" s="8"/>
      <c r="P629" s="8"/>
      <c r="Q629" s="8"/>
      <c r="R629" s="8"/>
      <c r="S629" s="8"/>
      <c r="T629" s="8"/>
      <c r="U629" s="8"/>
      <c r="V629" s="8"/>
      <c r="W629" s="8"/>
      <c r="X629" s="8"/>
      <c r="Y629" s="8"/>
      <c r="Z629" s="8"/>
    </row>
    <row r="630">
      <c r="A630" s="8"/>
      <c r="B630" s="8"/>
      <c r="C630" s="8"/>
      <c r="D630" s="8"/>
      <c r="E630" s="8"/>
      <c r="F630" s="8"/>
      <c r="G630" s="8"/>
      <c r="H630" s="8"/>
      <c r="I630" s="8"/>
      <c r="J630" s="8"/>
      <c r="K630" s="8"/>
      <c r="L630" s="8"/>
      <c r="M630" s="8"/>
      <c r="N630" s="8"/>
      <c r="O630" s="8"/>
      <c r="P630" s="8"/>
      <c r="Q630" s="8"/>
      <c r="R630" s="8"/>
      <c r="S630" s="8"/>
      <c r="T630" s="8"/>
      <c r="U630" s="8"/>
      <c r="V630" s="8"/>
      <c r="W630" s="8"/>
      <c r="X630" s="8"/>
      <c r="Y630" s="8"/>
      <c r="Z630" s="8"/>
    </row>
    <row r="631">
      <c r="A631" s="8"/>
      <c r="B631" s="8"/>
      <c r="C631" s="8"/>
      <c r="D631" s="8"/>
      <c r="E631" s="8"/>
      <c r="F631" s="8"/>
      <c r="G631" s="8"/>
      <c r="H631" s="8"/>
      <c r="I631" s="8"/>
      <c r="J631" s="8"/>
      <c r="K631" s="8"/>
      <c r="L631" s="8"/>
      <c r="M631" s="8"/>
      <c r="N631" s="8"/>
      <c r="O631" s="8"/>
      <c r="P631" s="8"/>
      <c r="Q631" s="8"/>
      <c r="R631" s="8"/>
      <c r="S631" s="8"/>
      <c r="T631" s="8"/>
      <c r="U631" s="8"/>
      <c r="V631" s="8"/>
      <c r="W631" s="8"/>
      <c r="X631" s="8"/>
      <c r="Y631" s="8"/>
      <c r="Z631" s="8"/>
    </row>
    <row r="632">
      <c r="A632" s="8"/>
      <c r="B632" s="8"/>
      <c r="C632" s="8"/>
      <c r="D632" s="8"/>
      <c r="E632" s="8"/>
      <c r="F632" s="8"/>
      <c r="G632" s="8"/>
      <c r="H632" s="8"/>
      <c r="I632" s="8"/>
      <c r="J632" s="8"/>
      <c r="K632" s="8"/>
      <c r="L632" s="8"/>
      <c r="M632" s="8"/>
      <c r="N632" s="8"/>
      <c r="O632" s="8"/>
      <c r="P632" s="8"/>
      <c r="Q632" s="8"/>
      <c r="R632" s="8"/>
      <c r="S632" s="8"/>
      <c r="T632" s="8"/>
      <c r="U632" s="8"/>
      <c r="V632" s="8"/>
      <c r="W632" s="8"/>
      <c r="X632" s="8"/>
      <c r="Y632" s="8"/>
      <c r="Z632" s="8"/>
    </row>
    <row r="633">
      <c r="A633" s="8"/>
      <c r="B633" s="8"/>
      <c r="C633" s="8"/>
      <c r="D633" s="8"/>
      <c r="E633" s="8"/>
      <c r="F633" s="8"/>
      <c r="G633" s="8"/>
      <c r="H633" s="8"/>
      <c r="I633" s="8"/>
      <c r="J633" s="8"/>
      <c r="K633" s="8"/>
      <c r="L633" s="8"/>
      <c r="M633" s="8"/>
      <c r="N633" s="8"/>
      <c r="O633" s="8"/>
      <c r="P633" s="8"/>
      <c r="Q633" s="8"/>
      <c r="R633" s="8"/>
      <c r="S633" s="8"/>
      <c r="T633" s="8"/>
      <c r="U633" s="8"/>
      <c r="V633" s="8"/>
      <c r="W633" s="8"/>
      <c r="X633" s="8"/>
      <c r="Y633" s="8"/>
      <c r="Z633" s="8"/>
    </row>
    <row r="634">
      <c r="A634" s="8"/>
      <c r="B634" s="8"/>
      <c r="C634" s="8"/>
      <c r="D634" s="8"/>
      <c r="E634" s="8"/>
      <c r="F634" s="8"/>
      <c r="G634" s="8"/>
      <c r="H634" s="8"/>
      <c r="I634" s="8"/>
      <c r="J634" s="8"/>
      <c r="K634" s="8"/>
      <c r="L634" s="8"/>
      <c r="M634" s="8"/>
      <c r="N634" s="8"/>
      <c r="O634" s="8"/>
      <c r="P634" s="8"/>
      <c r="Q634" s="8"/>
      <c r="R634" s="8"/>
      <c r="S634" s="8"/>
      <c r="T634" s="8"/>
      <c r="U634" s="8"/>
      <c r="V634" s="8"/>
      <c r="W634" s="8"/>
      <c r="X634" s="8"/>
      <c r="Y634" s="8"/>
      <c r="Z634" s="8"/>
    </row>
    <row r="635">
      <c r="A635" s="8"/>
      <c r="B635" s="8"/>
      <c r="C635" s="8"/>
      <c r="D635" s="8"/>
      <c r="E635" s="8"/>
      <c r="F635" s="8"/>
      <c r="G635" s="8"/>
      <c r="H635" s="8"/>
      <c r="I635" s="8"/>
      <c r="J635" s="8"/>
      <c r="K635" s="8"/>
      <c r="L635" s="8"/>
      <c r="M635" s="8"/>
      <c r="N635" s="8"/>
      <c r="O635" s="8"/>
      <c r="P635" s="8"/>
      <c r="Q635" s="8"/>
      <c r="R635" s="8"/>
      <c r="S635" s="8"/>
      <c r="T635" s="8"/>
      <c r="U635" s="8"/>
      <c r="V635" s="8"/>
      <c r="W635" s="8"/>
      <c r="X635" s="8"/>
      <c r="Y635" s="8"/>
      <c r="Z635" s="8"/>
    </row>
    <row r="636">
      <c r="A636" s="8"/>
      <c r="B636" s="8"/>
      <c r="C636" s="8"/>
      <c r="D636" s="8"/>
      <c r="E636" s="8"/>
      <c r="F636" s="8"/>
      <c r="G636" s="8"/>
      <c r="H636" s="8"/>
      <c r="I636" s="8"/>
      <c r="J636" s="8"/>
      <c r="K636" s="8"/>
      <c r="L636" s="8"/>
      <c r="M636" s="8"/>
      <c r="N636" s="8"/>
      <c r="O636" s="8"/>
      <c r="P636" s="8"/>
      <c r="Q636" s="8"/>
      <c r="R636" s="8"/>
      <c r="S636" s="8"/>
      <c r="T636" s="8"/>
      <c r="U636" s="8"/>
      <c r="V636" s="8"/>
      <c r="W636" s="8"/>
      <c r="X636" s="8"/>
      <c r="Y636" s="8"/>
      <c r="Z636" s="8"/>
    </row>
    <row r="637">
      <c r="A637" s="8"/>
      <c r="B637" s="8"/>
      <c r="C637" s="8"/>
      <c r="D637" s="8"/>
      <c r="E637" s="8"/>
      <c r="F637" s="8"/>
      <c r="G637" s="8"/>
      <c r="H637" s="8"/>
      <c r="I637" s="8"/>
      <c r="J637" s="8"/>
      <c r="K637" s="8"/>
      <c r="L637" s="8"/>
      <c r="M637" s="8"/>
      <c r="N637" s="8"/>
      <c r="O637" s="8"/>
      <c r="P637" s="8"/>
      <c r="Q637" s="8"/>
      <c r="R637" s="8"/>
      <c r="S637" s="8"/>
      <c r="T637" s="8"/>
      <c r="U637" s="8"/>
      <c r="V637" s="8"/>
      <c r="W637" s="8"/>
      <c r="X637" s="8"/>
      <c r="Y637" s="8"/>
      <c r="Z637" s="8"/>
    </row>
    <row r="638">
      <c r="A638" s="8"/>
      <c r="B638" s="8"/>
      <c r="C638" s="8"/>
      <c r="D638" s="8"/>
      <c r="E638" s="8"/>
      <c r="F638" s="8"/>
      <c r="G638" s="8"/>
      <c r="H638" s="8"/>
      <c r="I638" s="8"/>
      <c r="J638" s="8"/>
      <c r="K638" s="8"/>
      <c r="L638" s="8"/>
      <c r="M638" s="8"/>
      <c r="N638" s="8"/>
      <c r="O638" s="8"/>
      <c r="P638" s="8"/>
      <c r="Q638" s="8"/>
      <c r="R638" s="8"/>
      <c r="S638" s="8"/>
      <c r="T638" s="8"/>
      <c r="U638" s="8"/>
      <c r="V638" s="8"/>
      <c r="W638" s="8"/>
      <c r="X638" s="8"/>
      <c r="Y638" s="8"/>
      <c r="Z638" s="8"/>
    </row>
    <row r="639">
      <c r="A639" s="8"/>
      <c r="B639" s="8"/>
      <c r="C639" s="8"/>
      <c r="D639" s="8"/>
      <c r="E639" s="8"/>
      <c r="F639" s="8"/>
      <c r="G639" s="8"/>
      <c r="H639" s="8"/>
      <c r="I639" s="8"/>
      <c r="J639" s="8"/>
      <c r="K639" s="8"/>
      <c r="L639" s="8"/>
      <c r="M639" s="8"/>
      <c r="N639" s="8"/>
      <c r="O639" s="8"/>
      <c r="P639" s="8"/>
      <c r="Q639" s="8"/>
      <c r="R639" s="8"/>
      <c r="S639" s="8"/>
      <c r="T639" s="8"/>
      <c r="U639" s="8"/>
      <c r="V639" s="8"/>
      <c r="W639" s="8"/>
      <c r="X639" s="8"/>
      <c r="Y639" s="8"/>
      <c r="Z639" s="8"/>
    </row>
    <row r="640">
      <c r="A640" s="8"/>
      <c r="B640" s="8"/>
      <c r="C640" s="8"/>
      <c r="D640" s="8"/>
      <c r="E640" s="8"/>
      <c r="F640" s="8"/>
      <c r="G640" s="8"/>
      <c r="H640" s="8"/>
      <c r="I640" s="8"/>
      <c r="J640" s="8"/>
      <c r="K640" s="8"/>
      <c r="L640" s="8"/>
      <c r="M640" s="8"/>
      <c r="N640" s="8"/>
      <c r="O640" s="8"/>
      <c r="P640" s="8"/>
      <c r="Q640" s="8"/>
      <c r="R640" s="8"/>
      <c r="S640" s="8"/>
      <c r="T640" s="8"/>
      <c r="U640" s="8"/>
      <c r="V640" s="8"/>
      <c r="W640" s="8"/>
      <c r="X640" s="8"/>
      <c r="Y640" s="8"/>
      <c r="Z640" s="8"/>
    </row>
    <row r="641">
      <c r="A641" s="8"/>
      <c r="B641" s="8"/>
      <c r="C641" s="8"/>
      <c r="D641" s="8"/>
      <c r="E641" s="8"/>
      <c r="F641" s="8"/>
      <c r="G641" s="8"/>
      <c r="H641" s="8"/>
      <c r="I641" s="8"/>
      <c r="J641" s="8"/>
      <c r="K641" s="8"/>
      <c r="L641" s="8"/>
      <c r="M641" s="8"/>
      <c r="N641" s="8"/>
      <c r="O641" s="8"/>
      <c r="P641" s="8"/>
      <c r="Q641" s="8"/>
      <c r="R641" s="8"/>
      <c r="S641" s="8"/>
      <c r="T641" s="8"/>
      <c r="U641" s="8"/>
      <c r="V641" s="8"/>
      <c r="W641" s="8"/>
      <c r="X641" s="8"/>
      <c r="Y641" s="8"/>
      <c r="Z641" s="8"/>
    </row>
    <row r="642">
      <c r="A642" s="8"/>
      <c r="B642" s="8"/>
      <c r="C642" s="8"/>
      <c r="D642" s="8"/>
      <c r="E642" s="8"/>
      <c r="F642" s="8"/>
      <c r="G642" s="8"/>
      <c r="H642" s="8"/>
      <c r="I642" s="8"/>
      <c r="J642" s="8"/>
      <c r="K642" s="8"/>
      <c r="L642" s="8"/>
      <c r="M642" s="8"/>
      <c r="N642" s="8"/>
      <c r="O642" s="8"/>
      <c r="P642" s="8"/>
      <c r="Q642" s="8"/>
      <c r="R642" s="8"/>
      <c r="S642" s="8"/>
      <c r="T642" s="8"/>
      <c r="U642" s="8"/>
      <c r="V642" s="8"/>
      <c r="W642" s="8"/>
      <c r="X642" s="8"/>
      <c r="Y642" s="8"/>
      <c r="Z642" s="8"/>
    </row>
    <row r="643">
      <c r="A643" s="8"/>
      <c r="B643" s="8"/>
      <c r="C643" s="8"/>
      <c r="D643" s="8"/>
      <c r="E643" s="8"/>
      <c r="F643" s="8"/>
      <c r="G643" s="8"/>
      <c r="H643" s="8"/>
      <c r="I643" s="8"/>
      <c r="J643" s="8"/>
      <c r="K643" s="8"/>
      <c r="L643" s="8"/>
      <c r="M643" s="8"/>
      <c r="N643" s="8"/>
      <c r="O643" s="8"/>
      <c r="P643" s="8"/>
      <c r="Q643" s="8"/>
      <c r="R643" s="8"/>
      <c r="S643" s="8"/>
      <c r="T643" s="8"/>
      <c r="U643" s="8"/>
      <c r="V643" s="8"/>
      <c r="W643" s="8"/>
      <c r="X643" s="8"/>
      <c r="Y643" s="8"/>
      <c r="Z643" s="8"/>
    </row>
    <row r="644">
      <c r="A644" s="8"/>
      <c r="B644" s="8"/>
      <c r="C644" s="8"/>
      <c r="D644" s="8"/>
      <c r="E644" s="8"/>
      <c r="F644" s="8"/>
      <c r="G644" s="8"/>
      <c r="H644" s="8"/>
      <c r="I644" s="8"/>
      <c r="J644" s="8"/>
      <c r="K644" s="8"/>
      <c r="L644" s="8"/>
      <c r="M644" s="8"/>
      <c r="N644" s="8"/>
      <c r="O644" s="8"/>
      <c r="P644" s="8"/>
      <c r="Q644" s="8"/>
      <c r="R644" s="8"/>
      <c r="S644" s="8"/>
      <c r="T644" s="8"/>
      <c r="U644" s="8"/>
      <c r="V644" s="8"/>
      <c r="W644" s="8"/>
      <c r="X644" s="8"/>
      <c r="Y644" s="8"/>
      <c r="Z644" s="8"/>
    </row>
    <row r="645">
      <c r="A645" s="8"/>
      <c r="B645" s="8"/>
      <c r="C645" s="8"/>
      <c r="D645" s="8"/>
      <c r="E645" s="8"/>
      <c r="F645" s="8"/>
      <c r="G645" s="8"/>
      <c r="H645" s="8"/>
      <c r="I645" s="8"/>
      <c r="J645" s="8"/>
      <c r="K645" s="8"/>
      <c r="L645" s="8"/>
      <c r="M645" s="8"/>
      <c r="N645" s="8"/>
      <c r="O645" s="8"/>
      <c r="P645" s="8"/>
      <c r="Q645" s="8"/>
      <c r="R645" s="8"/>
      <c r="S645" s="8"/>
      <c r="T645" s="8"/>
      <c r="U645" s="8"/>
      <c r="V645" s="8"/>
      <c r="W645" s="8"/>
      <c r="X645" s="8"/>
      <c r="Y645" s="8"/>
      <c r="Z645" s="8"/>
    </row>
    <row r="646">
      <c r="A646" s="8"/>
      <c r="B646" s="8"/>
      <c r="C646" s="8"/>
      <c r="D646" s="8"/>
      <c r="E646" s="8"/>
      <c r="F646" s="8"/>
      <c r="G646" s="8"/>
      <c r="H646" s="8"/>
      <c r="I646" s="8"/>
      <c r="J646" s="8"/>
      <c r="K646" s="8"/>
      <c r="L646" s="8"/>
      <c r="M646" s="8"/>
      <c r="N646" s="8"/>
      <c r="O646" s="8"/>
      <c r="P646" s="8"/>
      <c r="Q646" s="8"/>
      <c r="R646" s="8"/>
      <c r="S646" s="8"/>
      <c r="T646" s="8"/>
      <c r="U646" s="8"/>
      <c r="V646" s="8"/>
      <c r="W646" s="8"/>
      <c r="X646" s="8"/>
      <c r="Y646" s="8"/>
      <c r="Z646" s="8"/>
    </row>
    <row r="647">
      <c r="A647" s="8"/>
      <c r="B647" s="8"/>
      <c r="C647" s="8"/>
      <c r="D647" s="8"/>
      <c r="E647" s="8"/>
      <c r="F647" s="8"/>
      <c r="G647" s="8"/>
      <c r="H647" s="8"/>
      <c r="I647" s="8"/>
      <c r="J647" s="8"/>
      <c r="K647" s="8"/>
      <c r="L647" s="8"/>
      <c r="M647" s="8"/>
      <c r="N647" s="8"/>
      <c r="O647" s="8"/>
      <c r="P647" s="8"/>
      <c r="Q647" s="8"/>
      <c r="R647" s="8"/>
      <c r="S647" s="8"/>
      <c r="T647" s="8"/>
      <c r="U647" s="8"/>
      <c r="V647" s="8"/>
      <c r="W647" s="8"/>
      <c r="X647" s="8"/>
      <c r="Y647" s="8"/>
      <c r="Z647" s="8"/>
    </row>
    <row r="648">
      <c r="A648" s="8"/>
      <c r="B648" s="8"/>
      <c r="C648" s="8"/>
      <c r="D648" s="8"/>
      <c r="E648" s="8"/>
      <c r="F648" s="8"/>
      <c r="G648" s="8"/>
      <c r="H648" s="8"/>
      <c r="I648" s="8"/>
      <c r="J648" s="8"/>
      <c r="K648" s="8"/>
      <c r="L648" s="8"/>
      <c r="M648" s="8"/>
      <c r="N648" s="8"/>
      <c r="O648" s="8"/>
      <c r="P648" s="8"/>
      <c r="Q648" s="8"/>
      <c r="R648" s="8"/>
      <c r="S648" s="8"/>
      <c r="T648" s="8"/>
      <c r="U648" s="8"/>
      <c r="V648" s="8"/>
      <c r="W648" s="8"/>
      <c r="X648" s="8"/>
      <c r="Y648" s="8"/>
      <c r="Z648" s="8"/>
    </row>
    <row r="649">
      <c r="A649" s="8"/>
      <c r="B649" s="8"/>
      <c r="C649" s="8"/>
      <c r="D649" s="8"/>
      <c r="E649" s="8"/>
      <c r="F649" s="8"/>
      <c r="G649" s="8"/>
      <c r="H649" s="8"/>
      <c r="I649" s="8"/>
      <c r="J649" s="8"/>
      <c r="K649" s="8"/>
      <c r="L649" s="8"/>
      <c r="M649" s="8"/>
      <c r="N649" s="8"/>
      <c r="O649" s="8"/>
      <c r="P649" s="8"/>
      <c r="Q649" s="8"/>
      <c r="R649" s="8"/>
      <c r="S649" s="8"/>
      <c r="T649" s="8"/>
      <c r="U649" s="8"/>
      <c r="V649" s="8"/>
      <c r="W649" s="8"/>
      <c r="X649" s="8"/>
      <c r="Y649" s="8"/>
      <c r="Z649" s="8"/>
    </row>
    <row r="650">
      <c r="A650" s="8"/>
      <c r="B650" s="8"/>
      <c r="C650" s="8"/>
      <c r="D650" s="8"/>
      <c r="E650" s="8"/>
      <c r="F650" s="8"/>
      <c r="G650" s="8"/>
      <c r="H650" s="8"/>
      <c r="I650" s="8"/>
      <c r="J650" s="8"/>
      <c r="K650" s="8"/>
      <c r="L650" s="8"/>
      <c r="M650" s="8"/>
      <c r="N650" s="8"/>
      <c r="O650" s="8"/>
      <c r="P650" s="8"/>
      <c r="Q650" s="8"/>
      <c r="R650" s="8"/>
      <c r="S650" s="8"/>
      <c r="T650" s="8"/>
      <c r="U650" s="8"/>
      <c r="V650" s="8"/>
      <c r="W650" s="8"/>
      <c r="X650" s="8"/>
      <c r="Y650" s="8"/>
      <c r="Z650" s="8"/>
    </row>
    <row r="651">
      <c r="A651" s="8"/>
      <c r="B651" s="8"/>
      <c r="C651" s="8"/>
      <c r="D651" s="8"/>
      <c r="E651" s="8"/>
      <c r="F651" s="8"/>
      <c r="G651" s="8"/>
      <c r="H651" s="8"/>
      <c r="I651" s="8"/>
      <c r="J651" s="8"/>
      <c r="K651" s="8"/>
      <c r="L651" s="8"/>
      <c r="M651" s="8"/>
      <c r="N651" s="8"/>
      <c r="O651" s="8"/>
      <c r="P651" s="8"/>
      <c r="Q651" s="8"/>
      <c r="R651" s="8"/>
      <c r="S651" s="8"/>
      <c r="T651" s="8"/>
      <c r="U651" s="8"/>
      <c r="V651" s="8"/>
      <c r="W651" s="8"/>
      <c r="X651" s="8"/>
      <c r="Y651" s="8"/>
      <c r="Z651" s="8"/>
    </row>
    <row r="652">
      <c r="A652" s="8"/>
      <c r="B652" s="8"/>
      <c r="C652" s="8"/>
      <c r="D652" s="8"/>
      <c r="E652" s="8"/>
      <c r="F652" s="8"/>
      <c r="G652" s="8"/>
      <c r="H652" s="8"/>
      <c r="I652" s="8"/>
      <c r="J652" s="8"/>
      <c r="K652" s="8"/>
      <c r="L652" s="8"/>
      <c r="M652" s="8"/>
      <c r="N652" s="8"/>
      <c r="O652" s="8"/>
      <c r="P652" s="8"/>
      <c r="Q652" s="8"/>
      <c r="R652" s="8"/>
      <c r="S652" s="8"/>
      <c r="T652" s="8"/>
      <c r="U652" s="8"/>
      <c r="V652" s="8"/>
      <c r="W652" s="8"/>
      <c r="X652" s="8"/>
      <c r="Y652" s="8"/>
      <c r="Z652" s="8"/>
    </row>
    <row r="653">
      <c r="A653" s="8"/>
      <c r="B653" s="8"/>
      <c r="C653" s="8"/>
      <c r="D653" s="8"/>
      <c r="E653" s="8"/>
      <c r="F653" s="8"/>
      <c r="G653" s="8"/>
      <c r="H653" s="8"/>
      <c r="I653" s="8"/>
      <c r="J653" s="8"/>
      <c r="K653" s="8"/>
      <c r="L653" s="8"/>
      <c r="M653" s="8"/>
      <c r="N653" s="8"/>
      <c r="O653" s="8"/>
      <c r="P653" s="8"/>
      <c r="Q653" s="8"/>
      <c r="R653" s="8"/>
      <c r="S653" s="8"/>
      <c r="T653" s="8"/>
      <c r="U653" s="8"/>
      <c r="V653" s="8"/>
      <c r="W653" s="8"/>
      <c r="X653" s="8"/>
      <c r="Y653" s="8"/>
      <c r="Z653" s="8"/>
    </row>
    <row r="654">
      <c r="A654" s="8"/>
      <c r="B654" s="8"/>
      <c r="C654" s="8"/>
      <c r="D654" s="8"/>
      <c r="E654" s="8"/>
      <c r="F654" s="8"/>
      <c r="G654" s="8"/>
      <c r="H654" s="8"/>
      <c r="I654" s="8"/>
      <c r="J654" s="8"/>
      <c r="K654" s="8"/>
      <c r="L654" s="8"/>
      <c r="M654" s="8"/>
      <c r="N654" s="8"/>
      <c r="O654" s="8"/>
      <c r="P654" s="8"/>
      <c r="Q654" s="8"/>
      <c r="R654" s="8"/>
      <c r="S654" s="8"/>
      <c r="T654" s="8"/>
      <c r="U654" s="8"/>
      <c r="V654" s="8"/>
      <c r="W654" s="8"/>
      <c r="X654" s="8"/>
      <c r="Y654" s="8"/>
      <c r="Z654" s="8"/>
    </row>
    <row r="655">
      <c r="A655" s="8"/>
      <c r="B655" s="8"/>
      <c r="C655" s="8"/>
      <c r="D655" s="8"/>
      <c r="E655" s="8"/>
      <c r="F655" s="8"/>
      <c r="G655" s="8"/>
      <c r="H655" s="8"/>
      <c r="I655" s="8"/>
      <c r="J655" s="8"/>
      <c r="K655" s="8"/>
      <c r="L655" s="8"/>
      <c r="M655" s="8"/>
      <c r="N655" s="8"/>
      <c r="O655" s="8"/>
      <c r="P655" s="8"/>
      <c r="Q655" s="8"/>
      <c r="R655" s="8"/>
      <c r="S655" s="8"/>
      <c r="T655" s="8"/>
      <c r="U655" s="8"/>
      <c r="V655" s="8"/>
      <c r="W655" s="8"/>
      <c r="X655" s="8"/>
      <c r="Y655" s="8"/>
      <c r="Z655" s="8"/>
    </row>
    <row r="656">
      <c r="A656" s="8"/>
      <c r="B656" s="8"/>
      <c r="C656" s="8"/>
      <c r="D656" s="8"/>
      <c r="E656" s="8"/>
      <c r="F656" s="8"/>
      <c r="G656" s="8"/>
      <c r="H656" s="8"/>
      <c r="I656" s="8"/>
      <c r="J656" s="8"/>
      <c r="K656" s="8"/>
      <c r="L656" s="8"/>
      <c r="M656" s="8"/>
      <c r="N656" s="8"/>
      <c r="O656" s="8"/>
      <c r="P656" s="8"/>
      <c r="Q656" s="8"/>
      <c r="R656" s="8"/>
      <c r="S656" s="8"/>
      <c r="T656" s="8"/>
      <c r="U656" s="8"/>
      <c r="V656" s="8"/>
      <c r="W656" s="8"/>
      <c r="X656" s="8"/>
      <c r="Y656" s="8"/>
      <c r="Z656" s="8"/>
    </row>
    <row r="657">
      <c r="A657" s="8"/>
      <c r="B657" s="8"/>
      <c r="C657" s="8"/>
      <c r="D657" s="8"/>
      <c r="E657" s="8"/>
      <c r="F657" s="8"/>
      <c r="G657" s="8"/>
      <c r="H657" s="8"/>
      <c r="I657" s="8"/>
      <c r="J657" s="8"/>
      <c r="K657" s="8"/>
      <c r="L657" s="8"/>
      <c r="M657" s="8"/>
      <c r="N657" s="8"/>
      <c r="O657" s="8"/>
      <c r="P657" s="8"/>
      <c r="Q657" s="8"/>
      <c r="R657" s="8"/>
      <c r="S657" s="8"/>
      <c r="T657" s="8"/>
      <c r="U657" s="8"/>
      <c r="V657" s="8"/>
      <c r="W657" s="8"/>
      <c r="X657" s="8"/>
      <c r="Y657" s="8"/>
      <c r="Z657" s="8"/>
    </row>
    <row r="658">
      <c r="A658" s="8"/>
      <c r="B658" s="8"/>
      <c r="C658" s="8"/>
      <c r="D658" s="8"/>
      <c r="E658" s="8"/>
      <c r="F658" s="8"/>
      <c r="G658" s="8"/>
      <c r="H658" s="8"/>
      <c r="I658" s="8"/>
      <c r="J658" s="8"/>
      <c r="K658" s="8"/>
      <c r="L658" s="8"/>
      <c r="M658" s="8"/>
      <c r="N658" s="8"/>
      <c r="O658" s="8"/>
      <c r="P658" s="8"/>
      <c r="Q658" s="8"/>
      <c r="R658" s="8"/>
      <c r="S658" s="8"/>
      <c r="T658" s="8"/>
      <c r="U658" s="8"/>
      <c r="V658" s="8"/>
      <c r="W658" s="8"/>
      <c r="X658" s="8"/>
      <c r="Y658" s="8"/>
      <c r="Z658" s="8"/>
    </row>
    <row r="659">
      <c r="A659" s="8"/>
      <c r="B659" s="8"/>
      <c r="C659" s="8"/>
      <c r="D659" s="8"/>
      <c r="E659" s="8"/>
      <c r="F659" s="8"/>
      <c r="G659" s="8"/>
      <c r="H659" s="8"/>
      <c r="I659" s="8"/>
      <c r="J659" s="8"/>
      <c r="K659" s="8"/>
      <c r="L659" s="8"/>
      <c r="M659" s="8"/>
      <c r="N659" s="8"/>
      <c r="O659" s="8"/>
      <c r="P659" s="8"/>
      <c r="Q659" s="8"/>
      <c r="R659" s="8"/>
      <c r="S659" s="8"/>
      <c r="T659" s="8"/>
      <c r="U659" s="8"/>
      <c r="V659" s="8"/>
      <c r="W659" s="8"/>
      <c r="X659" s="8"/>
      <c r="Y659" s="8"/>
      <c r="Z659" s="8"/>
    </row>
    <row r="660">
      <c r="A660" s="8"/>
      <c r="B660" s="8"/>
      <c r="C660" s="8"/>
      <c r="D660" s="8"/>
      <c r="E660" s="8"/>
      <c r="F660" s="8"/>
      <c r="G660" s="8"/>
      <c r="H660" s="8"/>
      <c r="I660" s="8"/>
      <c r="J660" s="8"/>
      <c r="K660" s="8"/>
      <c r="L660" s="8"/>
      <c r="M660" s="8"/>
      <c r="N660" s="8"/>
      <c r="O660" s="8"/>
      <c r="P660" s="8"/>
      <c r="Q660" s="8"/>
      <c r="R660" s="8"/>
      <c r="S660" s="8"/>
      <c r="T660" s="8"/>
      <c r="U660" s="8"/>
      <c r="V660" s="8"/>
      <c r="W660" s="8"/>
      <c r="X660" s="8"/>
      <c r="Y660" s="8"/>
      <c r="Z660" s="8"/>
    </row>
    <row r="661">
      <c r="A661" s="8"/>
      <c r="B661" s="8"/>
      <c r="C661" s="8"/>
      <c r="D661" s="8"/>
      <c r="E661" s="8"/>
      <c r="F661" s="8"/>
      <c r="G661" s="8"/>
      <c r="H661" s="8"/>
      <c r="I661" s="8"/>
      <c r="J661" s="8"/>
      <c r="K661" s="8"/>
      <c r="L661" s="8"/>
      <c r="M661" s="8"/>
      <c r="N661" s="8"/>
      <c r="O661" s="8"/>
      <c r="P661" s="8"/>
      <c r="Q661" s="8"/>
      <c r="R661" s="8"/>
      <c r="S661" s="8"/>
      <c r="T661" s="8"/>
      <c r="U661" s="8"/>
      <c r="V661" s="8"/>
      <c r="W661" s="8"/>
      <c r="X661" s="8"/>
      <c r="Y661" s="8"/>
      <c r="Z661" s="8"/>
    </row>
    <row r="662">
      <c r="A662" s="8"/>
      <c r="B662" s="8"/>
      <c r="C662" s="8"/>
      <c r="D662" s="8"/>
      <c r="E662" s="8"/>
      <c r="F662" s="8"/>
      <c r="G662" s="8"/>
      <c r="H662" s="8"/>
      <c r="I662" s="8"/>
      <c r="J662" s="8"/>
      <c r="K662" s="8"/>
      <c r="L662" s="8"/>
      <c r="M662" s="8"/>
      <c r="N662" s="8"/>
      <c r="O662" s="8"/>
      <c r="P662" s="8"/>
      <c r="Q662" s="8"/>
      <c r="R662" s="8"/>
      <c r="S662" s="8"/>
      <c r="T662" s="8"/>
      <c r="U662" s="8"/>
      <c r="V662" s="8"/>
      <c r="W662" s="8"/>
      <c r="X662" s="8"/>
      <c r="Y662" s="8"/>
      <c r="Z662" s="8"/>
    </row>
    <row r="663">
      <c r="A663" s="8"/>
      <c r="B663" s="8"/>
      <c r="C663" s="8"/>
      <c r="D663" s="8"/>
      <c r="E663" s="8"/>
      <c r="F663" s="8"/>
      <c r="G663" s="8"/>
      <c r="H663" s="8"/>
      <c r="I663" s="8"/>
      <c r="J663" s="8"/>
      <c r="K663" s="8"/>
      <c r="L663" s="8"/>
      <c r="M663" s="8"/>
      <c r="N663" s="8"/>
      <c r="O663" s="8"/>
      <c r="P663" s="8"/>
      <c r="Q663" s="8"/>
      <c r="R663" s="8"/>
      <c r="S663" s="8"/>
      <c r="T663" s="8"/>
      <c r="U663" s="8"/>
      <c r="V663" s="8"/>
      <c r="W663" s="8"/>
      <c r="X663" s="8"/>
      <c r="Y663" s="8"/>
      <c r="Z663" s="8"/>
    </row>
    <row r="664">
      <c r="A664" s="8"/>
      <c r="B664" s="8"/>
      <c r="C664" s="8"/>
      <c r="D664" s="8"/>
      <c r="E664" s="8"/>
      <c r="F664" s="8"/>
      <c r="G664" s="8"/>
      <c r="H664" s="8"/>
      <c r="I664" s="8"/>
      <c r="J664" s="8"/>
      <c r="K664" s="8"/>
      <c r="L664" s="8"/>
      <c r="M664" s="8"/>
      <c r="N664" s="8"/>
      <c r="O664" s="8"/>
      <c r="P664" s="8"/>
      <c r="Q664" s="8"/>
      <c r="R664" s="8"/>
      <c r="S664" s="8"/>
      <c r="T664" s="8"/>
      <c r="U664" s="8"/>
      <c r="V664" s="8"/>
      <c r="W664" s="8"/>
      <c r="X664" s="8"/>
      <c r="Y664" s="8"/>
      <c r="Z664" s="8"/>
    </row>
    <row r="665">
      <c r="A665" s="8"/>
      <c r="B665" s="8"/>
      <c r="C665" s="8"/>
      <c r="D665" s="8"/>
      <c r="E665" s="8"/>
      <c r="F665" s="8"/>
      <c r="G665" s="8"/>
      <c r="H665" s="8"/>
      <c r="I665" s="8"/>
      <c r="J665" s="8"/>
      <c r="K665" s="8"/>
      <c r="L665" s="8"/>
      <c r="M665" s="8"/>
      <c r="N665" s="8"/>
      <c r="O665" s="8"/>
      <c r="P665" s="8"/>
      <c r="Q665" s="8"/>
      <c r="R665" s="8"/>
      <c r="S665" s="8"/>
      <c r="T665" s="8"/>
      <c r="U665" s="8"/>
      <c r="V665" s="8"/>
      <c r="W665" s="8"/>
      <c r="X665" s="8"/>
      <c r="Y665" s="8"/>
      <c r="Z665" s="8"/>
    </row>
    <row r="666">
      <c r="A666" s="8"/>
      <c r="B666" s="8"/>
      <c r="C666" s="8"/>
      <c r="D666" s="8"/>
      <c r="E666" s="8"/>
      <c r="F666" s="8"/>
      <c r="G666" s="8"/>
      <c r="H666" s="8"/>
      <c r="I666" s="8"/>
      <c r="J666" s="8"/>
      <c r="K666" s="8"/>
      <c r="L666" s="8"/>
      <c r="M666" s="8"/>
      <c r="N666" s="8"/>
      <c r="O666" s="8"/>
      <c r="P666" s="8"/>
      <c r="Q666" s="8"/>
      <c r="R666" s="8"/>
      <c r="S666" s="8"/>
      <c r="T666" s="8"/>
      <c r="U666" s="8"/>
      <c r="V666" s="8"/>
      <c r="W666" s="8"/>
      <c r="X666" s="8"/>
      <c r="Y666" s="8"/>
      <c r="Z666" s="8"/>
    </row>
    <row r="667">
      <c r="A667" s="8"/>
      <c r="B667" s="8"/>
      <c r="C667" s="8"/>
      <c r="D667" s="8"/>
      <c r="E667" s="8"/>
      <c r="F667" s="8"/>
      <c r="G667" s="8"/>
      <c r="H667" s="8"/>
      <c r="I667" s="8"/>
      <c r="J667" s="8"/>
      <c r="K667" s="8"/>
      <c r="L667" s="8"/>
      <c r="M667" s="8"/>
      <c r="N667" s="8"/>
      <c r="O667" s="8"/>
      <c r="P667" s="8"/>
      <c r="Q667" s="8"/>
      <c r="R667" s="8"/>
      <c r="S667" s="8"/>
      <c r="T667" s="8"/>
      <c r="U667" s="8"/>
      <c r="V667" s="8"/>
      <c r="W667" s="8"/>
      <c r="X667" s="8"/>
      <c r="Y667" s="8"/>
      <c r="Z667" s="8"/>
    </row>
    <row r="668">
      <c r="A668" s="8"/>
      <c r="B668" s="8"/>
      <c r="C668" s="8"/>
      <c r="D668" s="8"/>
      <c r="E668" s="8"/>
      <c r="F668" s="8"/>
      <c r="G668" s="8"/>
      <c r="H668" s="8"/>
      <c r="I668" s="8"/>
      <c r="J668" s="8"/>
      <c r="K668" s="8"/>
      <c r="L668" s="8"/>
      <c r="M668" s="8"/>
      <c r="N668" s="8"/>
      <c r="O668" s="8"/>
      <c r="P668" s="8"/>
      <c r="Q668" s="8"/>
      <c r="R668" s="8"/>
      <c r="S668" s="8"/>
      <c r="T668" s="8"/>
      <c r="U668" s="8"/>
      <c r="V668" s="8"/>
      <c r="W668" s="8"/>
      <c r="X668" s="8"/>
      <c r="Y668" s="8"/>
      <c r="Z668" s="8"/>
    </row>
    <row r="669">
      <c r="A669" s="8"/>
      <c r="B669" s="8"/>
      <c r="C669" s="8"/>
      <c r="D669" s="8"/>
      <c r="E669" s="8"/>
      <c r="F669" s="8"/>
      <c r="G669" s="8"/>
      <c r="H669" s="8"/>
      <c r="I669" s="8"/>
      <c r="J669" s="8"/>
      <c r="K669" s="8"/>
      <c r="L669" s="8"/>
      <c r="M669" s="8"/>
      <c r="N669" s="8"/>
      <c r="O669" s="8"/>
      <c r="P669" s="8"/>
      <c r="Q669" s="8"/>
      <c r="R669" s="8"/>
      <c r="S669" s="8"/>
      <c r="T669" s="8"/>
      <c r="U669" s="8"/>
      <c r="V669" s="8"/>
      <c r="W669" s="8"/>
      <c r="X669" s="8"/>
      <c r="Y669" s="8"/>
      <c r="Z669" s="8"/>
    </row>
    <row r="670">
      <c r="A670" s="8"/>
      <c r="B670" s="8"/>
      <c r="C670" s="8"/>
      <c r="D670" s="8"/>
      <c r="E670" s="8"/>
      <c r="F670" s="8"/>
      <c r="G670" s="8"/>
      <c r="H670" s="8"/>
      <c r="I670" s="8"/>
      <c r="J670" s="8"/>
      <c r="K670" s="8"/>
      <c r="L670" s="8"/>
      <c r="M670" s="8"/>
      <c r="N670" s="8"/>
      <c r="O670" s="8"/>
      <c r="P670" s="8"/>
      <c r="Q670" s="8"/>
      <c r="R670" s="8"/>
      <c r="S670" s="8"/>
      <c r="T670" s="8"/>
      <c r="U670" s="8"/>
      <c r="V670" s="8"/>
      <c r="W670" s="8"/>
      <c r="X670" s="8"/>
      <c r="Y670" s="8"/>
      <c r="Z670" s="8"/>
    </row>
    <row r="671">
      <c r="A671" s="8"/>
      <c r="B671" s="8"/>
      <c r="C671" s="8"/>
      <c r="D671" s="8"/>
      <c r="E671" s="8"/>
      <c r="F671" s="8"/>
      <c r="G671" s="8"/>
      <c r="H671" s="8"/>
      <c r="I671" s="8"/>
      <c r="J671" s="8"/>
      <c r="K671" s="8"/>
      <c r="L671" s="8"/>
      <c r="M671" s="8"/>
      <c r="N671" s="8"/>
      <c r="O671" s="8"/>
      <c r="P671" s="8"/>
      <c r="Q671" s="8"/>
      <c r="R671" s="8"/>
      <c r="S671" s="8"/>
      <c r="T671" s="8"/>
      <c r="U671" s="8"/>
      <c r="V671" s="8"/>
      <c r="W671" s="8"/>
      <c r="X671" s="8"/>
      <c r="Y671" s="8"/>
      <c r="Z671" s="8"/>
    </row>
    <row r="672">
      <c r="A672" s="8"/>
      <c r="B672" s="8"/>
      <c r="C672" s="8"/>
      <c r="D672" s="8"/>
      <c r="E672" s="8"/>
      <c r="F672" s="8"/>
      <c r="G672" s="8"/>
      <c r="H672" s="8"/>
      <c r="I672" s="8"/>
      <c r="J672" s="8"/>
      <c r="K672" s="8"/>
      <c r="L672" s="8"/>
      <c r="M672" s="8"/>
      <c r="N672" s="8"/>
      <c r="O672" s="8"/>
      <c r="P672" s="8"/>
      <c r="Q672" s="8"/>
      <c r="R672" s="8"/>
      <c r="S672" s="8"/>
      <c r="T672" s="8"/>
      <c r="U672" s="8"/>
      <c r="V672" s="8"/>
      <c r="W672" s="8"/>
      <c r="X672" s="8"/>
      <c r="Y672" s="8"/>
      <c r="Z672" s="8"/>
    </row>
    <row r="673">
      <c r="A673" s="8"/>
      <c r="B673" s="8"/>
      <c r="C673" s="8"/>
      <c r="D673" s="8"/>
      <c r="E673" s="8"/>
      <c r="F673" s="8"/>
      <c r="G673" s="8"/>
      <c r="H673" s="8"/>
      <c r="I673" s="8"/>
      <c r="J673" s="8"/>
      <c r="K673" s="8"/>
      <c r="L673" s="8"/>
      <c r="M673" s="8"/>
      <c r="N673" s="8"/>
      <c r="O673" s="8"/>
      <c r="P673" s="8"/>
      <c r="Q673" s="8"/>
      <c r="R673" s="8"/>
      <c r="S673" s="8"/>
      <c r="T673" s="8"/>
      <c r="U673" s="8"/>
      <c r="V673" s="8"/>
      <c r="W673" s="8"/>
      <c r="X673" s="8"/>
      <c r="Y673" s="8"/>
      <c r="Z673" s="8"/>
    </row>
    <row r="674">
      <c r="A674" s="8"/>
      <c r="B674" s="8"/>
      <c r="C674" s="8"/>
      <c r="D674" s="8"/>
      <c r="E674" s="8"/>
      <c r="F674" s="8"/>
      <c r="G674" s="8"/>
      <c r="H674" s="8"/>
      <c r="I674" s="8"/>
      <c r="J674" s="8"/>
      <c r="K674" s="8"/>
      <c r="L674" s="8"/>
      <c r="M674" s="8"/>
      <c r="N674" s="8"/>
      <c r="O674" s="8"/>
      <c r="P674" s="8"/>
      <c r="Q674" s="8"/>
      <c r="R674" s="8"/>
      <c r="S674" s="8"/>
      <c r="T674" s="8"/>
      <c r="U674" s="8"/>
      <c r="V674" s="8"/>
      <c r="W674" s="8"/>
      <c r="X674" s="8"/>
      <c r="Y674" s="8"/>
      <c r="Z674" s="8"/>
    </row>
    <row r="675">
      <c r="A675" s="8"/>
      <c r="B675" s="8"/>
      <c r="C675" s="8"/>
      <c r="D675" s="8"/>
      <c r="E675" s="8"/>
      <c r="F675" s="8"/>
      <c r="G675" s="8"/>
      <c r="H675" s="8"/>
      <c r="I675" s="8"/>
      <c r="J675" s="8"/>
      <c r="K675" s="8"/>
      <c r="L675" s="8"/>
      <c r="M675" s="8"/>
      <c r="N675" s="8"/>
      <c r="O675" s="8"/>
      <c r="P675" s="8"/>
      <c r="Q675" s="8"/>
      <c r="R675" s="8"/>
      <c r="S675" s="8"/>
      <c r="T675" s="8"/>
      <c r="U675" s="8"/>
      <c r="V675" s="8"/>
      <c r="W675" s="8"/>
      <c r="X675" s="8"/>
      <c r="Y675" s="8"/>
      <c r="Z675" s="8"/>
    </row>
    <row r="676">
      <c r="A676" s="8"/>
      <c r="B676" s="8"/>
      <c r="C676" s="8"/>
      <c r="D676" s="8"/>
      <c r="E676" s="8"/>
      <c r="F676" s="8"/>
      <c r="G676" s="8"/>
      <c r="H676" s="8"/>
      <c r="I676" s="8"/>
      <c r="J676" s="8"/>
      <c r="K676" s="8"/>
      <c r="L676" s="8"/>
      <c r="M676" s="8"/>
      <c r="N676" s="8"/>
      <c r="O676" s="8"/>
      <c r="P676" s="8"/>
      <c r="Q676" s="8"/>
      <c r="R676" s="8"/>
      <c r="S676" s="8"/>
      <c r="T676" s="8"/>
      <c r="U676" s="8"/>
      <c r="V676" s="8"/>
      <c r="W676" s="8"/>
      <c r="X676" s="8"/>
      <c r="Y676" s="8"/>
      <c r="Z676" s="8"/>
    </row>
    <row r="677">
      <c r="A677" s="8"/>
      <c r="B677" s="8"/>
      <c r="C677" s="8"/>
      <c r="D677" s="8"/>
      <c r="E677" s="8"/>
      <c r="F677" s="8"/>
      <c r="G677" s="8"/>
      <c r="H677" s="8"/>
      <c r="I677" s="8"/>
      <c r="J677" s="8"/>
      <c r="K677" s="8"/>
      <c r="L677" s="8"/>
      <c r="M677" s="8"/>
      <c r="N677" s="8"/>
      <c r="O677" s="8"/>
      <c r="P677" s="8"/>
      <c r="Q677" s="8"/>
      <c r="R677" s="8"/>
      <c r="S677" s="8"/>
      <c r="T677" s="8"/>
      <c r="U677" s="8"/>
      <c r="V677" s="8"/>
      <c r="W677" s="8"/>
      <c r="X677" s="8"/>
      <c r="Y677" s="8"/>
      <c r="Z677" s="8"/>
    </row>
    <row r="678">
      <c r="A678" s="8"/>
      <c r="B678" s="8"/>
      <c r="C678" s="8"/>
      <c r="D678" s="8"/>
      <c r="E678" s="8"/>
      <c r="F678" s="8"/>
      <c r="G678" s="8"/>
      <c r="H678" s="8"/>
      <c r="I678" s="8"/>
      <c r="J678" s="8"/>
      <c r="K678" s="8"/>
      <c r="L678" s="8"/>
      <c r="M678" s="8"/>
      <c r="N678" s="8"/>
      <c r="O678" s="8"/>
      <c r="P678" s="8"/>
      <c r="Q678" s="8"/>
      <c r="R678" s="8"/>
      <c r="S678" s="8"/>
      <c r="T678" s="8"/>
      <c r="U678" s="8"/>
      <c r="V678" s="8"/>
      <c r="W678" s="8"/>
      <c r="X678" s="8"/>
      <c r="Y678" s="8"/>
      <c r="Z678" s="8"/>
    </row>
    <row r="679">
      <c r="A679" s="8"/>
      <c r="B679" s="8"/>
      <c r="C679" s="8"/>
      <c r="D679" s="8"/>
      <c r="E679" s="8"/>
      <c r="F679" s="8"/>
      <c r="G679" s="8"/>
      <c r="H679" s="8"/>
      <c r="I679" s="8"/>
      <c r="J679" s="8"/>
      <c r="K679" s="8"/>
      <c r="L679" s="8"/>
      <c r="M679" s="8"/>
      <c r="N679" s="8"/>
      <c r="O679" s="8"/>
      <c r="P679" s="8"/>
      <c r="Q679" s="8"/>
      <c r="R679" s="8"/>
      <c r="S679" s="8"/>
      <c r="T679" s="8"/>
      <c r="U679" s="8"/>
      <c r="V679" s="8"/>
      <c r="W679" s="8"/>
      <c r="X679" s="8"/>
      <c r="Y679" s="8"/>
      <c r="Z679" s="8"/>
    </row>
    <row r="680">
      <c r="A680" s="8"/>
      <c r="B680" s="8"/>
      <c r="C680" s="8"/>
      <c r="D680" s="8"/>
      <c r="E680" s="8"/>
      <c r="F680" s="8"/>
      <c r="G680" s="8"/>
      <c r="H680" s="8"/>
      <c r="I680" s="8"/>
      <c r="J680" s="8"/>
      <c r="K680" s="8"/>
      <c r="L680" s="8"/>
      <c r="M680" s="8"/>
      <c r="N680" s="8"/>
      <c r="O680" s="8"/>
      <c r="P680" s="8"/>
      <c r="Q680" s="8"/>
      <c r="R680" s="8"/>
      <c r="S680" s="8"/>
      <c r="T680" s="8"/>
      <c r="U680" s="8"/>
      <c r="V680" s="8"/>
      <c r="W680" s="8"/>
      <c r="X680" s="8"/>
      <c r="Y680" s="8"/>
      <c r="Z680" s="8"/>
    </row>
    <row r="681">
      <c r="A681" s="8"/>
      <c r="B681" s="8"/>
      <c r="C681" s="8"/>
      <c r="D681" s="8"/>
      <c r="E681" s="8"/>
      <c r="F681" s="8"/>
      <c r="G681" s="8"/>
      <c r="H681" s="8"/>
      <c r="I681" s="8"/>
      <c r="J681" s="8"/>
      <c r="K681" s="8"/>
      <c r="L681" s="8"/>
      <c r="M681" s="8"/>
      <c r="N681" s="8"/>
      <c r="O681" s="8"/>
      <c r="P681" s="8"/>
      <c r="Q681" s="8"/>
      <c r="R681" s="8"/>
      <c r="S681" s="8"/>
      <c r="T681" s="8"/>
      <c r="U681" s="8"/>
      <c r="V681" s="8"/>
      <c r="W681" s="8"/>
      <c r="X681" s="8"/>
      <c r="Y681" s="8"/>
      <c r="Z681" s="8"/>
    </row>
    <row r="682">
      <c r="A682" s="8"/>
      <c r="B682" s="8"/>
      <c r="C682" s="8"/>
      <c r="D682" s="8"/>
      <c r="E682" s="8"/>
      <c r="F682" s="8"/>
      <c r="G682" s="8"/>
      <c r="H682" s="8"/>
      <c r="I682" s="8"/>
      <c r="J682" s="8"/>
      <c r="K682" s="8"/>
      <c r="L682" s="8"/>
      <c r="M682" s="8"/>
      <c r="N682" s="8"/>
      <c r="O682" s="8"/>
      <c r="P682" s="8"/>
      <c r="Q682" s="8"/>
      <c r="R682" s="8"/>
      <c r="S682" s="8"/>
      <c r="T682" s="8"/>
      <c r="U682" s="8"/>
      <c r="V682" s="8"/>
      <c r="W682" s="8"/>
      <c r="X682" s="8"/>
      <c r="Y682" s="8"/>
      <c r="Z682" s="8"/>
    </row>
    <row r="683">
      <c r="A683" s="8"/>
      <c r="B683" s="8"/>
      <c r="C683" s="8"/>
      <c r="D683" s="8"/>
      <c r="E683" s="8"/>
      <c r="F683" s="8"/>
      <c r="G683" s="8"/>
      <c r="H683" s="8"/>
      <c r="I683" s="8"/>
      <c r="J683" s="8"/>
      <c r="K683" s="8"/>
      <c r="L683" s="8"/>
      <c r="M683" s="8"/>
      <c r="N683" s="8"/>
      <c r="O683" s="8"/>
      <c r="P683" s="8"/>
      <c r="Q683" s="8"/>
      <c r="R683" s="8"/>
      <c r="S683" s="8"/>
      <c r="T683" s="8"/>
      <c r="U683" s="8"/>
      <c r="V683" s="8"/>
      <c r="W683" s="8"/>
      <c r="X683" s="8"/>
      <c r="Y683" s="8"/>
      <c r="Z683" s="8"/>
    </row>
    <row r="684">
      <c r="A684" s="8"/>
      <c r="B684" s="8"/>
      <c r="C684" s="8"/>
      <c r="D684" s="8"/>
      <c r="E684" s="8"/>
      <c r="F684" s="8"/>
      <c r="G684" s="8"/>
      <c r="H684" s="8"/>
      <c r="I684" s="8"/>
      <c r="J684" s="8"/>
      <c r="K684" s="8"/>
      <c r="L684" s="8"/>
      <c r="M684" s="8"/>
      <c r="N684" s="8"/>
      <c r="O684" s="8"/>
      <c r="P684" s="8"/>
      <c r="Q684" s="8"/>
      <c r="R684" s="8"/>
      <c r="S684" s="8"/>
      <c r="T684" s="8"/>
      <c r="U684" s="8"/>
      <c r="V684" s="8"/>
      <c r="W684" s="8"/>
      <c r="X684" s="8"/>
      <c r="Y684" s="8"/>
      <c r="Z684" s="8"/>
    </row>
    <row r="685">
      <c r="A685" s="8"/>
      <c r="B685" s="8"/>
      <c r="C685" s="8"/>
      <c r="D685" s="8"/>
      <c r="E685" s="8"/>
      <c r="F685" s="8"/>
      <c r="G685" s="8"/>
      <c r="H685" s="8"/>
      <c r="I685" s="8"/>
      <c r="J685" s="8"/>
      <c r="K685" s="8"/>
      <c r="L685" s="8"/>
      <c r="M685" s="8"/>
      <c r="N685" s="8"/>
      <c r="O685" s="8"/>
      <c r="P685" s="8"/>
      <c r="Q685" s="8"/>
      <c r="R685" s="8"/>
      <c r="S685" s="8"/>
      <c r="T685" s="8"/>
      <c r="U685" s="8"/>
      <c r="V685" s="8"/>
      <c r="W685" s="8"/>
      <c r="X685" s="8"/>
      <c r="Y685" s="8"/>
      <c r="Z685" s="8"/>
    </row>
    <row r="686">
      <c r="A686" s="8"/>
      <c r="B686" s="8"/>
      <c r="C686" s="8"/>
      <c r="D686" s="8"/>
      <c r="E686" s="8"/>
      <c r="F686" s="8"/>
      <c r="G686" s="8"/>
      <c r="H686" s="8"/>
      <c r="I686" s="8"/>
      <c r="J686" s="8"/>
      <c r="K686" s="8"/>
      <c r="L686" s="8"/>
      <c r="M686" s="8"/>
      <c r="N686" s="8"/>
      <c r="O686" s="8"/>
      <c r="P686" s="8"/>
      <c r="Q686" s="8"/>
      <c r="R686" s="8"/>
      <c r="S686" s="8"/>
      <c r="T686" s="8"/>
      <c r="U686" s="8"/>
      <c r="V686" s="8"/>
      <c r="W686" s="8"/>
      <c r="X686" s="8"/>
      <c r="Y686" s="8"/>
      <c r="Z686" s="8"/>
    </row>
    <row r="687">
      <c r="A687" s="8"/>
      <c r="B687" s="8"/>
      <c r="C687" s="8"/>
      <c r="D687" s="8"/>
      <c r="E687" s="8"/>
      <c r="F687" s="8"/>
      <c r="G687" s="8"/>
      <c r="H687" s="8"/>
      <c r="I687" s="8"/>
      <c r="J687" s="8"/>
      <c r="K687" s="8"/>
      <c r="L687" s="8"/>
      <c r="M687" s="8"/>
      <c r="N687" s="8"/>
      <c r="O687" s="8"/>
      <c r="P687" s="8"/>
      <c r="Q687" s="8"/>
      <c r="R687" s="8"/>
      <c r="S687" s="8"/>
      <c r="T687" s="8"/>
      <c r="U687" s="8"/>
      <c r="V687" s="8"/>
      <c r="W687" s="8"/>
      <c r="X687" s="8"/>
      <c r="Y687" s="8"/>
      <c r="Z687" s="8"/>
    </row>
    <row r="688">
      <c r="A688" s="8"/>
      <c r="B688" s="8"/>
      <c r="C688" s="8"/>
      <c r="D688" s="8"/>
      <c r="E688" s="8"/>
      <c r="F688" s="8"/>
      <c r="G688" s="8"/>
      <c r="H688" s="8"/>
      <c r="I688" s="8"/>
      <c r="J688" s="8"/>
      <c r="K688" s="8"/>
      <c r="L688" s="8"/>
      <c r="M688" s="8"/>
      <c r="N688" s="8"/>
      <c r="O688" s="8"/>
      <c r="P688" s="8"/>
      <c r="Q688" s="8"/>
      <c r="R688" s="8"/>
      <c r="S688" s="8"/>
      <c r="T688" s="8"/>
      <c r="U688" s="8"/>
      <c r="V688" s="8"/>
      <c r="W688" s="8"/>
      <c r="X688" s="8"/>
      <c r="Y688" s="8"/>
      <c r="Z688" s="8"/>
    </row>
    <row r="689">
      <c r="A689" s="8"/>
      <c r="B689" s="8"/>
      <c r="C689" s="8"/>
      <c r="D689" s="8"/>
      <c r="E689" s="8"/>
      <c r="F689" s="8"/>
      <c r="G689" s="8"/>
      <c r="H689" s="8"/>
      <c r="I689" s="8"/>
      <c r="J689" s="8"/>
      <c r="K689" s="8"/>
      <c r="L689" s="8"/>
      <c r="M689" s="8"/>
      <c r="N689" s="8"/>
      <c r="O689" s="8"/>
      <c r="P689" s="8"/>
      <c r="Q689" s="8"/>
      <c r="R689" s="8"/>
      <c r="S689" s="8"/>
      <c r="T689" s="8"/>
      <c r="U689" s="8"/>
      <c r="V689" s="8"/>
      <c r="W689" s="8"/>
      <c r="X689" s="8"/>
      <c r="Y689" s="8"/>
      <c r="Z689" s="8"/>
    </row>
    <row r="690">
      <c r="A690" s="8"/>
      <c r="B690" s="8"/>
      <c r="C690" s="8"/>
      <c r="D690" s="8"/>
      <c r="E690" s="8"/>
      <c r="F690" s="8"/>
      <c r="G690" s="8"/>
      <c r="H690" s="8"/>
      <c r="I690" s="8"/>
      <c r="J690" s="8"/>
      <c r="K690" s="8"/>
      <c r="L690" s="8"/>
      <c r="M690" s="8"/>
      <c r="N690" s="8"/>
      <c r="O690" s="8"/>
      <c r="P690" s="8"/>
      <c r="Q690" s="8"/>
      <c r="R690" s="8"/>
      <c r="S690" s="8"/>
      <c r="T690" s="8"/>
      <c r="U690" s="8"/>
      <c r="V690" s="8"/>
      <c r="W690" s="8"/>
      <c r="X690" s="8"/>
      <c r="Y690" s="8"/>
      <c r="Z690" s="8"/>
    </row>
    <row r="691">
      <c r="A691" s="8"/>
      <c r="B691" s="8"/>
      <c r="C691" s="8"/>
      <c r="D691" s="8"/>
      <c r="E691" s="8"/>
      <c r="F691" s="8"/>
      <c r="G691" s="8"/>
      <c r="H691" s="8"/>
      <c r="I691" s="8"/>
      <c r="J691" s="8"/>
      <c r="K691" s="8"/>
      <c r="L691" s="8"/>
      <c r="M691" s="8"/>
      <c r="N691" s="8"/>
      <c r="O691" s="8"/>
      <c r="P691" s="8"/>
      <c r="Q691" s="8"/>
      <c r="R691" s="8"/>
      <c r="S691" s="8"/>
      <c r="T691" s="8"/>
      <c r="U691" s="8"/>
      <c r="V691" s="8"/>
      <c r="W691" s="8"/>
      <c r="X691" s="8"/>
      <c r="Y691" s="8"/>
      <c r="Z691" s="8"/>
    </row>
    <row r="692">
      <c r="A692" s="8"/>
      <c r="B692" s="8"/>
      <c r="C692" s="8"/>
      <c r="D692" s="8"/>
      <c r="E692" s="8"/>
      <c r="F692" s="8"/>
      <c r="G692" s="8"/>
      <c r="H692" s="8"/>
      <c r="I692" s="8"/>
      <c r="J692" s="8"/>
      <c r="K692" s="8"/>
      <c r="L692" s="8"/>
      <c r="M692" s="8"/>
      <c r="N692" s="8"/>
      <c r="O692" s="8"/>
      <c r="P692" s="8"/>
      <c r="Q692" s="8"/>
      <c r="R692" s="8"/>
      <c r="S692" s="8"/>
      <c r="T692" s="8"/>
      <c r="U692" s="8"/>
      <c r="V692" s="8"/>
      <c r="W692" s="8"/>
      <c r="X692" s="8"/>
      <c r="Y692" s="8"/>
      <c r="Z692" s="8"/>
    </row>
    <row r="693">
      <c r="A693" s="8"/>
      <c r="B693" s="8"/>
      <c r="C693" s="8"/>
      <c r="D693" s="8"/>
      <c r="E693" s="8"/>
      <c r="F693" s="8"/>
      <c r="G693" s="8"/>
      <c r="H693" s="8"/>
      <c r="I693" s="8"/>
      <c r="J693" s="8"/>
      <c r="K693" s="8"/>
      <c r="L693" s="8"/>
      <c r="M693" s="8"/>
      <c r="N693" s="8"/>
      <c r="O693" s="8"/>
      <c r="P693" s="8"/>
      <c r="Q693" s="8"/>
      <c r="R693" s="8"/>
      <c r="S693" s="8"/>
      <c r="T693" s="8"/>
      <c r="U693" s="8"/>
      <c r="V693" s="8"/>
      <c r="W693" s="8"/>
      <c r="X693" s="8"/>
      <c r="Y693" s="8"/>
      <c r="Z693" s="8"/>
    </row>
    <row r="694">
      <c r="A694" s="8"/>
      <c r="B694" s="8"/>
      <c r="C694" s="8"/>
      <c r="D694" s="8"/>
      <c r="E694" s="8"/>
      <c r="F694" s="8"/>
      <c r="G694" s="8"/>
      <c r="H694" s="8"/>
      <c r="I694" s="8"/>
      <c r="J694" s="8"/>
      <c r="K694" s="8"/>
      <c r="L694" s="8"/>
      <c r="M694" s="8"/>
      <c r="N694" s="8"/>
      <c r="O694" s="8"/>
      <c r="P694" s="8"/>
      <c r="Q694" s="8"/>
      <c r="R694" s="8"/>
      <c r="S694" s="8"/>
      <c r="T694" s="8"/>
      <c r="U694" s="8"/>
      <c r="V694" s="8"/>
      <c r="W694" s="8"/>
      <c r="X694" s="8"/>
      <c r="Y694" s="8"/>
      <c r="Z694" s="8"/>
    </row>
    <row r="695">
      <c r="A695" s="8"/>
      <c r="B695" s="8"/>
      <c r="C695" s="8"/>
      <c r="D695" s="8"/>
      <c r="E695" s="8"/>
      <c r="F695" s="8"/>
      <c r="G695" s="8"/>
      <c r="H695" s="8"/>
      <c r="I695" s="8"/>
      <c r="J695" s="8"/>
      <c r="K695" s="8"/>
      <c r="L695" s="8"/>
      <c r="M695" s="8"/>
      <c r="N695" s="8"/>
      <c r="O695" s="8"/>
      <c r="P695" s="8"/>
      <c r="Q695" s="8"/>
      <c r="R695" s="8"/>
      <c r="S695" s="8"/>
      <c r="T695" s="8"/>
      <c r="U695" s="8"/>
      <c r="V695" s="8"/>
      <c r="W695" s="8"/>
      <c r="X695" s="8"/>
      <c r="Y695" s="8"/>
      <c r="Z695" s="8"/>
    </row>
    <row r="696">
      <c r="A696" s="8"/>
      <c r="B696" s="8"/>
      <c r="C696" s="8"/>
      <c r="D696" s="8"/>
      <c r="E696" s="8"/>
      <c r="F696" s="8"/>
      <c r="G696" s="8"/>
      <c r="H696" s="8"/>
      <c r="I696" s="8"/>
      <c r="J696" s="8"/>
      <c r="K696" s="8"/>
      <c r="L696" s="8"/>
      <c r="M696" s="8"/>
      <c r="N696" s="8"/>
      <c r="O696" s="8"/>
      <c r="P696" s="8"/>
      <c r="Q696" s="8"/>
      <c r="R696" s="8"/>
      <c r="S696" s="8"/>
      <c r="T696" s="8"/>
      <c r="U696" s="8"/>
      <c r="V696" s="8"/>
      <c r="W696" s="8"/>
      <c r="X696" s="8"/>
      <c r="Y696" s="8"/>
      <c r="Z696" s="8"/>
    </row>
    <row r="697">
      <c r="A697" s="8"/>
      <c r="B697" s="8"/>
      <c r="C697" s="8"/>
      <c r="D697" s="8"/>
      <c r="E697" s="8"/>
      <c r="F697" s="8"/>
      <c r="G697" s="8"/>
      <c r="H697" s="8"/>
      <c r="I697" s="8"/>
      <c r="J697" s="8"/>
      <c r="K697" s="8"/>
      <c r="L697" s="8"/>
      <c r="M697" s="8"/>
      <c r="N697" s="8"/>
      <c r="O697" s="8"/>
      <c r="P697" s="8"/>
      <c r="Q697" s="8"/>
      <c r="R697" s="8"/>
      <c r="S697" s="8"/>
      <c r="T697" s="8"/>
      <c r="U697" s="8"/>
      <c r="V697" s="8"/>
      <c r="W697" s="8"/>
      <c r="X697" s="8"/>
      <c r="Y697" s="8"/>
      <c r="Z697" s="8"/>
    </row>
    <row r="698">
      <c r="A698" s="8"/>
      <c r="B698" s="8"/>
      <c r="C698" s="8"/>
      <c r="D698" s="8"/>
      <c r="E698" s="8"/>
      <c r="F698" s="8"/>
      <c r="G698" s="8"/>
      <c r="H698" s="8"/>
      <c r="I698" s="8"/>
      <c r="J698" s="8"/>
      <c r="K698" s="8"/>
      <c r="L698" s="8"/>
      <c r="M698" s="8"/>
      <c r="N698" s="8"/>
      <c r="O698" s="8"/>
      <c r="P698" s="8"/>
      <c r="Q698" s="8"/>
      <c r="R698" s="8"/>
      <c r="S698" s="8"/>
      <c r="T698" s="8"/>
      <c r="U698" s="8"/>
      <c r="V698" s="8"/>
      <c r="W698" s="8"/>
      <c r="X698" s="8"/>
      <c r="Y698" s="8"/>
      <c r="Z698" s="8"/>
    </row>
    <row r="699">
      <c r="A699" s="8"/>
      <c r="B699" s="8"/>
      <c r="C699" s="8"/>
      <c r="D699" s="8"/>
      <c r="E699" s="8"/>
      <c r="F699" s="8"/>
      <c r="G699" s="8"/>
      <c r="H699" s="8"/>
      <c r="I699" s="8"/>
      <c r="J699" s="8"/>
      <c r="K699" s="8"/>
      <c r="L699" s="8"/>
      <c r="M699" s="8"/>
      <c r="N699" s="8"/>
      <c r="O699" s="8"/>
      <c r="P699" s="8"/>
      <c r="Q699" s="8"/>
      <c r="R699" s="8"/>
      <c r="S699" s="8"/>
      <c r="T699" s="8"/>
      <c r="U699" s="8"/>
      <c r="V699" s="8"/>
      <c r="W699" s="8"/>
      <c r="X699" s="8"/>
      <c r="Y699" s="8"/>
      <c r="Z699" s="8"/>
    </row>
    <row r="700">
      <c r="A700" s="8"/>
      <c r="B700" s="8"/>
      <c r="C700" s="8"/>
      <c r="D700" s="8"/>
      <c r="E700" s="8"/>
      <c r="F700" s="8"/>
      <c r="G700" s="8"/>
      <c r="H700" s="8"/>
      <c r="I700" s="8"/>
      <c r="J700" s="8"/>
      <c r="K700" s="8"/>
      <c r="L700" s="8"/>
      <c r="M700" s="8"/>
      <c r="N700" s="8"/>
      <c r="O700" s="8"/>
      <c r="P700" s="8"/>
      <c r="Q700" s="8"/>
      <c r="R700" s="8"/>
      <c r="S700" s="8"/>
      <c r="T700" s="8"/>
      <c r="U700" s="8"/>
      <c r="V700" s="8"/>
      <c r="W700" s="8"/>
      <c r="X700" s="8"/>
      <c r="Y700" s="8"/>
      <c r="Z700" s="8"/>
    </row>
    <row r="701">
      <c r="A701" s="8"/>
      <c r="B701" s="8"/>
      <c r="C701" s="8"/>
      <c r="D701" s="8"/>
      <c r="E701" s="8"/>
      <c r="F701" s="8"/>
      <c r="G701" s="8"/>
      <c r="H701" s="8"/>
      <c r="I701" s="8"/>
      <c r="J701" s="8"/>
      <c r="K701" s="8"/>
      <c r="L701" s="8"/>
      <c r="M701" s="8"/>
      <c r="N701" s="8"/>
      <c r="O701" s="8"/>
      <c r="P701" s="8"/>
      <c r="Q701" s="8"/>
      <c r="R701" s="8"/>
      <c r="S701" s="8"/>
      <c r="T701" s="8"/>
      <c r="U701" s="8"/>
      <c r="V701" s="8"/>
      <c r="W701" s="8"/>
      <c r="X701" s="8"/>
      <c r="Y701" s="8"/>
      <c r="Z701" s="8"/>
    </row>
    <row r="702">
      <c r="A702" s="8"/>
      <c r="B702" s="8"/>
      <c r="C702" s="8"/>
      <c r="D702" s="8"/>
      <c r="E702" s="8"/>
      <c r="F702" s="8"/>
      <c r="G702" s="8"/>
      <c r="H702" s="8"/>
      <c r="I702" s="8"/>
      <c r="J702" s="8"/>
      <c r="K702" s="8"/>
      <c r="L702" s="8"/>
      <c r="M702" s="8"/>
      <c r="N702" s="8"/>
      <c r="O702" s="8"/>
      <c r="P702" s="8"/>
      <c r="Q702" s="8"/>
      <c r="R702" s="8"/>
      <c r="S702" s="8"/>
      <c r="T702" s="8"/>
      <c r="U702" s="8"/>
      <c r="V702" s="8"/>
      <c r="W702" s="8"/>
      <c r="X702" s="8"/>
      <c r="Y702" s="8"/>
      <c r="Z702" s="8"/>
    </row>
    <row r="703">
      <c r="A703" s="8"/>
      <c r="B703" s="8"/>
      <c r="C703" s="8"/>
      <c r="D703" s="8"/>
      <c r="E703" s="8"/>
      <c r="F703" s="8"/>
      <c r="G703" s="8"/>
      <c r="H703" s="8"/>
      <c r="I703" s="8"/>
      <c r="J703" s="8"/>
      <c r="K703" s="8"/>
      <c r="L703" s="8"/>
      <c r="M703" s="8"/>
      <c r="N703" s="8"/>
      <c r="O703" s="8"/>
      <c r="P703" s="8"/>
      <c r="Q703" s="8"/>
      <c r="R703" s="8"/>
      <c r="S703" s="8"/>
      <c r="T703" s="8"/>
      <c r="U703" s="8"/>
      <c r="V703" s="8"/>
      <c r="W703" s="8"/>
      <c r="X703" s="8"/>
      <c r="Y703" s="8"/>
      <c r="Z703" s="8"/>
    </row>
    <row r="704">
      <c r="A704" s="8"/>
      <c r="B704" s="8"/>
      <c r="C704" s="8"/>
      <c r="D704" s="8"/>
      <c r="E704" s="8"/>
      <c r="F704" s="8"/>
      <c r="G704" s="8"/>
      <c r="H704" s="8"/>
      <c r="I704" s="8"/>
      <c r="J704" s="8"/>
      <c r="K704" s="8"/>
      <c r="L704" s="8"/>
      <c r="M704" s="8"/>
      <c r="N704" s="8"/>
      <c r="O704" s="8"/>
      <c r="P704" s="8"/>
      <c r="Q704" s="8"/>
      <c r="R704" s="8"/>
      <c r="S704" s="8"/>
      <c r="T704" s="8"/>
      <c r="U704" s="8"/>
      <c r="V704" s="8"/>
      <c r="W704" s="8"/>
      <c r="X704" s="8"/>
      <c r="Y704" s="8"/>
      <c r="Z704" s="8"/>
    </row>
    <row r="705">
      <c r="A705" s="8"/>
      <c r="B705" s="8"/>
      <c r="C705" s="8"/>
      <c r="D705" s="8"/>
      <c r="E705" s="8"/>
      <c r="F705" s="8"/>
      <c r="G705" s="8"/>
      <c r="H705" s="8"/>
      <c r="I705" s="8"/>
      <c r="J705" s="8"/>
      <c r="K705" s="8"/>
      <c r="L705" s="8"/>
      <c r="M705" s="8"/>
      <c r="N705" s="8"/>
      <c r="O705" s="8"/>
      <c r="P705" s="8"/>
      <c r="Q705" s="8"/>
      <c r="R705" s="8"/>
      <c r="S705" s="8"/>
      <c r="T705" s="8"/>
      <c r="U705" s="8"/>
      <c r="V705" s="8"/>
      <c r="W705" s="8"/>
      <c r="X705" s="8"/>
      <c r="Y705" s="8"/>
      <c r="Z705" s="8"/>
    </row>
    <row r="706">
      <c r="A706" s="8"/>
      <c r="B706" s="8"/>
      <c r="C706" s="8"/>
      <c r="D706" s="8"/>
      <c r="E706" s="8"/>
      <c r="F706" s="8"/>
      <c r="G706" s="8"/>
      <c r="H706" s="8"/>
      <c r="I706" s="8"/>
      <c r="J706" s="8"/>
      <c r="K706" s="8"/>
      <c r="L706" s="8"/>
      <c r="M706" s="8"/>
      <c r="N706" s="8"/>
      <c r="O706" s="8"/>
      <c r="P706" s="8"/>
      <c r="Q706" s="8"/>
      <c r="R706" s="8"/>
      <c r="S706" s="8"/>
      <c r="T706" s="8"/>
      <c r="U706" s="8"/>
      <c r="V706" s="8"/>
      <c r="W706" s="8"/>
      <c r="X706" s="8"/>
      <c r="Y706" s="8"/>
      <c r="Z706" s="8"/>
    </row>
    <row r="707">
      <c r="A707" s="8"/>
      <c r="B707" s="8"/>
      <c r="C707" s="8"/>
      <c r="D707" s="8"/>
      <c r="E707" s="8"/>
      <c r="F707" s="8"/>
      <c r="G707" s="8"/>
      <c r="H707" s="8"/>
      <c r="I707" s="8"/>
      <c r="J707" s="8"/>
      <c r="K707" s="8"/>
      <c r="L707" s="8"/>
      <c r="M707" s="8"/>
      <c r="N707" s="8"/>
      <c r="O707" s="8"/>
      <c r="P707" s="8"/>
      <c r="Q707" s="8"/>
      <c r="R707" s="8"/>
      <c r="S707" s="8"/>
      <c r="T707" s="8"/>
      <c r="U707" s="8"/>
      <c r="V707" s="8"/>
      <c r="W707" s="8"/>
      <c r="X707" s="8"/>
      <c r="Y707" s="8"/>
      <c r="Z707" s="8"/>
    </row>
    <row r="708">
      <c r="A708" s="8"/>
      <c r="B708" s="8"/>
      <c r="C708" s="8"/>
      <c r="D708" s="8"/>
      <c r="E708" s="8"/>
      <c r="F708" s="8"/>
      <c r="G708" s="8"/>
      <c r="H708" s="8"/>
      <c r="I708" s="8"/>
      <c r="J708" s="8"/>
      <c r="K708" s="8"/>
      <c r="L708" s="8"/>
      <c r="M708" s="8"/>
      <c r="N708" s="8"/>
      <c r="O708" s="8"/>
      <c r="P708" s="8"/>
      <c r="Q708" s="8"/>
      <c r="R708" s="8"/>
      <c r="S708" s="8"/>
      <c r="T708" s="8"/>
      <c r="U708" s="8"/>
      <c r="V708" s="8"/>
      <c r="W708" s="8"/>
      <c r="X708" s="8"/>
      <c r="Y708" s="8"/>
      <c r="Z708" s="8"/>
    </row>
    <row r="709">
      <c r="A709" s="8"/>
      <c r="B709" s="8"/>
      <c r="C709" s="8"/>
      <c r="D709" s="8"/>
      <c r="E709" s="8"/>
      <c r="F709" s="8"/>
      <c r="G709" s="8"/>
      <c r="H709" s="8"/>
      <c r="I709" s="8"/>
      <c r="J709" s="8"/>
      <c r="K709" s="8"/>
      <c r="L709" s="8"/>
      <c r="M709" s="8"/>
      <c r="N709" s="8"/>
      <c r="O709" s="8"/>
      <c r="P709" s="8"/>
      <c r="Q709" s="8"/>
      <c r="R709" s="8"/>
      <c r="S709" s="8"/>
      <c r="T709" s="8"/>
      <c r="U709" s="8"/>
      <c r="V709" s="8"/>
      <c r="W709" s="8"/>
      <c r="X709" s="8"/>
      <c r="Y709" s="8"/>
      <c r="Z709" s="8"/>
    </row>
    <row r="710">
      <c r="A710" s="8"/>
      <c r="B710" s="8"/>
      <c r="C710" s="8"/>
      <c r="D710" s="8"/>
      <c r="E710" s="8"/>
      <c r="F710" s="8"/>
      <c r="G710" s="8"/>
      <c r="H710" s="8"/>
      <c r="I710" s="8"/>
      <c r="J710" s="8"/>
      <c r="K710" s="8"/>
      <c r="L710" s="8"/>
      <c r="M710" s="8"/>
      <c r="N710" s="8"/>
      <c r="O710" s="8"/>
      <c r="P710" s="8"/>
      <c r="Q710" s="8"/>
      <c r="R710" s="8"/>
      <c r="S710" s="8"/>
      <c r="T710" s="8"/>
      <c r="U710" s="8"/>
      <c r="V710" s="8"/>
      <c r="W710" s="8"/>
      <c r="X710" s="8"/>
      <c r="Y710" s="8"/>
      <c r="Z710" s="8"/>
    </row>
    <row r="711">
      <c r="A711" s="8"/>
      <c r="B711" s="8"/>
      <c r="C711" s="8"/>
      <c r="D711" s="8"/>
      <c r="E711" s="8"/>
      <c r="F711" s="8"/>
      <c r="G711" s="8"/>
      <c r="H711" s="8"/>
      <c r="I711" s="8"/>
      <c r="J711" s="8"/>
      <c r="K711" s="8"/>
      <c r="L711" s="8"/>
      <c r="M711" s="8"/>
      <c r="N711" s="8"/>
      <c r="O711" s="8"/>
      <c r="P711" s="8"/>
      <c r="Q711" s="8"/>
      <c r="R711" s="8"/>
      <c r="S711" s="8"/>
      <c r="T711" s="8"/>
      <c r="U711" s="8"/>
      <c r="V711" s="8"/>
      <c r="W711" s="8"/>
      <c r="X711" s="8"/>
      <c r="Y711" s="8"/>
      <c r="Z711" s="8"/>
    </row>
    <row r="712">
      <c r="A712" s="8"/>
      <c r="B712" s="8"/>
      <c r="C712" s="8"/>
      <c r="D712" s="8"/>
      <c r="E712" s="8"/>
      <c r="F712" s="8"/>
      <c r="G712" s="8"/>
      <c r="H712" s="8"/>
      <c r="I712" s="8"/>
      <c r="J712" s="8"/>
      <c r="K712" s="8"/>
      <c r="L712" s="8"/>
      <c r="M712" s="8"/>
      <c r="N712" s="8"/>
      <c r="O712" s="8"/>
      <c r="P712" s="8"/>
      <c r="Q712" s="8"/>
      <c r="R712" s="8"/>
      <c r="S712" s="8"/>
      <c r="T712" s="8"/>
      <c r="U712" s="8"/>
      <c r="V712" s="8"/>
      <c r="W712" s="8"/>
      <c r="X712" s="8"/>
      <c r="Y712" s="8"/>
      <c r="Z712" s="8"/>
    </row>
    <row r="713">
      <c r="A713" s="8"/>
      <c r="B713" s="8"/>
      <c r="C713" s="8"/>
      <c r="D713" s="8"/>
      <c r="E713" s="8"/>
      <c r="F713" s="8"/>
      <c r="G713" s="8"/>
      <c r="H713" s="8"/>
      <c r="I713" s="8"/>
      <c r="J713" s="8"/>
      <c r="K713" s="8"/>
      <c r="L713" s="8"/>
      <c r="M713" s="8"/>
      <c r="N713" s="8"/>
      <c r="O713" s="8"/>
      <c r="P713" s="8"/>
      <c r="Q713" s="8"/>
      <c r="R713" s="8"/>
      <c r="S713" s="8"/>
      <c r="T713" s="8"/>
      <c r="U713" s="8"/>
      <c r="V713" s="8"/>
      <c r="W713" s="8"/>
      <c r="X713" s="8"/>
      <c r="Y713" s="8"/>
      <c r="Z713" s="8"/>
    </row>
    <row r="714">
      <c r="A714" s="8"/>
      <c r="B714" s="8"/>
      <c r="C714" s="8"/>
      <c r="D714" s="8"/>
      <c r="E714" s="8"/>
      <c r="F714" s="8"/>
      <c r="G714" s="8"/>
      <c r="H714" s="8"/>
      <c r="I714" s="8"/>
      <c r="J714" s="8"/>
      <c r="K714" s="8"/>
      <c r="L714" s="8"/>
      <c r="M714" s="8"/>
      <c r="N714" s="8"/>
      <c r="O714" s="8"/>
      <c r="P714" s="8"/>
      <c r="Q714" s="8"/>
      <c r="R714" s="8"/>
      <c r="S714" s="8"/>
      <c r="T714" s="8"/>
      <c r="U714" s="8"/>
      <c r="V714" s="8"/>
      <c r="W714" s="8"/>
      <c r="X714" s="8"/>
      <c r="Y714" s="8"/>
      <c r="Z714" s="8"/>
    </row>
    <row r="715">
      <c r="A715" s="8"/>
      <c r="B715" s="8"/>
      <c r="C715" s="8"/>
      <c r="D715" s="8"/>
      <c r="E715" s="8"/>
      <c r="F715" s="8"/>
      <c r="G715" s="8"/>
      <c r="H715" s="8"/>
      <c r="I715" s="8"/>
      <c r="J715" s="8"/>
      <c r="K715" s="8"/>
      <c r="L715" s="8"/>
      <c r="M715" s="8"/>
      <c r="N715" s="8"/>
      <c r="O715" s="8"/>
      <c r="P715" s="8"/>
      <c r="Q715" s="8"/>
      <c r="R715" s="8"/>
      <c r="S715" s="8"/>
      <c r="T715" s="8"/>
      <c r="U715" s="8"/>
      <c r="V715" s="8"/>
      <c r="W715" s="8"/>
      <c r="X715" s="8"/>
      <c r="Y715" s="8"/>
      <c r="Z715" s="8"/>
    </row>
    <row r="716">
      <c r="A716" s="8"/>
      <c r="B716" s="8"/>
      <c r="C716" s="8"/>
      <c r="D716" s="8"/>
      <c r="E716" s="8"/>
      <c r="F716" s="8"/>
      <c r="G716" s="8"/>
      <c r="H716" s="8"/>
      <c r="I716" s="8"/>
      <c r="J716" s="8"/>
      <c r="K716" s="8"/>
      <c r="L716" s="8"/>
      <c r="M716" s="8"/>
      <c r="N716" s="8"/>
      <c r="O716" s="8"/>
      <c r="P716" s="8"/>
      <c r="Q716" s="8"/>
      <c r="R716" s="8"/>
      <c r="S716" s="8"/>
      <c r="T716" s="8"/>
      <c r="U716" s="8"/>
      <c r="V716" s="8"/>
      <c r="W716" s="8"/>
      <c r="X716" s="8"/>
      <c r="Y716" s="8"/>
      <c r="Z716" s="8"/>
    </row>
    <row r="717">
      <c r="A717" s="8"/>
      <c r="B717" s="8"/>
      <c r="C717" s="8"/>
      <c r="D717" s="8"/>
      <c r="E717" s="8"/>
      <c r="F717" s="8"/>
      <c r="G717" s="8"/>
      <c r="H717" s="8"/>
      <c r="I717" s="8"/>
      <c r="J717" s="8"/>
      <c r="K717" s="8"/>
      <c r="L717" s="8"/>
      <c r="M717" s="8"/>
      <c r="N717" s="8"/>
      <c r="O717" s="8"/>
      <c r="P717" s="8"/>
      <c r="Q717" s="8"/>
      <c r="R717" s="8"/>
      <c r="S717" s="8"/>
      <c r="T717" s="8"/>
      <c r="U717" s="8"/>
      <c r="V717" s="8"/>
      <c r="W717" s="8"/>
      <c r="X717" s="8"/>
      <c r="Y717" s="8"/>
      <c r="Z717" s="8"/>
    </row>
    <row r="718">
      <c r="A718" s="8"/>
      <c r="B718" s="8"/>
      <c r="C718" s="8"/>
      <c r="D718" s="8"/>
      <c r="E718" s="8"/>
      <c r="F718" s="8"/>
      <c r="G718" s="8"/>
      <c r="H718" s="8"/>
      <c r="I718" s="8"/>
      <c r="J718" s="8"/>
      <c r="K718" s="8"/>
      <c r="L718" s="8"/>
      <c r="M718" s="8"/>
      <c r="N718" s="8"/>
      <c r="O718" s="8"/>
      <c r="P718" s="8"/>
      <c r="Q718" s="8"/>
      <c r="R718" s="8"/>
      <c r="S718" s="8"/>
      <c r="T718" s="8"/>
      <c r="U718" s="8"/>
      <c r="V718" s="8"/>
      <c r="W718" s="8"/>
      <c r="X718" s="8"/>
      <c r="Y718" s="8"/>
      <c r="Z718" s="8"/>
    </row>
    <row r="719">
      <c r="A719" s="8"/>
      <c r="B719" s="8"/>
      <c r="C719" s="8"/>
      <c r="D719" s="8"/>
      <c r="E719" s="8"/>
      <c r="F719" s="8"/>
      <c r="G719" s="8"/>
      <c r="H719" s="8"/>
      <c r="I719" s="8"/>
      <c r="J719" s="8"/>
      <c r="K719" s="8"/>
      <c r="L719" s="8"/>
      <c r="M719" s="8"/>
      <c r="N719" s="8"/>
      <c r="O719" s="8"/>
      <c r="P719" s="8"/>
      <c r="Q719" s="8"/>
      <c r="R719" s="8"/>
      <c r="S719" s="8"/>
      <c r="T719" s="8"/>
      <c r="U719" s="8"/>
      <c r="V719" s="8"/>
      <c r="W719" s="8"/>
      <c r="X719" s="8"/>
      <c r="Y719" s="8"/>
      <c r="Z719" s="8"/>
    </row>
    <row r="720">
      <c r="A720" s="8"/>
      <c r="B720" s="8"/>
      <c r="C720" s="8"/>
      <c r="D720" s="8"/>
      <c r="E720" s="8"/>
      <c r="F720" s="8"/>
      <c r="G720" s="8"/>
      <c r="H720" s="8"/>
      <c r="I720" s="8"/>
      <c r="J720" s="8"/>
      <c r="K720" s="8"/>
      <c r="L720" s="8"/>
      <c r="M720" s="8"/>
      <c r="N720" s="8"/>
      <c r="O720" s="8"/>
      <c r="P720" s="8"/>
      <c r="Q720" s="8"/>
      <c r="R720" s="8"/>
      <c r="S720" s="8"/>
      <c r="T720" s="8"/>
      <c r="U720" s="8"/>
      <c r="V720" s="8"/>
      <c r="W720" s="8"/>
      <c r="X720" s="8"/>
      <c r="Y720" s="8"/>
      <c r="Z720" s="8"/>
    </row>
    <row r="721">
      <c r="A721" s="8"/>
      <c r="B721" s="8"/>
      <c r="C721" s="8"/>
      <c r="D721" s="8"/>
      <c r="E721" s="8"/>
      <c r="F721" s="8"/>
      <c r="G721" s="8"/>
      <c r="H721" s="8"/>
      <c r="I721" s="8"/>
      <c r="J721" s="8"/>
      <c r="K721" s="8"/>
      <c r="L721" s="8"/>
      <c r="M721" s="8"/>
      <c r="N721" s="8"/>
      <c r="O721" s="8"/>
      <c r="P721" s="8"/>
      <c r="Q721" s="8"/>
      <c r="R721" s="8"/>
      <c r="S721" s="8"/>
      <c r="T721" s="8"/>
      <c r="U721" s="8"/>
      <c r="V721" s="8"/>
      <c r="W721" s="8"/>
      <c r="X721" s="8"/>
      <c r="Y721" s="8"/>
      <c r="Z721" s="8"/>
    </row>
    <row r="722">
      <c r="A722" s="8"/>
      <c r="B722" s="8"/>
      <c r="C722" s="8"/>
      <c r="D722" s="8"/>
      <c r="E722" s="8"/>
      <c r="F722" s="8"/>
      <c r="G722" s="8"/>
      <c r="H722" s="8"/>
      <c r="I722" s="8"/>
      <c r="J722" s="8"/>
      <c r="K722" s="8"/>
      <c r="L722" s="8"/>
      <c r="M722" s="8"/>
      <c r="N722" s="8"/>
      <c r="O722" s="8"/>
      <c r="P722" s="8"/>
      <c r="Q722" s="8"/>
      <c r="R722" s="8"/>
      <c r="S722" s="8"/>
      <c r="T722" s="8"/>
      <c r="U722" s="8"/>
      <c r="V722" s="8"/>
      <c r="W722" s="8"/>
      <c r="X722" s="8"/>
      <c r="Y722" s="8"/>
      <c r="Z722" s="8"/>
    </row>
    <row r="723">
      <c r="A723" s="8"/>
      <c r="B723" s="8"/>
      <c r="C723" s="8"/>
      <c r="D723" s="8"/>
      <c r="E723" s="8"/>
      <c r="F723" s="8"/>
      <c r="G723" s="8"/>
      <c r="H723" s="8"/>
      <c r="I723" s="8"/>
      <c r="J723" s="8"/>
      <c r="K723" s="8"/>
      <c r="L723" s="8"/>
      <c r="M723" s="8"/>
      <c r="N723" s="8"/>
      <c r="O723" s="8"/>
      <c r="P723" s="8"/>
      <c r="Q723" s="8"/>
      <c r="R723" s="8"/>
      <c r="S723" s="8"/>
      <c r="T723" s="8"/>
      <c r="U723" s="8"/>
      <c r="V723" s="8"/>
      <c r="W723" s="8"/>
      <c r="X723" s="8"/>
      <c r="Y723" s="8"/>
      <c r="Z723" s="8"/>
    </row>
    <row r="724">
      <c r="A724" s="8"/>
      <c r="B724" s="8"/>
      <c r="C724" s="8"/>
      <c r="D724" s="8"/>
      <c r="E724" s="8"/>
      <c r="F724" s="8"/>
      <c r="G724" s="8"/>
      <c r="H724" s="8"/>
      <c r="I724" s="8"/>
      <c r="J724" s="8"/>
      <c r="K724" s="8"/>
      <c r="L724" s="8"/>
      <c r="M724" s="8"/>
      <c r="N724" s="8"/>
      <c r="O724" s="8"/>
      <c r="P724" s="8"/>
      <c r="Q724" s="8"/>
      <c r="R724" s="8"/>
      <c r="S724" s="8"/>
      <c r="T724" s="8"/>
      <c r="U724" s="8"/>
      <c r="V724" s="8"/>
      <c r="W724" s="8"/>
      <c r="X724" s="8"/>
      <c r="Y724" s="8"/>
      <c r="Z724" s="8"/>
    </row>
    <row r="725">
      <c r="A725" s="8"/>
      <c r="B725" s="8"/>
      <c r="C725" s="8"/>
      <c r="D725" s="8"/>
      <c r="E725" s="8"/>
      <c r="F725" s="8"/>
      <c r="G725" s="8"/>
      <c r="H725" s="8"/>
      <c r="I725" s="8"/>
      <c r="J725" s="8"/>
      <c r="K725" s="8"/>
      <c r="L725" s="8"/>
      <c r="M725" s="8"/>
      <c r="N725" s="8"/>
      <c r="O725" s="8"/>
      <c r="P725" s="8"/>
      <c r="Q725" s="8"/>
      <c r="R725" s="8"/>
      <c r="S725" s="8"/>
      <c r="T725" s="8"/>
      <c r="U725" s="8"/>
      <c r="V725" s="8"/>
      <c r="W725" s="8"/>
      <c r="X725" s="8"/>
      <c r="Y725" s="8"/>
      <c r="Z725" s="8"/>
    </row>
    <row r="726">
      <c r="A726" s="8"/>
      <c r="B726" s="8"/>
      <c r="C726" s="8"/>
      <c r="D726" s="8"/>
      <c r="E726" s="8"/>
      <c r="F726" s="8"/>
      <c r="G726" s="8"/>
      <c r="H726" s="8"/>
      <c r="I726" s="8"/>
      <c r="J726" s="8"/>
      <c r="K726" s="8"/>
      <c r="L726" s="8"/>
      <c r="M726" s="8"/>
      <c r="N726" s="8"/>
      <c r="O726" s="8"/>
      <c r="P726" s="8"/>
      <c r="Q726" s="8"/>
      <c r="R726" s="8"/>
      <c r="S726" s="8"/>
      <c r="T726" s="8"/>
      <c r="U726" s="8"/>
      <c r="V726" s="8"/>
      <c r="W726" s="8"/>
      <c r="X726" s="8"/>
      <c r="Y726" s="8"/>
      <c r="Z726" s="8"/>
    </row>
    <row r="727">
      <c r="A727" s="8"/>
      <c r="B727" s="8"/>
      <c r="C727" s="8"/>
      <c r="D727" s="8"/>
      <c r="E727" s="8"/>
      <c r="F727" s="8"/>
      <c r="G727" s="8"/>
      <c r="H727" s="8"/>
      <c r="I727" s="8"/>
      <c r="J727" s="8"/>
      <c r="K727" s="8"/>
      <c r="L727" s="8"/>
      <c r="M727" s="8"/>
      <c r="N727" s="8"/>
      <c r="O727" s="8"/>
      <c r="P727" s="8"/>
      <c r="Q727" s="8"/>
      <c r="R727" s="8"/>
      <c r="S727" s="8"/>
      <c r="T727" s="8"/>
      <c r="U727" s="8"/>
      <c r="V727" s="8"/>
      <c r="W727" s="8"/>
      <c r="X727" s="8"/>
      <c r="Y727" s="8"/>
      <c r="Z727" s="8"/>
    </row>
    <row r="728">
      <c r="A728" s="8"/>
      <c r="B728" s="8"/>
      <c r="C728" s="8"/>
      <c r="D728" s="8"/>
      <c r="E728" s="8"/>
      <c r="F728" s="8"/>
      <c r="G728" s="8"/>
      <c r="H728" s="8"/>
      <c r="I728" s="8"/>
      <c r="J728" s="8"/>
      <c r="K728" s="8"/>
      <c r="L728" s="8"/>
      <c r="M728" s="8"/>
      <c r="N728" s="8"/>
      <c r="O728" s="8"/>
      <c r="P728" s="8"/>
      <c r="Q728" s="8"/>
      <c r="R728" s="8"/>
      <c r="S728" s="8"/>
      <c r="T728" s="8"/>
      <c r="U728" s="8"/>
      <c r="V728" s="8"/>
      <c r="W728" s="8"/>
      <c r="X728" s="8"/>
      <c r="Y728" s="8"/>
      <c r="Z728" s="8"/>
    </row>
    <row r="729">
      <c r="A729" s="8"/>
      <c r="B729" s="8"/>
      <c r="C729" s="8"/>
      <c r="D729" s="8"/>
      <c r="E729" s="8"/>
      <c r="F729" s="8"/>
      <c r="G729" s="8"/>
      <c r="H729" s="8"/>
      <c r="I729" s="8"/>
      <c r="J729" s="8"/>
      <c r="K729" s="8"/>
      <c r="L729" s="8"/>
      <c r="M729" s="8"/>
      <c r="N729" s="8"/>
      <c r="O729" s="8"/>
      <c r="P729" s="8"/>
      <c r="Q729" s="8"/>
      <c r="R729" s="8"/>
      <c r="S729" s="8"/>
      <c r="T729" s="8"/>
      <c r="U729" s="8"/>
      <c r="V729" s="8"/>
      <c r="W729" s="8"/>
      <c r="X729" s="8"/>
      <c r="Y729" s="8"/>
      <c r="Z729" s="8"/>
    </row>
    <row r="730">
      <c r="A730" s="8"/>
      <c r="B730" s="8"/>
      <c r="C730" s="8"/>
      <c r="D730" s="8"/>
      <c r="E730" s="8"/>
      <c r="F730" s="8"/>
      <c r="G730" s="8"/>
      <c r="H730" s="8"/>
      <c r="I730" s="8"/>
      <c r="J730" s="8"/>
      <c r="K730" s="8"/>
      <c r="L730" s="8"/>
      <c r="M730" s="8"/>
      <c r="N730" s="8"/>
      <c r="O730" s="8"/>
      <c r="P730" s="8"/>
      <c r="Q730" s="8"/>
      <c r="R730" s="8"/>
      <c r="S730" s="8"/>
      <c r="T730" s="8"/>
      <c r="U730" s="8"/>
      <c r="V730" s="8"/>
      <c r="W730" s="8"/>
      <c r="X730" s="8"/>
      <c r="Y730" s="8"/>
      <c r="Z730" s="8"/>
    </row>
    <row r="731">
      <c r="A731" s="8"/>
      <c r="B731" s="8"/>
      <c r="C731" s="8"/>
      <c r="D731" s="8"/>
      <c r="E731" s="8"/>
      <c r="F731" s="8"/>
      <c r="G731" s="8"/>
      <c r="H731" s="8"/>
      <c r="I731" s="8"/>
      <c r="J731" s="8"/>
      <c r="K731" s="8"/>
      <c r="L731" s="8"/>
      <c r="M731" s="8"/>
      <c r="N731" s="8"/>
      <c r="O731" s="8"/>
      <c r="P731" s="8"/>
      <c r="Q731" s="8"/>
      <c r="R731" s="8"/>
      <c r="S731" s="8"/>
      <c r="T731" s="8"/>
      <c r="U731" s="8"/>
      <c r="V731" s="8"/>
      <c r="W731" s="8"/>
      <c r="X731" s="8"/>
      <c r="Y731" s="8"/>
      <c r="Z731" s="8"/>
    </row>
    <row r="732">
      <c r="A732" s="8"/>
      <c r="B732" s="8"/>
      <c r="C732" s="8"/>
      <c r="D732" s="8"/>
      <c r="E732" s="8"/>
      <c r="F732" s="8"/>
      <c r="G732" s="8"/>
      <c r="H732" s="8"/>
      <c r="I732" s="8"/>
      <c r="J732" s="8"/>
      <c r="K732" s="8"/>
      <c r="L732" s="8"/>
      <c r="M732" s="8"/>
      <c r="N732" s="8"/>
      <c r="O732" s="8"/>
      <c r="P732" s="8"/>
      <c r="Q732" s="8"/>
      <c r="R732" s="8"/>
      <c r="S732" s="8"/>
      <c r="T732" s="8"/>
      <c r="U732" s="8"/>
      <c r="V732" s="8"/>
      <c r="W732" s="8"/>
      <c r="X732" s="8"/>
      <c r="Y732" s="8"/>
      <c r="Z732" s="8"/>
    </row>
    <row r="733">
      <c r="A733" s="8"/>
      <c r="B733" s="8"/>
      <c r="C733" s="8"/>
      <c r="D733" s="8"/>
      <c r="E733" s="8"/>
      <c r="F733" s="8"/>
      <c r="G733" s="8"/>
      <c r="H733" s="8"/>
      <c r="I733" s="8"/>
      <c r="J733" s="8"/>
      <c r="K733" s="8"/>
      <c r="L733" s="8"/>
      <c r="M733" s="8"/>
      <c r="N733" s="8"/>
      <c r="O733" s="8"/>
      <c r="P733" s="8"/>
      <c r="Q733" s="8"/>
      <c r="R733" s="8"/>
      <c r="S733" s="8"/>
      <c r="T733" s="8"/>
      <c r="U733" s="8"/>
      <c r="V733" s="8"/>
      <c r="W733" s="8"/>
      <c r="X733" s="8"/>
      <c r="Y733" s="8"/>
      <c r="Z733" s="8"/>
    </row>
    <row r="734">
      <c r="A734" s="8"/>
      <c r="B734" s="8"/>
      <c r="C734" s="8"/>
      <c r="D734" s="8"/>
      <c r="E734" s="8"/>
      <c r="F734" s="8"/>
      <c r="G734" s="8"/>
      <c r="H734" s="8"/>
      <c r="I734" s="8"/>
      <c r="J734" s="8"/>
      <c r="K734" s="8"/>
      <c r="L734" s="8"/>
      <c r="M734" s="8"/>
      <c r="N734" s="8"/>
      <c r="O734" s="8"/>
      <c r="P734" s="8"/>
      <c r="Q734" s="8"/>
      <c r="R734" s="8"/>
      <c r="S734" s="8"/>
      <c r="T734" s="8"/>
      <c r="U734" s="8"/>
      <c r="V734" s="8"/>
      <c r="W734" s="8"/>
      <c r="X734" s="8"/>
      <c r="Y734" s="8"/>
      <c r="Z734" s="8"/>
    </row>
    <row r="735">
      <c r="A735" s="8"/>
      <c r="B735" s="8"/>
      <c r="C735" s="8"/>
      <c r="D735" s="8"/>
      <c r="E735" s="8"/>
      <c r="F735" s="8"/>
      <c r="G735" s="8"/>
      <c r="H735" s="8"/>
      <c r="I735" s="8"/>
      <c r="J735" s="8"/>
      <c r="K735" s="8"/>
      <c r="L735" s="8"/>
      <c r="M735" s="8"/>
      <c r="N735" s="8"/>
      <c r="O735" s="8"/>
      <c r="P735" s="8"/>
      <c r="Q735" s="8"/>
      <c r="R735" s="8"/>
      <c r="S735" s="8"/>
      <c r="T735" s="8"/>
      <c r="U735" s="8"/>
      <c r="V735" s="8"/>
      <c r="W735" s="8"/>
      <c r="X735" s="8"/>
      <c r="Y735" s="8"/>
      <c r="Z735" s="8"/>
    </row>
    <row r="736">
      <c r="A736" s="8"/>
      <c r="B736" s="8"/>
      <c r="C736" s="8"/>
      <c r="D736" s="8"/>
      <c r="E736" s="8"/>
      <c r="F736" s="8"/>
      <c r="G736" s="8"/>
      <c r="H736" s="8"/>
      <c r="I736" s="8"/>
      <c r="J736" s="8"/>
      <c r="K736" s="8"/>
      <c r="L736" s="8"/>
      <c r="M736" s="8"/>
      <c r="N736" s="8"/>
      <c r="O736" s="8"/>
      <c r="P736" s="8"/>
      <c r="Q736" s="8"/>
      <c r="R736" s="8"/>
      <c r="S736" s="8"/>
      <c r="T736" s="8"/>
      <c r="U736" s="8"/>
      <c r="V736" s="8"/>
      <c r="W736" s="8"/>
      <c r="X736" s="8"/>
      <c r="Y736" s="8"/>
      <c r="Z736" s="8"/>
    </row>
    <row r="737">
      <c r="A737" s="8"/>
      <c r="B737" s="8"/>
      <c r="C737" s="8"/>
      <c r="D737" s="8"/>
      <c r="E737" s="8"/>
      <c r="F737" s="8"/>
      <c r="G737" s="8"/>
      <c r="H737" s="8"/>
      <c r="I737" s="8"/>
      <c r="J737" s="8"/>
      <c r="K737" s="8"/>
      <c r="L737" s="8"/>
      <c r="M737" s="8"/>
      <c r="N737" s="8"/>
      <c r="O737" s="8"/>
      <c r="P737" s="8"/>
      <c r="Q737" s="8"/>
      <c r="R737" s="8"/>
      <c r="S737" s="8"/>
      <c r="T737" s="8"/>
      <c r="U737" s="8"/>
      <c r="V737" s="8"/>
      <c r="W737" s="8"/>
      <c r="X737" s="8"/>
      <c r="Y737" s="8"/>
      <c r="Z737" s="8"/>
    </row>
    <row r="738">
      <c r="A738" s="8"/>
      <c r="B738" s="8"/>
      <c r="C738" s="8"/>
      <c r="D738" s="8"/>
      <c r="E738" s="8"/>
      <c r="F738" s="8"/>
      <c r="G738" s="8"/>
      <c r="H738" s="8"/>
      <c r="I738" s="8"/>
      <c r="J738" s="8"/>
      <c r="K738" s="8"/>
      <c r="L738" s="8"/>
      <c r="M738" s="8"/>
      <c r="N738" s="8"/>
      <c r="O738" s="8"/>
      <c r="P738" s="8"/>
      <c r="Q738" s="8"/>
      <c r="R738" s="8"/>
      <c r="S738" s="8"/>
      <c r="T738" s="8"/>
      <c r="U738" s="8"/>
      <c r="V738" s="8"/>
      <c r="W738" s="8"/>
      <c r="X738" s="8"/>
      <c r="Y738" s="8"/>
      <c r="Z738" s="8"/>
    </row>
    <row r="739">
      <c r="A739" s="8"/>
      <c r="B739" s="8"/>
      <c r="C739" s="8"/>
      <c r="D739" s="8"/>
      <c r="E739" s="8"/>
      <c r="F739" s="8"/>
      <c r="G739" s="8"/>
      <c r="H739" s="8"/>
      <c r="I739" s="8"/>
      <c r="J739" s="8"/>
      <c r="K739" s="8"/>
      <c r="L739" s="8"/>
      <c r="M739" s="8"/>
      <c r="N739" s="8"/>
      <c r="O739" s="8"/>
      <c r="P739" s="8"/>
      <c r="Q739" s="8"/>
      <c r="R739" s="8"/>
      <c r="S739" s="8"/>
      <c r="T739" s="8"/>
      <c r="U739" s="8"/>
      <c r="V739" s="8"/>
      <c r="W739" s="8"/>
      <c r="X739" s="8"/>
      <c r="Y739" s="8"/>
      <c r="Z739" s="8"/>
    </row>
    <row r="740">
      <c r="A740" s="8"/>
      <c r="B740" s="8"/>
      <c r="C740" s="8"/>
      <c r="D740" s="8"/>
      <c r="E740" s="8"/>
      <c r="F740" s="8"/>
      <c r="G740" s="8"/>
      <c r="H740" s="8"/>
      <c r="I740" s="8"/>
      <c r="J740" s="8"/>
      <c r="K740" s="8"/>
      <c r="L740" s="8"/>
      <c r="M740" s="8"/>
      <c r="N740" s="8"/>
      <c r="O740" s="8"/>
      <c r="P740" s="8"/>
      <c r="Q740" s="8"/>
      <c r="R740" s="8"/>
      <c r="S740" s="8"/>
      <c r="T740" s="8"/>
      <c r="U740" s="8"/>
      <c r="V740" s="8"/>
      <c r="W740" s="8"/>
      <c r="X740" s="8"/>
      <c r="Y740" s="8"/>
      <c r="Z740" s="8"/>
    </row>
    <row r="741">
      <c r="A741" s="8"/>
      <c r="B741" s="8"/>
      <c r="C741" s="8"/>
      <c r="D741" s="8"/>
      <c r="E741" s="8"/>
      <c r="F741" s="8"/>
      <c r="G741" s="8"/>
      <c r="H741" s="8"/>
      <c r="I741" s="8"/>
      <c r="J741" s="8"/>
      <c r="K741" s="8"/>
      <c r="L741" s="8"/>
      <c r="M741" s="8"/>
      <c r="N741" s="8"/>
      <c r="O741" s="8"/>
      <c r="P741" s="8"/>
      <c r="Q741" s="8"/>
      <c r="R741" s="8"/>
      <c r="S741" s="8"/>
      <c r="T741" s="8"/>
      <c r="U741" s="8"/>
      <c r="V741" s="8"/>
      <c r="W741" s="8"/>
      <c r="X741" s="8"/>
      <c r="Y741" s="8"/>
      <c r="Z741" s="8"/>
    </row>
    <row r="742">
      <c r="A742" s="8"/>
      <c r="B742" s="8"/>
      <c r="C742" s="8"/>
      <c r="D742" s="8"/>
      <c r="E742" s="8"/>
      <c r="F742" s="8"/>
      <c r="G742" s="8"/>
      <c r="H742" s="8"/>
      <c r="I742" s="8"/>
      <c r="J742" s="8"/>
      <c r="K742" s="8"/>
      <c r="L742" s="8"/>
      <c r="M742" s="8"/>
      <c r="N742" s="8"/>
      <c r="O742" s="8"/>
      <c r="P742" s="8"/>
      <c r="Q742" s="8"/>
      <c r="R742" s="8"/>
      <c r="S742" s="8"/>
      <c r="T742" s="8"/>
      <c r="U742" s="8"/>
      <c r="V742" s="8"/>
      <c r="W742" s="8"/>
      <c r="X742" s="8"/>
      <c r="Y742" s="8"/>
      <c r="Z742" s="8"/>
    </row>
    <row r="743">
      <c r="A743" s="8"/>
      <c r="B743" s="8"/>
      <c r="C743" s="8"/>
      <c r="D743" s="8"/>
      <c r="E743" s="8"/>
      <c r="F743" s="8"/>
      <c r="G743" s="8"/>
      <c r="H743" s="8"/>
      <c r="I743" s="8"/>
      <c r="J743" s="8"/>
      <c r="K743" s="8"/>
      <c r="L743" s="8"/>
      <c r="M743" s="8"/>
      <c r="N743" s="8"/>
      <c r="O743" s="8"/>
      <c r="P743" s="8"/>
      <c r="Q743" s="8"/>
      <c r="R743" s="8"/>
      <c r="S743" s="8"/>
      <c r="T743" s="8"/>
      <c r="U743" s="8"/>
      <c r="V743" s="8"/>
      <c r="W743" s="8"/>
      <c r="X743" s="8"/>
      <c r="Y743" s="8"/>
      <c r="Z743" s="8"/>
    </row>
    <row r="744">
      <c r="A744" s="8"/>
      <c r="B744" s="8"/>
      <c r="C744" s="8"/>
      <c r="D744" s="8"/>
      <c r="E744" s="8"/>
      <c r="F744" s="8"/>
      <c r="G744" s="8"/>
      <c r="H744" s="8"/>
      <c r="I744" s="8"/>
      <c r="J744" s="8"/>
      <c r="K744" s="8"/>
      <c r="L744" s="8"/>
      <c r="M744" s="8"/>
      <c r="N744" s="8"/>
      <c r="O744" s="8"/>
      <c r="P744" s="8"/>
      <c r="Q744" s="8"/>
      <c r="R744" s="8"/>
      <c r="S744" s="8"/>
      <c r="T744" s="8"/>
      <c r="U744" s="8"/>
      <c r="V744" s="8"/>
      <c r="W744" s="8"/>
      <c r="X744" s="8"/>
      <c r="Y744" s="8"/>
      <c r="Z744" s="8"/>
    </row>
    <row r="745">
      <c r="A745" s="8"/>
      <c r="B745" s="8"/>
      <c r="C745" s="8"/>
      <c r="D745" s="8"/>
      <c r="E745" s="8"/>
      <c r="F745" s="8"/>
      <c r="G745" s="8"/>
      <c r="H745" s="8"/>
      <c r="I745" s="8"/>
      <c r="J745" s="8"/>
      <c r="K745" s="8"/>
      <c r="L745" s="8"/>
      <c r="M745" s="8"/>
      <c r="N745" s="8"/>
      <c r="O745" s="8"/>
      <c r="P745" s="8"/>
      <c r="Q745" s="8"/>
      <c r="R745" s="8"/>
      <c r="S745" s="8"/>
      <c r="T745" s="8"/>
      <c r="U745" s="8"/>
      <c r="V745" s="8"/>
      <c r="W745" s="8"/>
      <c r="X745" s="8"/>
      <c r="Y745" s="8"/>
      <c r="Z745" s="8"/>
    </row>
    <row r="746">
      <c r="A746" s="8"/>
      <c r="B746" s="8"/>
      <c r="C746" s="8"/>
      <c r="D746" s="8"/>
      <c r="E746" s="8"/>
      <c r="F746" s="8"/>
      <c r="G746" s="8"/>
      <c r="H746" s="8"/>
      <c r="I746" s="8"/>
      <c r="J746" s="8"/>
      <c r="K746" s="8"/>
      <c r="L746" s="8"/>
      <c r="M746" s="8"/>
      <c r="N746" s="8"/>
      <c r="O746" s="8"/>
      <c r="P746" s="8"/>
      <c r="Q746" s="8"/>
      <c r="R746" s="8"/>
      <c r="S746" s="8"/>
      <c r="T746" s="8"/>
      <c r="U746" s="8"/>
      <c r="V746" s="8"/>
      <c r="W746" s="8"/>
      <c r="X746" s="8"/>
      <c r="Y746" s="8"/>
      <c r="Z746" s="8"/>
    </row>
    <row r="747">
      <c r="A747" s="8"/>
      <c r="B747" s="8"/>
      <c r="C747" s="8"/>
      <c r="D747" s="8"/>
      <c r="E747" s="8"/>
      <c r="F747" s="8"/>
      <c r="G747" s="8"/>
      <c r="H747" s="8"/>
      <c r="I747" s="8"/>
      <c r="J747" s="8"/>
      <c r="K747" s="8"/>
      <c r="L747" s="8"/>
      <c r="M747" s="8"/>
      <c r="N747" s="8"/>
      <c r="O747" s="8"/>
      <c r="P747" s="8"/>
      <c r="Q747" s="8"/>
      <c r="R747" s="8"/>
      <c r="S747" s="8"/>
      <c r="T747" s="8"/>
      <c r="U747" s="8"/>
      <c r="V747" s="8"/>
      <c r="W747" s="8"/>
      <c r="X747" s="8"/>
      <c r="Y747" s="8"/>
      <c r="Z747" s="8"/>
    </row>
    <row r="748">
      <c r="A748" s="8"/>
      <c r="B748" s="8"/>
      <c r="C748" s="8"/>
      <c r="D748" s="8"/>
      <c r="E748" s="8"/>
      <c r="F748" s="8"/>
      <c r="G748" s="8"/>
      <c r="H748" s="8"/>
      <c r="I748" s="8"/>
      <c r="J748" s="8"/>
      <c r="K748" s="8"/>
      <c r="L748" s="8"/>
      <c r="M748" s="8"/>
      <c r="N748" s="8"/>
      <c r="O748" s="8"/>
      <c r="P748" s="8"/>
      <c r="Q748" s="8"/>
      <c r="R748" s="8"/>
      <c r="S748" s="8"/>
      <c r="T748" s="8"/>
      <c r="U748" s="8"/>
      <c r="V748" s="8"/>
      <c r="W748" s="8"/>
      <c r="X748" s="8"/>
      <c r="Y748" s="8"/>
      <c r="Z748" s="8"/>
    </row>
    <row r="749">
      <c r="A749" s="8"/>
      <c r="B749" s="8"/>
      <c r="C749" s="8"/>
      <c r="D749" s="8"/>
      <c r="E749" s="8"/>
      <c r="F749" s="8"/>
      <c r="G749" s="8"/>
      <c r="H749" s="8"/>
      <c r="I749" s="8"/>
      <c r="J749" s="8"/>
      <c r="K749" s="8"/>
      <c r="L749" s="8"/>
      <c r="M749" s="8"/>
      <c r="N749" s="8"/>
      <c r="O749" s="8"/>
      <c r="P749" s="8"/>
      <c r="Q749" s="8"/>
      <c r="R749" s="8"/>
      <c r="S749" s="8"/>
      <c r="T749" s="8"/>
      <c r="U749" s="8"/>
      <c r="V749" s="8"/>
      <c r="W749" s="8"/>
      <c r="X749" s="8"/>
      <c r="Y749" s="8"/>
      <c r="Z749" s="8"/>
    </row>
    <row r="750">
      <c r="A750" s="8"/>
      <c r="B750" s="8"/>
      <c r="C750" s="8"/>
      <c r="D750" s="8"/>
      <c r="E750" s="8"/>
      <c r="F750" s="8"/>
      <c r="G750" s="8"/>
      <c r="H750" s="8"/>
      <c r="I750" s="8"/>
      <c r="J750" s="8"/>
      <c r="K750" s="8"/>
      <c r="L750" s="8"/>
      <c r="M750" s="8"/>
      <c r="N750" s="8"/>
      <c r="O750" s="8"/>
      <c r="P750" s="8"/>
      <c r="Q750" s="8"/>
      <c r="R750" s="8"/>
      <c r="S750" s="8"/>
      <c r="T750" s="8"/>
      <c r="U750" s="8"/>
      <c r="V750" s="8"/>
      <c r="W750" s="8"/>
      <c r="X750" s="8"/>
      <c r="Y750" s="8"/>
      <c r="Z750" s="8"/>
    </row>
    <row r="751">
      <c r="A751" s="8"/>
      <c r="B751" s="8"/>
      <c r="C751" s="8"/>
      <c r="D751" s="8"/>
      <c r="E751" s="8"/>
      <c r="F751" s="8"/>
      <c r="G751" s="8"/>
      <c r="H751" s="8"/>
      <c r="I751" s="8"/>
      <c r="J751" s="8"/>
      <c r="K751" s="8"/>
      <c r="L751" s="8"/>
      <c r="M751" s="8"/>
      <c r="N751" s="8"/>
      <c r="O751" s="8"/>
      <c r="P751" s="8"/>
      <c r="Q751" s="8"/>
      <c r="R751" s="8"/>
      <c r="S751" s="8"/>
      <c r="T751" s="8"/>
      <c r="U751" s="8"/>
      <c r="V751" s="8"/>
      <c r="W751" s="8"/>
      <c r="X751" s="8"/>
      <c r="Y751" s="8"/>
      <c r="Z751" s="8"/>
    </row>
    <row r="752">
      <c r="A752" s="8"/>
      <c r="B752" s="8"/>
      <c r="C752" s="8"/>
      <c r="D752" s="8"/>
      <c r="E752" s="8"/>
      <c r="F752" s="8"/>
      <c r="G752" s="8"/>
      <c r="H752" s="8"/>
      <c r="I752" s="8"/>
      <c r="J752" s="8"/>
      <c r="K752" s="8"/>
      <c r="L752" s="8"/>
      <c r="M752" s="8"/>
      <c r="N752" s="8"/>
      <c r="O752" s="8"/>
      <c r="P752" s="8"/>
      <c r="Q752" s="8"/>
      <c r="R752" s="8"/>
      <c r="S752" s="8"/>
      <c r="T752" s="8"/>
      <c r="U752" s="8"/>
      <c r="V752" s="8"/>
      <c r="W752" s="8"/>
      <c r="X752" s="8"/>
      <c r="Y752" s="8"/>
      <c r="Z752" s="8"/>
    </row>
    <row r="753">
      <c r="A753" s="8"/>
      <c r="B753" s="8"/>
      <c r="C753" s="8"/>
      <c r="D753" s="8"/>
      <c r="E753" s="8"/>
      <c r="F753" s="8"/>
      <c r="G753" s="8"/>
      <c r="H753" s="8"/>
      <c r="I753" s="8"/>
      <c r="J753" s="8"/>
      <c r="K753" s="8"/>
      <c r="L753" s="8"/>
      <c r="M753" s="8"/>
      <c r="N753" s="8"/>
      <c r="O753" s="8"/>
      <c r="P753" s="8"/>
      <c r="Q753" s="8"/>
      <c r="R753" s="8"/>
      <c r="S753" s="8"/>
      <c r="T753" s="8"/>
      <c r="U753" s="8"/>
      <c r="V753" s="8"/>
      <c r="W753" s="8"/>
      <c r="X753" s="8"/>
      <c r="Y753" s="8"/>
      <c r="Z753" s="8"/>
    </row>
    <row r="754">
      <c r="A754" s="8"/>
      <c r="B754" s="8"/>
      <c r="C754" s="8"/>
      <c r="D754" s="8"/>
      <c r="E754" s="8"/>
      <c r="F754" s="8"/>
      <c r="G754" s="8"/>
      <c r="H754" s="8"/>
      <c r="I754" s="8"/>
      <c r="J754" s="8"/>
      <c r="K754" s="8"/>
      <c r="L754" s="8"/>
      <c r="M754" s="8"/>
      <c r="N754" s="8"/>
      <c r="O754" s="8"/>
      <c r="P754" s="8"/>
      <c r="Q754" s="8"/>
      <c r="R754" s="8"/>
      <c r="S754" s="8"/>
      <c r="T754" s="8"/>
      <c r="U754" s="8"/>
      <c r="V754" s="8"/>
      <c r="W754" s="8"/>
      <c r="X754" s="8"/>
      <c r="Y754" s="8"/>
      <c r="Z754" s="8"/>
    </row>
    <row r="755">
      <c r="A755" s="8"/>
      <c r="B755" s="8"/>
      <c r="C755" s="8"/>
      <c r="D755" s="8"/>
      <c r="E755" s="8"/>
      <c r="F755" s="8"/>
      <c r="G755" s="8"/>
      <c r="H755" s="8"/>
      <c r="I755" s="8"/>
      <c r="J755" s="8"/>
      <c r="K755" s="8"/>
      <c r="L755" s="8"/>
      <c r="M755" s="8"/>
      <c r="N755" s="8"/>
      <c r="O755" s="8"/>
      <c r="P755" s="8"/>
      <c r="Q755" s="8"/>
      <c r="R755" s="8"/>
      <c r="S755" s="8"/>
      <c r="T755" s="8"/>
      <c r="U755" s="8"/>
      <c r="V755" s="8"/>
      <c r="W755" s="8"/>
      <c r="X755" s="8"/>
      <c r="Y755" s="8"/>
      <c r="Z755" s="8"/>
    </row>
    <row r="756">
      <c r="A756" s="8"/>
      <c r="B756" s="8"/>
      <c r="C756" s="8"/>
      <c r="D756" s="8"/>
      <c r="E756" s="8"/>
      <c r="F756" s="8"/>
      <c r="G756" s="8"/>
      <c r="H756" s="8"/>
      <c r="I756" s="8"/>
      <c r="J756" s="8"/>
      <c r="K756" s="8"/>
      <c r="L756" s="8"/>
      <c r="M756" s="8"/>
      <c r="N756" s="8"/>
      <c r="O756" s="8"/>
      <c r="P756" s="8"/>
      <c r="Q756" s="8"/>
      <c r="R756" s="8"/>
      <c r="S756" s="8"/>
      <c r="T756" s="8"/>
      <c r="U756" s="8"/>
      <c r="V756" s="8"/>
      <c r="W756" s="8"/>
      <c r="X756" s="8"/>
      <c r="Y756" s="8"/>
      <c r="Z756" s="8"/>
    </row>
    <row r="757">
      <c r="A757" s="8"/>
      <c r="B757" s="8"/>
      <c r="C757" s="8"/>
      <c r="D757" s="8"/>
      <c r="E757" s="8"/>
      <c r="F757" s="8"/>
      <c r="G757" s="8"/>
      <c r="H757" s="8"/>
      <c r="I757" s="8"/>
      <c r="J757" s="8"/>
      <c r="K757" s="8"/>
      <c r="L757" s="8"/>
      <c r="M757" s="8"/>
      <c r="N757" s="8"/>
      <c r="O757" s="8"/>
      <c r="P757" s="8"/>
      <c r="Q757" s="8"/>
      <c r="R757" s="8"/>
      <c r="S757" s="8"/>
      <c r="T757" s="8"/>
      <c r="U757" s="8"/>
      <c r="V757" s="8"/>
      <c r="W757" s="8"/>
      <c r="X757" s="8"/>
      <c r="Y757" s="8"/>
      <c r="Z757" s="8"/>
    </row>
    <row r="758">
      <c r="A758" s="8"/>
      <c r="B758" s="8"/>
      <c r="C758" s="8"/>
      <c r="D758" s="8"/>
      <c r="E758" s="8"/>
      <c r="F758" s="8"/>
      <c r="G758" s="8"/>
      <c r="H758" s="8"/>
      <c r="I758" s="8"/>
      <c r="J758" s="8"/>
      <c r="K758" s="8"/>
      <c r="L758" s="8"/>
      <c r="M758" s="8"/>
      <c r="N758" s="8"/>
      <c r="O758" s="8"/>
      <c r="P758" s="8"/>
      <c r="Q758" s="8"/>
      <c r="R758" s="8"/>
      <c r="S758" s="8"/>
      <c r="T758" s="8"/>
      <c r="U758" s="8"/>
      <c r="V758" s="8"/>
      <c r="W758" s="8"/>
      <c r="X758" s="8"/>
      <c r="Y758" s="8"/>
      <c r="Z758" s="8"/>
    </row>
    <row r="759">
      <c r="A759" s="8"/>
      <c r="B759" s="8"/>
      <c r="C759" s="8"/>
      <c r="D759" s="8"/>
      <c r="E759" s="8"/>
      <c r="F759" s="8"/>
      <c r="G759" s="8"/>
      <c r="H759" s="8"/>
      <c r="I759" s="8"/>
      <c r="J759" s="8"/>
      <c r="K759" s="8"/>
      <c r="L759" s="8"/>
      <c r="M759" s="8"/>
      <c r="N759" s="8"/>
      <c r="O759" s="8"/>
      <c r="P759" s="8"/>
      <c r="Q759" s="8"/>
      <c r="R759" s="8"/>
      <c r="S759" s="8"/>
      <c r="T759" s="8"/>
      <c r="U759" s="8"/>
      <c r="V759" s="8"/>
      <c r="W759" s="8"/>
      <c r="X759" s="8"/>
      <c r="Y759" s="8"/>
      <c r="Z759" s="8"/>
    </row>
    <row r="760">
      <c r="A760" s="8"/>
      <c r="B760" s="8"/>
      <c r="C760" s="8"/>
      <c r="D760" s="8"/>
      <c r="E760" s="8"/>
      <c r="F760" s="8"/>
      <c r="G760" s="8"/>
      <c r="H760" s="8"/>
      <c r="I760" s="8"/>
      <c r="J760" s="8"/>
      <c r="K760" s="8"/>
      <c r="L760" s="8"/>
      <c r="M760" s="8"/>
      <c r="N760" s="8"/>
      <c r="O760" s="8"/>
      <c r="P760" s="8"/>
      <c r="Q760" s="8"/>
      <c r="R760" s="8"/>
      <c r="S760" s="8"/>
      <c r="T760" s="8"/>
      <c r="U760" s="8"/>
      <c r="V760" s="8"/>
      <c r="W760" s="8"/>
      <c r="X760" s="8"/>
      <c r="Y760" s="8"/>
      <c r="Z760" s="8"/>
    </row>
    <row r="761">
      <c r="A761" s="8"/>
      <c r="B761" s="8"/>
      <c r="C761" s="8"/>
      <c r="D761" s="8"/>
      <c r="E761" s="8"/>
      <c r="F761" s="8"/>
      <c r="G761" s="8"/>
      <c r="H761" s="8"/>
      <c r="I761" s="8"/>
      <c r="J761" s="8"/>
      <c r="K761" s="8"/>
      <c r="L761" s="8"/>
      <c r="M761" s="8"/>
      <c r="N761" s="8"/>
      <c r="O761" s="8"/>
      <c r="P761" s="8"/>
      <c r="Q761" s="8"/>
      <c r="R761" s="8"/>
      <c r="S761" s="8"/>
      <c r="T761" s="8"/>
      <c r="U761" s="8"/>
      <c r="V761" s="8"/>
      <c r="W761" s="8"/>
      <c r="X761" s="8"/>
      <c r="Y761" s="8"/>
      <c r="Z761" s="8"/>
    </row>
    <row r="762">
      <c r="A762" s="8"/>
      <c r="B762" s="8"/>
      <c r="C762" s="8"/>
      <c r="D762" s="8"/>
      <c r="E762" s="8"/>
      <c r="F762" s="8"/>
      <c r="G762" s="8"/>
      <c r="H762" s="8"/>
      <c r="I762" s="8"/>
      <c r="J762" s="8"/>
      <c r="K762" s="8"/>
      <c r="L762" s="8"/>
      <c r="M762" s="8"/>
      <c r="N762" s="8"/>
      <c r="O762" s="8"/>
      <c r="P762" s="8"/>
      <c r="Q762" s="8"/>
      <c r="R762" s="8"/>
      <c r="S762" s="8"/>
      <c r="T762" s="8"/>
      <c r="U762" s="8"/>
      <c r="V762" s="8"/>
      <c r="W762" s="8"/>
      <c r="X762" s="8"/>
      <c r="Y762" s="8"/>
      <c r="Z762" s="8"/>
    </row>
    <row r="763">
      <c r="A763" s="8"/>
      <c r="B763" s="8"/>
      <c r="C763" s="8"/>
      <c r="D763" s="8"/>
      <c r="E763" s="8"/>
      <c r="F763" s="8"/>
      <c r="G763" s="8"/>
      <c r="H763" s="8"/>
      <c r="I763" s="8"/>
      <c r="J763" s="8"/>
      <c r="K763" s="8"/>
      <c r="L763" s="8"/>
      <c r="M763" s="8"/>
      <c r="N763" s="8"/>
      <c r="O763" s="8"/>
      <c r="P763" s="8"/>
      <c r="Q763" s="8"/>
      <c r="R763" s="8"/>
      <c r="S763" s="8"/>
      <c r="T763" s="8"/>
      <c r="U763" s="8"/>
      <c r="V763" s="8"/>
      <c r="W763" s="8"/>
      <c r="X763" s="8"/>
      <c r="Y763" s="8"/>
      <c r="Z763" s="8"/>
    </row>
    <row r="764">
      <c r="A764" s="8"/>
      <c r="B764" s="8"/>
      <c r="C764" s="8"/>
      <c r="D764" s="8"/>
      <c r="E764" s="8"/>
      <c r="F764" s="8"/>
      <c r="G764" s="8"/>
      <c r="H764" s="8"/>
      <c r="I764" s="8"/>
      <c r="J764" s="8"/>
      <c r="K764" s="8"/>
      <c r="L764" s="8"/>
      <c r="M764" s="8"/>
      <c r="N764" s="8"/>
      <c r="O764" s="8"/>
      <c r="P764" s="8"/>
      <c r="Q764" s="8"/>
      <c r="R764" s="8"/>
      <c r="S764" s="8"/>
      <c r="T764" s="8"/>
      <c r="U764" s="8"/>
      <c r="V764" s="8"/>
      <c r="W764" s="8"/>
      <c r="X764" s="8"/>
      <c r="Y764" s="8"/>
      <c r="Z764" s="8"/>
    </row>
    <row r="765">
      <c r="A765" s="8"/>
      <c r="B765" s="8"/>
      <c r="C765" s="8"/>
      <c r="D765" s="8"/>
      <c r="E765" s="8"/>
      <c r="F765" s="8"/>
      <c r="G765" s="8"/>
      <c r="H765" s="8"/>
      <c r="I765" s="8"/>
      <c r="J765" s="8"/>
      <c r="K765" s="8"/>
      <c r="L765" s="8"/>
      <c r="M765" s="8"/>
      <c r="N765" s="8"/>
      <c r="O765" s="8"/>
      <c r="P765" s="8"/>
      <c r="Q765" s="8"/>
      <c r="R765" s="8"/>
      <c r="S765" s="8"/>
      <c r="T765" s="8"/>
      <c r="U765" s="8"/>
      <c r="V765" s="8"/>
      <c r="W765" s="8"/>
      <c r="X765" s="8"/>
      <c r="Y765" s="8"/>
      <c r="Z765" s="8"/>
    </row>
    <row r="766">
      <c r="A766" s="8"/>
      <c r="B766" s="8"/>
      <c r="C766" s="8"/>
      <c r="D766" s="8"/>
      <c r="E766" s="8"/>
      <c r="F766" s="8"/>
      <c r="G766" s="8"/>
      <c r="H766" s="8"/>
      <c r="I766" s="8"/>
      <c r="J766" s="8"/>
      <c r="K766" s="8"/>
      <c r="L766" s="8"/>
      <c r="M766" s="8"/>
      <c r="N766" s="8"/>
      <c r="O766" s="8"/>
      <c r="P766" s="8"/>
      <c r="Q766" s="8"/>
      <c r="R766" s="8"/>
      <c r="S766" s="8"/>
      <c r="T766" s="8"/>
      <c r="U766" s="8"/>
      <c r="V766" s="8"/>
      <c r="W766" s="8"/>
      <c r="X766" s="8"/>
      <c r="Y766" s="8"/>
      <c r="Z766" s="8"/>
    </row>
    <row r="767">
      <c r="A767" s="8"/>
      <c r="B767" s="8"/>
      <c r="C767" s="8"/>
      <c r="D767" s="8"/>
      <c r="E767" s="8"/>
      <c r="F767" s="8"/>
      <c r="G767" s="8"/>
      <c r="H767" s="8"/>
      <c r="I767" s="8"/>
      <c r="J767" s="8"/>
      <c r="K767" s="8"/>
      <c r="L767" s="8"/>
      <c r="M767" s="8"/>
      <c r="N767" s="8"/>
      <c r="O767" s="8"/>
      <c r="P767" s="8"/>
      <c r="Q767" s="8"/>
      <c r="R767" s="8"/>
      <c r="S767" s="8"/>
      <c r="T767" s="8"/>
      <c r="U767" s="8"/>
      <c r="V767" s="8"/>
      <c r="W767" s="8"/>
      <c r="X767" s="8"/>
      <c r="Y767" s="8"/>
      <c r="Z767" s="8"/>
    </row>
    <row r="768">
      <c r="A768" s="8"/>
      <c r="B768" s="8"/>
      <c r="C768" s="8"/>
      <c r="D768" s="8"/>
      <c r="E768" s="8"/>
      <c r="F768" s="8"/>
      <c r="G768" s="8"/>
      <c r="H768" s="8"/>
      <c r="I768" s="8"/>
      <c r="J768" s="8"/>
      <c r="K768" s="8"/>
      <c r="L768" s="8"/>
      <c r="M768" s="8"/>
      <c r="N768" s="8"/>
      <c r="O768" s="8"/>
      <c r="P768" s="8"/>
      <c r="Q768" s="8"/>
      <c r="R768" s="8"/>
      <c r="S768" s="8"/>
      <c r="T768" s="8"/>
      <c r="U768" s="8"/>
      <c r="V768" s="8"/>
      <c r="W768" s="8"/>
      <c r="X768" s="8"/>
      <c r="Y768" s="8"/>
      <c r="Z768" s="8"/>
    </row>
    <row r="769">
      <c r="A769" s="8"/>
      <c r="B769" s="8"/>
      <c r="C769" s="8"/>
      <c r="D769" s="8"/>
      <c r="E769" s="8"/>
      <c r="F769" s="8"/>
      <c r="G769" s="8"/>
      <c r="H769" s="8"/>
      <c r="I769" s="8"/>
      <c r="J769" s="8"/>
      <c r="K769" s="8"/>
      <c r="L769" s="8"/>
      <c r="M769" s="8"/>
      <c r="N769" s="8"/>
      <c r="O769" s="8"/>
      <c r="P769" s="8"/>
      <c r="Q769" s="8"/>
      <c r="R769" s="8"/>
      <c r="S769" s="8"/>
      <c r="T769" s="8"/>
      <c r="U769" s="8"/>
      <c r="V769" s="8"/>
      <c r="W769" s="8"/>
      <c r="X769" s="8"/>
      <c r="Y769" s="8"/>
      <c r="Z769" s="8"/>
    </row>
    <row r="770">
      <c r="A770" s="8"/>
      <c r="B770" s="8"/>
      <c r="C770" s="8"/>
      <c r="D770" s="8"/>
      <c r="E770" s="8"/>
      <c r="F770" s="8"/>
      <c r="G770" s="8"/>
      <c r="H770" s="8"/>
      <c r="I770" s="8"/>
      <c r="J770" s="8"/>
      <c r="K770" s="8"/>
      <c r="L770" s="8"/>
      <c r="M770" s="8"/>
      <c r="N770" s="8"/>
      <c r="O770" s="8"/>
      <c r="P770" s="8"/>
      <c r="Q770" s="8"/>
      <c r="R770" s="8"/>
      <c r="S770" s="8"/>
      <c r="T770" s="8"/>
      <c r="U770" s="8"/>
      <c r="V770" s="8"/>
      <c r="W770" s="8"/>
      <c r="X770" s="8"/>
      <c r="Y770" s="8"/>
      <c r="Z770" s="8"/>
    </row>
    <row r="771">
      <c r="A771" s="8"/>
      <c r="B771" s="8"/>
      <c r="C771" s="8"/>
      <c r="D771" s="8"/>
      <c r="E771" s="8"/>
      <c r="F771" s="8"/>
      <c r="G771" s="8"/>
      <c r="H771" s="8"/>
      <c r="I771" s="8"/>
      <c r="J771" s="8"/>
      <c r="K771" s="8"/>
      <c r="L771" s="8"/>
      <c r="M771" s="8"/>
      <c r="N771" s="8"/>
      <c r="O771" s="8"/>
      <c r="P771" s="8"/>
      <c r="Q771" s="8"/>
      <c r="R771" s="8"/>
      <c r="S771" s="8"/>
      <c r="T771" s="8"/>
      <c r="U771" s="8"/>
      <c r="V771" s="8"/>
      <c r="W771" s="8"/>
      <c r="X771" s="8"/>
      <c r="Y771" s="8"/>
      <c r="Z771" s="8"/>
    </row>
    <row r="772">
      <c r="A772" s="8"/>
      <c r="B772" s="8"/>
      <c r="C772" s="8"/>
      <c r="D772" s="8"/>
      <c r="E772" s="8"/>
      <c r="F772" s="8"/>
      <c r="G772" s="8"/>
      <c r="H772" s="8"/>
      <c r="I772" s="8"/>
      <c r="J772" s="8"/>
      <c r="K772" s="8"/>
      <c r="L772" s="8"/>
      <c r="M772" s="8"/>
      <c r="N772" s="8"/>
      <c r="O772" s="8"/>
      <c r="P772" s="8"/>
      <c r="Q772" s="8"/>
      <c r="R772" s="8"/>
      <c r="S772" s="8"/>
      <c r="T772" s="8"/>
      <c r="U772" s="8"/>
      <c r="V772" s="8"/>
      <c r="W772" s="8"/>
      <c r="X772" s="8"/>
      <c r="Y772" s="8"/>
      <c r="Z772" s="8"/>
    </row>
    <row r="773">
      <c r="A773" s="8"/>
      <c r="B773" s="8"/>
      <c r="C773" s="8"/>
      <c r="D773" s="8"/>
      <c r="E773" s="8"/>
      <c r="F773" s="8"/>
      <c r="G773" s="8"/>
      <c r="H773" s="8"/>
      <c r="I773" s="8"/>
      <c r="J773" s="8"/>
      <c r="K773" s="8"/>
      <c r="L773" s="8"/>
      <c r="M773" s="8"/>
      <c r="N773" s="8"/>
      <c r="O773" s="8"/>
      <c r="P773" s="8"/>
      <c r="Q773" s="8"/>
      <c r="R773" s="8"/>
      <c r="S773" s="8"/>
      <c r="T773" s="8"/>
      <c r="U773" s="8"/>
      <c r="V773" s="8"/>
      <c r="W773" s="8"/>
      <c r="X773" s="8"/>
      <c r="Y773" s="8"/>
      <c r="Z773" s="8"/>
    </row>
    <row r="774">
      <c r="A774" s="8"/>
      <c r="B774" s="8"/>
      <c r="C774" s="8"/>
      <c r="D774" s="8"/>
      <c r="E774" s="8"/>
      <c r="F774" s="8"/>
      <c r="G774" s="8"/>
      <c r="H774" s="8"/>
      <c r="I774" s="8"/>
      <c r="J774" s="8"/>
      <c r="K774" s="8"/>
      <c r="L774" s="8"/>
      <c r="M774" s="8"/>
      <c r="N774" s="8"/>
      <c r="O774" s="8"/>
      <c r="P774" s="8"/>
      <c r="Q774" s="8"/>
      <c r="R774" s="8"/>
      <c r="S774" s="8"/>
      <c r="T774" s="8"/>
      <c r="U774" s="8"/>
      <c r="V774" s="8"/>
      <c r="W774" s="8"/>
      <c r="X774" s="8"/>
      <c r="Y774" s="8"/>
      <c r="Z774" s="8"/>
    </row>
    <row r="775">
      <c r="A775" s="8"/>
      <c r="B775" s="8"/>
      <c r="C775" s="8"/>
      <c r="D775" s="8"/>
      <c r="E775" s="8"/>
      <c r="F775" s="8"/>
      <c r="G775" s="8"/>
      <c r="H775" s="8"/>
      <c r="I775" s="8"/>
      <c r="J775" s="8"/>
      <c r="K775" s="8"/>
      <c r="L775" s="8"/>
      <c r="M775" s="8"/>
      <c r="N775" s="8"/>
      <c r="O775" s="8"/>
      <c r="P775" s="8"/>
      <c r="Q775" s="8"/>
      <c r="R775" s="8"/>
      <c r="S775" s="8"/>
      <c r="T775" s="8"/>
      <c r="U775" s="8"/>
      <c r="V775" s="8"/>
      <c r="W775" s="8"/>
      <c r="X775" s="8"/>
      <c r="Y775" s="8"/>
      <c r="Z775" s="8"/>
    </row>
    <row r="776">
      <c r="A776" s="8"/>
      <c r="B776" s="8"/>
      <c r="C776" s="8"/>
      <c r="D776" s="8"/>
      <c r="E776" s="8"/>
      <c r="F776" s="8"/>
      <c r="G776" s="8"/>
      <c r="H776" s="8"/>
      <c r="I776" s="8"/>
      <c r="J776" s="8"/>
      <c r="K776" s="8"/>
      <c r="L776" s="8"/>
      <c r="M776" s="8"/>
      <c r="N776" s="8"/>
      <c r="O776" s="8"/>
      <c r="P776" s="8"/>
      <c r="Q776" s="8"/>
      <c r="R776" s="8"/>
      <c r="S776" s="8"/>
      <c r="T776" s="8"/>
      <c r="U776" s="8"/>
      <c r="V776" s="8"/>
      <c r="W776" s="8"/>
      <c r="X776" s="8"/>
      <c r="Y776" s="8"/>
      <c r="Z776" s="8"/>
    </row>
    <row r="777">
      <c r="A777" s="8"/>
      <c r="B777" s="8"/>
      <c r="C777" s="8"/>
      <c r="D777" s="8"/>
      <c r="E777" s="8"/>
      <c r="F777" s="8"/>
      <c r="G777" s="8"/>
      <c r="H777" s="8"/>
      <c r="I777" s="8"/>
      <c r="J777" s="8"/>
      <c r="K777" s="8"/>
      <c r="L777" s="8"/>
      <c r="M777" s="8"/>
      <c r="N777" s="8"/>
      <c r="O777" s="8"/>
      <c r="P777" s="8"/>
      <c r="Q777" s="8"/>
      <c r="R777" s="8"/>
      <c r="S777" s="8"/>
      <c r="T777" s="8"/>
      <c r="U777" s="8"/>
      <c r="V777" s="8"/>
      <c r="W777" s="8"/>
      <c r="X777" s="8"/>
      <c r="Y777" s="8"/>
      <c r="Z777" s="8"/>
    </row>
    <row r="778">
      <c r="A778" s="8"/>
      <c r="B778" s="8"/>
      <c r="C778" s="8"/>
      <c r="D778" s="8"/>
      <c r="E778" s="8"/>
      <c r="F778" s="8"/>
      <c r="G778" s="8"/>
      <c r="H778" s="8"/>
      <c r="I778" s="8"/>
      <c r="J778" s="8"/>
      <c r="K778" s="8"/>
      <c r="L778" s="8"/>
      <c r="M778" s="8"/>
      <c r="N778" s="8"/>
      <c r="O778" s="8"/>
      <c r="P778" s="8"/>
      <c r="Q778" s="8"/>
      <c r="R778" s="8"/>
      <c r="S778" s="8"/>
      <c r="T778" s="8"/>
      <c r="U778" s="8"/>
      <c r="V778" s="8"/>
      <c r="W778" s="8"/>
      <c r="X778" s="8"/>
      <c r="Y778" s="8"/>
      <c r="Z778" s="8"/>
    </row>
    <row r="779">
      <c r="A779" s="8"/>
      <c r="B779" s="8"/>
      <c r="C779" s="8"/>
      <c r="D779" s="8"/>
      <c r="E779" s="8"/>
      <c r="F779" s="8"/>
      <c r="G779" s="8"/>
      <c r="H779" s="8"/>
      <c r="I779" s="8"/>
      <c r="J779" s="8"/>
      <c r="K779" s="8"/>
      <c r="L779" s="8"/>
      <c r="M779" s="8"/>
      <c r="N779" s="8"/>
      <c r="O779" s="8"/>
      <c r="P779" s="8"/>
      <c r="Q779" s="8"/>
      <c r="R779" s="8"/>
      <c r="S779" s="8"/>
      <c r="T779" s="8"/>
      <c r="U779" s="8"/>
      <c r="V779" s="8"/>
      <c r="W779" s="8"/>
      <c r="X779" s="8"/>
      <c r="Y779" s="8"/>
      <c r="Z779" s="8"/>
    </row>
    <row r="780">
      <c r="A780" s="8"/>
      <c r="B780" s="8"/>
      <c r="C780" s="8"/>
      <c r="D780" s="8"/>
      <c r="E780" s="8"/>
      <c r="F780" s="8"/>
      <c r="G780" s="8"/>
      <c r="H780" s="8"/>
      <c r="I780" s="8"/>
      <c r="J780" s="8"/>
      <c r="K780" s="8"/>
      <c r="L780" s="8"/>
      <c r="M780" s="8"/>
      <c r="N780" s="8"/>
      <c r="O780" s="8"/>
      <c r="P780" s="8"/>
      <c r="Q780" s="8"/>
      <c r="R780" s="8"/>
      <c r="S780" s="8"/>
      <c r="T780" s="8"/>
      <c r="U780" s="8"/>
      <c r="V780" s="8"/>
      <c r="W780" s="8"/>
      <c r="X780" s="8"/>
      <c r="Y780" s="8"/>
      <c r="Z780" s="8"/>
    </row>
    <row r="781">
      <c r="A781" s="8"/>
      <c r="B781" s="8"/>
      <c r="C781" s="8"/>
      <c r="D781" s="8"/>
      <c r="E781" s="8"/>
      <c r="F781" s="8"/>
      <c r="G781" s="8"/>
      <c r="H781" s="8"/>
      <c r="I781" s="8"/>
      <c r="J781" s="8"/>
      <c r="K781" s="8"/>
      <c r="L781" s="8"/>
      <c r="M781" s="8"/>
      <c r="N781" s="8"/>
      <c r="O781" s="8"/>
      <c r="P781" s="8"/>
      <c r="Q781" s="8"/>
      <c r="R781" s="8"/>
      <c r="S781" s="8"/>
      <c r="T781" s="8"/>
      <c r="U781" s="8"/>
      <c r="V781" s="8"/>
      <c r="W781" s="8"/>
      <c r="X781" s="8"/>
      <c r="Y781" s="8"/>
      <c r="Z781" s="8"/>
    </row>
    <row r="782">
      <c r="A782" s="8"/>
      <c r="B782" s="8"/>
      <c r="C782" s="8"/>
      <c r="D782" s="8"/>
      <c r="E782" s="8"/>
      <c r="F782" s="8"/>
      <c r="G782" s="8"/>
      <c r="H782" s="8"/>
      <c r="I782" s="8"/>
      <c r="J782" s="8"/>
      <c r="K782" s="8"/>
      <c r="L782" s="8"/>
      <c r="M782" s="8"/>
      <c r="N782" s="8"/>
      <c r="O782" s="8"/>
      <c r="P782" s="8"/>
      <c r="Q782" s="8"/>
      <c r="R782" s="8"/>
      <c r="S782" s="8"/>
      <c r="T782" s="8"/>
      <c r="U782" s="8"/>
      <c r="V782" s="8"/>
      <c r="W782" s="8"/>
      <c r="X782" s="8"/>
      <c r="Y782" s="8"/>
      <c r="Z782" s="8"/>
    </row>
    <row r="783">
      <c r="A783" s="8"/>
      <c r="B783" s="8"/>
      <c r="C783" s="8"/>
      <c r="D783" s="8"/>
      <c r="E783" s="8"/>
      <c r="F783" s="8"/>
      <c r="G783" s="8"/>
      <c r="H783" s="8"/>
      <c r="I783" s="8"/>
      <c r="J783" s="8"/>
      <c r="K783" s="8"/>
      <c r="L783" s="8"/>
      <c r="M783" s="8"/>
      <c r="N783" s="8"/>
      <c r="O783" s="8"/>
      <c r="P783" s="8"/>
      <c r="Q783" s="8"/>
      <c r="R783" s="8"/>
      <c r="S783" s="8"/>
      <c r="T783" s="8"/>
      <c r="U783" s="8"/>
      <c r="V783" s="8"/>
      <c r="W783" s="8"/>
      <c r="X783" s="8"/>
      <c r="Y783" s="8"/>
      <c r="Z783" s="8"/>
    </row>
    <row r="784">
      <c r="A784" s="8"/>
      <c r="B784" s="8"/>
      <c r="C784" s="8"/>
      <c r="D784" s="8"/>
      <c r="E784" s="8"/>
      <c r="F784" s="8"/>
      <c r="G784" s="8"/>
      <c r="H784" s="8"/>
      <c r="I784" s="8"/>
      <c r="J784" s="8"/>
      <c r="K784" s="8"/>
      <c r="L784" s="8"/>
      <c r="M784" s="8"/>
      <c r="N784" s="8"/>
      <c r="O784" s="8"/>
      <c r="P784" s="8"/>
      <c r="Q784" s="8"/>
      <c r="R784" s="8"/>
      <c r="S784" s="8"/>
      <c r="T784" s="8"/>
      <c r="U784" s="8"/>
      <c r="V784" s="8"/>
      <c r="W784" s="8"/>
      <c r="X784" s="8"/>
      <c r="Y784" s="8"/>
      <c r="Z784" s="8"/>
    </row>
    <row r="785">
      <c r="A785" s="8"/>
      <c r="B785" s="8"/>
      <c r="C785" s="8"/>
      <c r="D785" s="8"/>
      <c r="E785" s="8"/>
      <c r="F785" s="8"/>
      <c r="G785" s="8"/>
      <c r="H785" s="8"/>
      <c r="I785" s="8"/>
      <c r="J785" s="8"/>
      <c r="K785" s="8"/>
      <c r="L785" s="8"/>
      <c r="M785" s="8"/>
      <c r="N785" s="8"/>
      <c r="O785" s="8"/>
      <c r="P785" s="8"/>
      <c r="Q785" s="8"/>
      <c r="R785" s="8"/>
      <c r="S785" s="8"/>
      <c r="T785" s="8"/>
      <c r="U785" s="8"/>
      <c r="V785" s="8"/>
      <c r="W785" s="8"/>
      <c r="X785" s="8"/>
      <c r="Y785" s="8"/>
      <c r="Z785" s="8"/>
    </row>
    <row r="786">
      <c r="A786" s="8"/>
      <c r="B786" s="8"/>
      <c r="C786" s="8"/>
      <c r="D786" s="8"/>
      <c r="E786" s="8"/>
      <c r="F786" s="8"/>
      <c r="G786" s="8"/>
      <c r="H786" s="8"/>
      <c r="I786" s="8"/>
      <c r="J786" s="8"/>
      <c r="K786" s="8"/>
      <c r="L786" s="8"/>
      <c r="M786" s="8"/>
      <c r="N786" s="8"/>
      <c r="O786" s="8"/>
      <c r="P786" s="8"/>
      <c r="Q786" s="8"/>
      <c r="R786" s="8"/>
      <c r="S786" s="8"/>
      <c r="T786" s="8"/>
      <c r="U786" s="8"/>
      <c r="V786" s="8"/>
      <c r="W786" s="8"/>
      <c r="X786" s="8"/>
      <c r="Y786" s="8"/>
      <c r="Z786" s="8"/>
    </row>
    <row r="787">
      <c r="A787" s="8"/>
      <c r="B787" s="8"/>
      <c r="C787" s="8"/>
      <c r="D787" s="8"/>
      <c r="E787" s="8"/>
      <c r="F787" s="8"/>
      <c r="G787" s="8"/>
      <c r="H787" s="8"/>
      <c r="I787" s="8"/>
      <c r="J787" s="8"/>
      <c r="K787" s="8"/>
      <c r="L787" s="8"/>
      <c r="M787" s="8"/>
      <c r="N787" s="8"/>
      <c r="O787" s="8"/>
      <c r="P787" s="8"/>
      <c r="Q787" s="8"/>
      <c r="R787" s="8"/>
      <c r="S787" s="8"/>
      <c r="T787" s="8"/>
      <c r="U787" s="8"/>
      <c r="V787" s="8"/>
      <c r="W787" s="8"/>
      <c r="X787" s="8"/>
      <c r="Y787" s="8"/>
      <c r="Z787" s="8"/>
    </row>
    <row r="788">
      <c r="A788" s="8"/>
      <c r="B788" s="8"/>
      <c r="C788" s="8"/>
      <c r="D788" s="8"/>
      <c r="E788" s="8"/>
      <c r="F788" s="8"/>
      <c r="G788" s="8"/>
      <c r="H788" s="8"/>
      <c r="I788" s="8"/>
      <c r="J788" s="8"/>
      <c r="K788" s="8"/>
      <c r="L788" s="8"/>
      <c r="M788" s="8"/>
      <c r="N788" s="8"/>
      <c r="O788" s="8"/>
      <c r="P788" s="8"/>
      <c r="Q788" s="8"/>
      <c r="R788" s="8"/>
      <c r="S788" s="8"/>
      <c r="T788" s="8"/>
      <c r="U788" s="8"/>
      <c r="V788" s="8"/>
      <c r="W788" s="8"/>
      <c r="X788" s="8"/>
      <c r="Y788" s="8"/>
      <c r="Z788" s="8"/>
    </row>
    <row r="789">
      <c r="A789" s="8"/>
      <c r="B789" s="8"/>
      <c r="C789" s="8"/>
      <c r="D789" s="8"/>
      <c r="E789" s="8"/>
      <c r="F789" s="8"/>
      <c r="G789" s="8"/>
      <c r="H789" s="8"/>
      <c r="I789" s="8"/>
      <c r="J789" s="8"/>
      <c r="K789" s="8"/>
      <c r="L789" s="8"/>
      <c r="M789" s="8"/>
      <c r="N789" s="8"/>
      <c r="O789" s="8"/>
      <c r="P789" s="8"/>
      <c r="Q789" s="8"/>
      <c r="R789" s="8"/>
      <c r="S789" s="8"/>
      <c r="T789" s="8"/>
      <c r="U789" s="8"/>
      <c r="V789" s="8"/>
      <c r="W789" s="8"/>
      <c r="X789" s="8"/>
      <c r="Y789" s="8"/>
      <c r="Z789" s="8"/>
    </row>
    <row r="790">
      <c r="A790" s="8"/>
      <c r="B790" s="8"/>
      <c r="C790" s="8"/>
      <c r="D790" s="8"/>
      <c r="E790" s="8"/>
      <c r="F790" s="8"/>
      <c r="G790" s="8"/>
      <c r="H790" s="8"/>
      <c r="I790" s="8"/>
      <c r="J790" s="8"/>
      <c r="K790" s="8"/>
      <c r="L790" s="8"/>
      <c r="M790" s="8"/>
      <c r="N790" s="8"/>
      <c r="O790" s="8"/>
      <c r="P790" s="8"/>
      <c r="Q790" s="8"/>
      <c r="R790" s="8"/>
      <c r="S790" s="8"/>
      <c r="T790" s="8"/>
      <c r="U790" s="8"/>
      <c r="V790" s="8"/>
      <c r="W790" s="8"/>
      <c r="X790" s="8"/>
      <c r="Y790" s="8"/>
      <c r="Z790" s="8"/>
    </row>
    <row r="791">
      <c r="A791" s="8"/>
      <c r="B791" s="8"/>
      <c r="C791" s="8"/>
      <c r="D791" s="8"/>
      <c r="E791" s="8"/>
      <c r="F791" s="8"/>
      <c r="G791" s="8"/>
      <c r="H791" s="8"/>
      <c r="I791" s="8"/>
      <c r="J791" s="8"/>
      <c r="K791" s="8"/>
      <c r="L791" s="8"/>
      <c r="M791" s="8"/>
      <c r="N791" s="8"/>
      <c r="O791" s="8"/>
      <c r="P791" s="8"/>
      <c r="Q791" s="8"/>
      <c r="R791" s="8"/>
      <c r="S791" s="8"/>
      <c r="T791" s="8"/>
      <c r="U791" s="8"/>
      <c r="V791" s="8"/>
      <c r="W791" s="8"/>
      <c r="X791" s="8"/>
      <c r="Y791" s="8"/>
      <c r="Z791" s="8"/>
    </row>
    <row r="792">
      <c r="A792" s="8"/>
      <c r="B792" s="8"/>
      <c r="C792" s="8"/>
      <c r="D792" s="8"/>
      <c r="E792" s="8"/>
      <c r="F792" s="8"/>
      <c r="G792" s="8"/>
      <c r="H792" s="8"/>
      <c r="I792" s="8"/>
      <c r="J792" s="8"/>
      <c r="K792" s="8"/>
      <c r="L792" s="8"/>
      <c r="M792" s="8"/>
      <c r="N792" s="8"/>
      <c r="O792" s="8"/>
      <c r="P792" s="8"/>
      <c r="Q792" s="8"/>
      <c r="R792" s="8"/>
      <c r="S792" s="8"/>
      <c r="T792" s="8"/>
      <c r="U792" s="8"/>
      <c r="V792" s="8"/>
      <c r="W792" s="8"/>
      <c r="X792" s="8"/>
      <c r="Y792" s="8"/>
      <c r="Z792" s="8"/>
    </row>
    <row r="793">
      <c r="A793" s="8"/>
      <c r="B793" s="8"/>
      <c r="C793" s="8"/>
      <c r="D793" s="8"/>
      <c r="E793" s="8"/>
      <c r="F793" s="8"/>
      <c r="G793" s="8"/>
      <c r="H793" s="8"/>
      <c r="I793" s="8"/>
      <c r="J793" s="8"/>
      <c r="K793" s="8"/>
      <c r="L793" s="8"/>
      <c r="M793" s="8"/>
      <c r="N793" s="8"/>
      <c r="O793" s="8"/>
      <c r="P793" s="8"/>
      <c r="Q793" s="8"/>
      <c r="R793" s="8"/>
      <c r="S793" s="8"/>
      <c r="T793" s="8"/>
      <c r="U793" s="8"/>
      <c r="V793" s="8"/>
      <c r="W793" s="8"/>
      <c r="X793" s="8"/>
      <c r="Y793" s="8"/>
      <c r="Z793" s="8"/>
    </row>
    <row r="794">
      <c r="A794" s="8"/>
      <c r="B794" s="8"/>
      <c r="C794" s="8"/>
      <c r="D794" s="8"/>
      <c r="E794" s="8"/>
      <c r="F794" s="8"/>
      <c r="G794" s="8"/>
      <c r="H794" s="8"/>
      <c r="I794" s="8"/>
      <c r="J794" s="8"/>
      <c r="K794" s="8"/>
      <c r="L794" s="8"/>
      <c r="M794" s="8"/>
      <c r="N794" s="8"/>
      <c r="O794" s="8"/>
      <c r="P794" s="8"/>
      <c r="Q794" s="8"/>
      <c r="R794" s="8"/>
      <c r="S794" s="8"/>
      <c r="T794" s="8"/>
      <c r="U794" s="8"/>
      <c r="V794" s="8"/>
      <c r="W794" s="8"/>
      <c r="X794" s="8"/>
      <c r="Y794" s="8"/>
      <c r="Z794" s="8"/>
    </row>
    <row r="795">
      <c r="A795" s="8"/>
      <c r="B795" s="8"/>
      <c r="C795" s="8"/>
      <c r="D795" s="8"/>
      <c r="E795" s="8"/>
      <c r="F795" s="8"/>
      <c r="G795" s="8"/>
      <c r="H795" s="8"/>
      <c r="I795" s="8"/>
      <c r="J795" s="8"/>
      <c r="K795" s="8"/>
      <c r="L795" s="8"/>
      <c r="M795" s="8"/>
      <c r="N795" s="8"/>
      <c r="O795" s="8"/>
      <c r="P795" s="8"/>
      <c r="Q795" s="8"/>
      <c r="R795" s="8"/>
      <c r="S795" s="8"/>
      <c r="T795" s="8"/>
      <c r="U795" s="8"/>
      <c r="V795" s="8"/>
      <c r="W795" s="8"/>
      <c r="X795" s="8"/>
      <c r="Y795" s="8"/>
      <c r="Z795" s="8"/>
    </row>
    <row r="796">
      <c r="A796" s="8"/>
      <c r="B796" s="8"/>
      <c r="C796" s="8"/>
      <c r="D796" s="8"/>
      <c r="E796" s="8"/>
      <c r="F796" s="8"/>
      <c r="G796" s="8"/>
      <c r="H796" s="8"/>
      <c r="I796" s="8"/>
      <c r="J796" s="8"/>
      <c r="K796" s="8"/>
      <c r="L796" s="8"/>
      <c r="M796" s="8"/>
      <c r="N796" s="8"/>
      <c r="O796" s="8"/>
      <c r="P796" s="8"/>
      <c r="Q796" s="8"/>
      <c r="R796" s="8"/>
      <c r="S796" s="8"/>
      <c r="T796" s="8"/>
      <c r="U796" s="8"/>
      <c r="V796" s="8"/>
      <c r="W796" s="8"/>
      <c r="X796" s="8"/>
      <c r="Y796" s="8"/>
      <c r="Z796" s="8"/>
    </row>
    <row r="797">
      <c r="A797" s="8"/>
      <c r="B797" s="8"/>
      <c r="C797" s="8"/>
      <c r="D797" s="8"/>
      <c r="E797" s="8"/>
      <c r="F797" s="8"/>
      <c r="G797" s="8"/>
      <c r="H797" s="8"/>
      <c r="I797" s="8"/>
      <c r="J797" s="8"/>
      <c r="K797" s="8"/>
      <c r="L797" s="8"/>
      <c r="M797" s="8"/>
      <c r="N797" s="8"/>
      <c r="O797" s="8"/>
      <c r="P797" s="8"/>
      <c r="Q797" s="8"/>
      <c r="R797" s="8"/>
      <c r="S797" s="8"/>
      <c r="T797" s="8"/>
      <c r="U797" s="8"/>
      <c r="V797" s="8"/>
      <c r="W797" s="8"/>
      <c r="X797" s="8"/>
      <c r="Y797" s="8"/>
      <c r="Z797" s="8"/>
    </row>
    <row r="798">
      <c r="A798" s="8"/>
      <c r="B798" s="8"/>
      <c r="C798" s="8"/>
      <c r="D798" s="8"/>
      <c r="E798" s="8"/>
      <c r="F798" s="8"/>
      <c r="G798" s="8"/>
      <c r="H798" s="8"/>
      <c r="I798" s="8"/>
      <c r="J798" s="8"/>
      <c r="K798" s="8"/>
      <c r="L798" s="8"/>
      <c r="M798" s="8"/>
      <c r="N798" s="8"/>
      <c r="O798" s="8"/>
      <c r="P798" s="8"/>
      <c r="Q798" s="8"/>
      <c r="R798" s="8"/>
      <c r="S798" s="8"/>
      <c r="T798" s="8"/>
      <c r="U798" s="8"/>
      <c r="V798" s="8"/>
      <c r="W798" s="8"/>
      <c r="X798" s="8"/>
      <c r="Y798" s="8"/>
      <c r="Z798" s="8"/>
    </row>
    <row r="799">
      <c r="A799" s="8"/>
      <c r="B799" s="8"/>
      <c r="C799" s="8"/>
      <c r="D799" s="8"/>
      <c r="E799" s="8"/>
      <c r="F799" s="8"/>
      <c r="G799" s="8"/>
      <c r="H799" s="8"/>
      <c r="I799" s="8"/>
      <c r="J799" s="8"/>
      <c r="K799" s="8"/>
      <c r="L799" s="8"/>
      <c r="M799" s="8"/>
      <c r="N799" s="8"/>
      <c r="O799" s="8"/>
      <c r="P799" s="8"/>
      <c r="Q799" s="8"/>
      <c r="R799" s="8"/>
      <c r="S799" s="8"/>
      <c r="T799" s="8"/>
      <c r="U799" s="8"/>
      <c r="V799" s="8"/>
      <c r="W799" s="8"/>
      <c r="X799" s="8"/>
      <c r="Y799" s="8"/>
      <c r="Z799" s="8"/>
    </row>
    <row r="800">
      <c r="A800" s="8"/>
      <c r="B800" s="8"/>
      <c r="C800" s="8"/>
      <c r="D800" s="8"/>
      <c r="E800" s="8"/>
      <c r="F800" s="8"/>
      <c r="G800" s="8"/>
      <c r="H800" s="8"/>
      <c r="I800" s="8"/>
      <c r="J800" s="8"/>
      <c r="K800" s="8"/>
      <c r="L800" s="8"/>
      <c r="M800" s="8"/>
      <c r="N800" s="8"/>
      <c r="O800" s="8"/>
      <c r="P800" s="8"/>
      <c r="Q800" s="8"/>
      <c r="R800" s="8"/>
      <c r="S800" s="8"/>
      <c r="T800" s="8"/>
      <c r="U800" s="8"/>
      <c r="V800" s="8"/>
      <c r="W800" s="8"/>
      <c r="X800" s="8"/>
      <c r="Y800" s="8"/>
      <c r="Z800" s="8"/>
    </row>
    <row r="801">
      <c r="A801" s="8"/>
      <c r="B801" s="8"/>
      <c r="C801" s="8"/>
      <c r="D801" s="8"/>
      <c r="E801" s="8"/>
      <c r="F801" s="8"/>
      <c r="G801" s="8"/>
      <c r="H801" s="8"/>
      <c r="I801" s="8"/>
      <c r="J801" s="8"/>
      <c r="K801" s="8"/>
      <c r="L801" s="8"/>
      <c r="M801" s="8"/>
      <c r="N801" s="8"/>
      <c r="O801" s="8"/>
      <c r="P801" s="8"/>
      <c r="Q801" s="8"/>
      <c r="R801" s="8"/>
      <c r="S801" s="8"/>
      <c r="T801" s="8"/>
      <c r="U801" s="8"/>
      <c r="V801" s="8"/>
      <c r="W801" s="8"/>
      <c r="X801" s="8"/>
      <c r="Y801" s="8"/>
      <c r="Z801" s="8"/>
    </row>
    <row r="802">
      <c r="A802" s="8"/>
      <c r="B802" s="8"/>
      <c r="C802" s="8"/>
      <c r="D802" s="8"/>
      <c r="E802" s="8"/>
      <c r="F802" s="8"/>
      <c r="G802" s="8"/>
      <c r="H802" s="8"/>
      <c r="I802" s="8"/>
      <c r="J802" s="8"/>
      <c r="K802" s="8"/>
      <c r="L802" s="8"/>
      <c r="M802" s="8"/>
      <c r="N802" s="8"/>
      <c r="O802" s="8"/>
      <c r="P802" s="8"/>
      <c r="Q802" s="8"/>
      <c r="R802" s="8"/>
      <c r="S802" s="8"/>
      <c r="T802" s="8"/>
      <c r="U802" s="8"/>
      <c r="V802" s="8"/>
      <c r="W802" s="8"/>
      <c r="X802" s="8"/>
      <c r="Y802" s="8"/>
      <c r="Z802" s="8"/>
    </row>
    <row r="803">
      <c r="A803" s="8"/>
      <c r="B803" s="8"/>
      <c r="C803" s="8"/>
      <c r="D803" s="8"/>
      <c r="E803" s="8"/>
      <c r="F803" s="8"/>
      <c r="G803" s="8"/>
      <c r="H803" s="8"/>
      <c r="I803" s="8"/>
      <c r="J803" s="8"/>
      <c r="K803" s="8"/>
      <c r="L803" s="8"/>
      <c r="M803" s="8"/>
      <c r="N803" s="8"/>
      <c r="O803" s="8"/>
      <c r="P803" s="8"/>
      <c r="Q803" s="8"/>
      <c r="R803" s="8"/>
      <c r="S803" s="8"/>
      <c r="T803" s="8"/>
      <c r="U803" s="8"/>
      <c r="V803" s="8"/>
      <c r="W803" s="8"/>
      <c r="X803" s="8"/>
      <c r="Y803" s="8"/>
      <c r="Z803" s="8"/>
    </row>
    <row r="804">
      <c r="A804" s="8"/>
      <c r="B804" s="8"/>
      <c r="C804" s="8"/>
      <c r="D804" s="8"/>
      <c r="E804" s="8"/>
      <c r="F804" s="8"/>
      <c r="G804" s="8"/>
      <c r="H804" s="8"/>
      <c r="I804" s="8"/>
      <c r="J804" s="8"/>
      <c r="K804" s="8"/>
      <c r="L804" s="8"/>
      <c r="M804" s="8"/>
      <c r="N804" s="8"/>
      <c r="O804" s="8"/>
      <c r="P804" s="8"/>
      <c r="Q804" s="8"/>
      <c r="R804" s="8"/>
      <c r="S804" s="8"/>
      <c r="T804" s="8"/>
      <c r="U804" s="8"/>
      <c r="V804" s="8"/>
      <c r="W804" s="8"/>
      <c r="X804" s="8"/>
      <c r="Y804" s="8"/>
      <c r="Z804" s="8"/>
    </row>
    <row r="805">
      <c r="A805" s="8"/>
      <c r="B805" s="8"/>
      <c r="C805" s="8"/>
      <c r="D805" s="8"/>
      <c r="E805" s="8"/>
      <c r="F805" s="8"/>
      <c r="G805" s="8"/>
      <c r="H805" s="8"/>
      <c r="I805" s="8"/>
      <c r="J805" s="8"/>
      <c r="K805" s="8"/>
      <c r="L805" s="8"/>
      <c r="M805" s="8"/>
      <c r="N805" s="8"/>
      <c r="O805" s="8"/>
      <c r="P805" s="8"/>
      <c r="Q805" s="8"/>
      <c r="R805" s="8"/>
      <c r="S805" s="8"/>
      <c r="T805" s="8"/>
      <c r="U805" s="8"/>
      <c r="V805" s="8"/>
      <c r="W805" s="8"/>
      <c r="X805" s="8"/>
      <c r="Y805" s="8"/>
      <c r="Z805" s="8"/>
    </row>
    <row r="806">
      <c r="A806" s="8"/>
      <c r="B806" s="8"/>
      <c r="C806" s="8"/>
      <c r="D806" s="8"/>
      <c r="E806" s="8"/>
      <c r="F806" s="8"/>
      <c r="G806" s="8"/>
      <c r="H806" s="8"/>
      <c r="I806" s="8"/>
      <c r="J806" s="8"/>
      <c r="K806" s="8"/>
      <c r="L806" s="8"/>
      <c r="M806" s="8"/>
      <c r="N806" s="8"/>
      <c r="O806" s="8"/>
      <c r="P806" s="8"/>
      <c r="Q806" s="8"/>
      <c r="R806" s="8"/>
      <c r="S806" s="8"/>
      <c r="T806" s="8"/>
      <c r="U806" s="8"/>
      <c r="V806" s="8"/>
      <c r="W806" s="8"/>
      <c r="X806" s="8"/>
      <c r="Y806" s="8"/>
      <c r="Z806" s="8"/>
    </row>
    <row r="807">
      <c r="A807" s="8"/>
      <c r="B807" s="8"/>
      <c r="C807" s="8"/>
      <c r="D807" s="8"/>
      <c r="E807" s="8"/>
      <c r="F807" s="8"/>
      <c r="G807" s="8"/>
      <c r="H807" s="8"/>
      <c r="I807" s="8"/>
      <c r="J807" s="8"/>
      <c r="K807" s="8"/>
      <c r="L807" s="8"/>
      <c r="M807" s="8"/>
      <c r="N807" s="8"/>
      <c r="O807" s="8"/>
      <c r="P807" s="8"/>
      <c r="Q807" s="8"/>
      <c r="R807" s="8"/>
      <c r="S807" s="8"/>
      <c r="T807" s="8"/>
      <c r="U807" s="8"/>
      <c r="V807" s="8"/>
      <c r="W807" s="8"/>
      <c r="X807" s="8"/>
      <c r="Y807" s="8"/>
      <c r="Z807" s="8"/>
    </row>
    <row r="808">
      <c r="A808" s="8"/>
      <c r="B808" s="8"/>
      <c r="C808" s="8"/>
      <c r="D808" s="8"/>
      <c r="E808" s="8"/>
      <c r="F808" s="8"/>
      <c r="G808" s="8"/>
      <c r="H808" s="8"/>
      <c r="I808" s="8"/>
      <c r="J808" s="8"/>
      <c r="K808" s="8"/>
      <c r="L808" s="8"/>
      <c r="M808" s="8"/>
      <c r="N808" s="8"/>
      <c r="O808" s="8"/>
      <c r="P808" s="8"/>
      <c r="Q808" s="8"/>
      <c r="R808" s="8"/>
      <c r="S808" s="8"/>
      <c r="T808" s="8"/>
      <c r="U808" s="8"/>
      <c r="V808" s="8"/>
      <c r="W808" s="8"/>
      <c r="X808" s="8"/>
      <c r="Y808" s="8"/>
      <c r="Z808" s="8"/>
    </row>
    <row r="809">
      <c r="A809" s="8"/>
      <c r="B809" s="8"/>
      <c r="C809" s="8"/>
      <c r="D809" s="8"/>
      <c r="E809" s="8"/>
      <c r="F809" s="8"/>
      <c r="G809" s="8"/>
      <c r="H809" s="8"/>
      <c r="I809" s="8"/>
      <c r="J809" s="8"/>
      <c r="K809" s="8"/>
      <c r="L809" s="8"/>
      <c r="M809" s="8"/>
      <c r="N809" s="8"/>
      <c r="O809" s="8"/>
      <c r="P809" s="8"/>
      <c r="Q809" s="8"/>
      <c r="R809" s="8"/>
      <c r="S809" s="8"/>
      <c r="T809" s="8"/>
      <c r="U809" s="8"/>
      <c r="V809" s="8"/>
      <c r="W809" s="8"/>
      <c r="X809" s="8"/>
      <c r="Y809" s="8"/>
      <c r="Z809" s="8"/>
    </row>
    <row r="810">
      <c r="A810" s="8"/>
      <c r="B810" s="8"/>
      <c r="C810" s="8"/>
      <c r="D810" s="8"/>
      <c r="E810" s="8"/>
      <c r="F810" s="8"/>
      <c r="G810" s="8"/>
      <c r="H810" s="8"/>
      <c r="I810" s="8"/>
      <c r="J810" s="8"/>
      <c r="K810" s="8"/>
      <c r="L810" s="8"/>
      <c r="M810" s="8"/>
      <c r="N810" s="8"/>
      <c r="O810" s="8"/>
      <c r="P810" s="8"/>
      <c r="Q810" s="8"/>
      <c r="R810" s="8"/>
      <c r="S810" s="8"/>
      <c r="T810" s="8"/>
      <c r="U810" s="8"/>
      <c r="V810" s="8"/>
      <c r="W810" s="8"/>
      <c r="X810" s="8"/>
      <c r="Y810" s="8"/>
      <c r="Z810" s="8"/>
    </row>
    <row r="811">
      <c r="A811" s="8"/>
      <c r="B811" s="8"/>
      <c r="C811" s="8"/>
      <c r="D811" s="8"/>
      <c r="E811" s="8"/>
      <c r="F811" s="8"/>
      <c r="G811" s="8"/>
      <c r="H811" s="8"/>
      <c r="I811" s="8"/>
      <c r="J811" s="8"/>
      <c r="K811" s="8"/>
      <c r="L811" s="8"/>
      <c r="M811" s="8"/>
      <c r="N811" s="8"/>
      <c r="O811" s="8"/>
      <c r="P811" s="8"/>
      <c r="Q811" s="8"/>
      <c r="R811" s="8"/>
      <c r="S811" s="8"/>
      <c r="T811" s="8"/>
      <c r="U811" s="8"/>
      <c r="V811" s="8"/>
      <c r="W811" s="8"/>
      <c r="X811" s="8"/>
      <c r="Y811" s="8"/>
      <c r="Z811" s="8"/>
    </row>
    <row r="812">
      <c r="A812" s="8"/>
      <c r="B812" s="8"/>
      <c r="C812" s="8"/>
      <c r="D812" s="8"/>
      <c r="E812" s="8"/>
      <c r="F812" s="8"/>
      <c r="G812" s="8"/>
      <c r="H812" s="8"/>
      <c r="I812" s="8"/>
      <c r="J812" s="8"/>
      <c r="K812" s="8"/>
      <c r="L812" s="8"/>
      <c r="M812" s="8"/>
      <c r="N812" s="8"/>
      <c r="O812" s="8"/>
      <c r="P812" s="8"/>
      <c r="Q812" s="8"/>
      <c r="R812" s="8"/>
      <c r="S812" s="8"/>
      <c r="T812" s="8"/>
      <c r="U812" s="8"/>
      <c r="V812" s="8"/>
      <c r="W812" s="8"/>
      <c r="X812" s="8"/>
      <c r="Y812" s="8"/>
      <c r="Z812" s="8"/>
    </row>
    <row r="813">
      <c r="A813" s="8"/>
      <c r="B813" s="8"/>
      <c r="C813" s="8"/>
      <c r="D813" s="8"/>
      <c r="E813" s="8"/>
      <c r="F813" s="8"/>
      <c r="G813" s="8"/>
      <c r="H813" s="8"/>
      <c r="I813" s="8"/>
      <c r="J813" s="8"/>
      <c r="K813" s="8"/>
      <c r="L813" s="8"/>
      <c r="M813" s="8"/>
      <c r="N813" s="8"/>
      <c r="O813" s="8"/>
      <c r="P813" s="8"/>
      <c r="Q813" s="8"/>
      <c r="R813" s="8"/>
      <c r="S813" s="8"/>
      <c r="T813" s="8"/>
      <c r="U813" s="8"/>
      <c r="V813" s="8"/>
      <c r="W813" s="8"/>
      <c r="X813" s="8"/>
      <c r="Y813" s="8"/>
      <c r="Z813" s="8"/>
    </row>
    <row r="814">
      <c r="A814" s="8"/>
      <c r="B814" s="8"/>
      <c r="C814" s="8"/>
      <c r="D814" s="8"/>
      <c r="E814" s="8"/>
      <c r="F814" s="8"/>
      <c r="G814" s="8"/>
      <c r="H814" s="8"/>
      <c r="I814" s="8"/>
      <c r="J814" s="8"/>
      <c r="K814" s="8"/>
      <c r="L814" s="8"/>
      <c r="M814" s="8"/>
      <c r="N814" s="8"/>
      <c r="O814" s="8"/>
      <c r="P814" s="8"/>
      <c r="Q814" s="8"/>
      <c r="R814" s="8"/>
      <c r="S814" s="8"/>
      <c r="T814" s="8"/>
      <c r="U814" s="8"/>
      <c r="V814" s="8"/>
      <c r="W814" s="8"/>
      <c r="X814" s="8"/>
      <c r="Y814" s="8"/>
      <c r="Z814" s="8"/>
    </row>
    <row r="815">
      <c r="A815" s="8"/>
      <c r="B815" s="8"/>
      <c r="C815" s="8"/>
      <c r="D815" s="8"/>
      <c r="E815" s="8"/>
      <c r="F815" s="8"/>
      <c r="G815" s="8"/>
      <c r="H815" s="8"/>
      <c r="I815" s="8"/>
      <c r="J815" s="8"/>
      <c r="K815" s="8"/>
      <c r="L815" s="8"/>
      <c r="M815" s="8"/>
      <c r="N815" s="8"/>
      <c r="O815" s="8"/>
      <c r="P815" s="8"/>
      <c r="Q815" s="8"/>
      <c r="R815" s="8"/>
      <c r="S815" s="8"/>
      <c r="T815" s="8"/>
      <c r="U815" s="8"/>
      <c r="V815" s="8"/>
      <c r="W815" s="8"/>
      <c r="X815" s="8"/>
      <c r="Y815" s="8"/>
      <c r="Z815" s="8"/>
    </row>
    <row r="816">
      <c r="A816" s="8"/>
      <c r="B816" s="8"/>
      <c r="C816" s="8"/>
      <c r="D816" s="8"/>
      <c r="E816" s="8"/>
      <c r="F816" s="8"/>
      <c r="G816" s="8"/>
      <c r="H816" s="8"/>
      <c r="I816" s="8"/>
      <c r="J816" s="8"/>
      <c r="K816" s="8"/>
      <c r="L816" s="8"/>
      <c r="M816" s="8"/>
      <c r="N816" s="8"/>
      <c r="O816" s="8"/>
      <c r="P816" s="8"/>
      <c r="Q816" s="8"/>
      <c r="R816" s="8"/>
      <c r="S816" s="8"/>
      <c r="T816" s="8"/>
      <c r="U816" s="8"/>
      <c r="V816" s="8"/>
      <c r="W816" s="8"/>
      <c r="X816" s="8"/>
      <c r="Y816" s="8"/>
      <c r="Z816" s="8"/>
    </row>
    <row r="817">
      <c r="A817" s="8"/>
      <c r="B817" s="8"/>
      <c r="C817" s="8"/>
      <c r="D817" s="8"/>
      <c r="E817" s="8"/>
      <c r="F817" s="8"/>
      <c r="G817" s="8"/>
      <c r="H817" s="8"/>
      <c r="I817" s="8"/>
      <c r="J817" s="8"/>
      <c r="K817" s="8"/>
      <c r="L817" s="8"/>
      <c r="M817" s="8"/>
      <c r="N817" s="8"/>
      <c r="O817" s="8"/>
      <c r="P817" s="8"/>
      <c r="Q817" s="8"/>
      <c r="R817" s="8"/>
      <c r="S817" s="8"/>
      <c r="T817" s="8"/>
      <c r="U817" s="8"/>
      <c r="V817" s="8"/>
      <c r="W817" s="8"/>
      <c r="X817" s="8"/>
      <c r="Y817" s="8"/>
      <c r="Z817" s="8"/>
    </row>
    <row r="818">
      <c r="A818" s="8"/>
      <c r="B818" s="8"/>
      <c r="C818" s="8"/>
      <c r="D818" s="8"/>
      <c r="E818" s="8"/>
      <c r="F818" s="8"/>
      <c r="G818" s="8"/>
      <c r="H818" s="8"/>
      <c r="I818" s="8"/>
      <c r="J818" s="8"/>
      <c r="K818" s="8"/>
      <c r="L818" s="8"/>
      <c r="M818" s="8"/>
      <c r="N818" s="8"/>
      <c r="O818" s="8"/>
      <c r="P818" s="8"/>
      <c r="Q818" s="8"/>
      <c r="R818" s="8"/>
      <c r="S818" s="8"/>
      <c r="T818" s="8"/>
      <c r="U818" s="8"/>
      <c r="V818" s="8"/>
      <c r="W818" s="8"/>
      <c r="X818" s="8"/>
      <c r="Y818" s="8"/>
      <c r="Z818" s="8"/>
    </row>
    <row r="819">
      <c r="A819" s="8"/>
      <c r="B819" s="8"/>
      <c r="C819" s="8"/>
      <c r="D819" s="8"/>
      <c r="E819" s="8"/>
      <c r="F819" s="8"/>
      <c r="G819" s="8"/>
      <c r="H819" s="8"/>
      <c r="I819" s="8"/>
      <c r="J819" s="8"/>
      <c r="K819" s="8"/>
      <c r="L819" s="8"/>
      <c r="M819" s="8"/>
      <c r="N819" s="8"/>
      <c r="O819" s="8"/>
      <c r="P819" s="8"/>
      <c r="Q819" s="8"/>
      <c r="R819" s="8"/>
      <c r="S819" s="8"/>
      <c r="T819" s="8"/>
      <c r="U819" s="8"/>
      <c r="V819" s="8"/>
      <c r="W819" s="8"/>
      <c r="X819" s="8"/>
      <c r="Y819" s="8"/>
      <c r="Z819" s="8"/>
    </row>
    <row r="820">
      <c r="A820" s="8"/>
      <c r="B820" s="8"/>
      <c r="C820" s="8"/>
      <c r="D820" s="8"/>
      <c r="E820" s="8"/>
      <c r="F820" s="8"/>
      <c r="G820" s="8"/>
      <c r="H820" s="8"/>
      <c r="I820" s="8"/>
      <c r="J820" s="8"/>
      <c r="K820" s="8"/>
      <c r="L820" s="8"/>
      <c r="M820" s="8"/>
      <c r="N820" s="8"/>
      <c r="O820" s="8"/>
      <c r="P820" s="8"/>
      <c r="Q820" s="8"/>
      <c r="R820" s="8"/>
      <c r="S820" s="8"/>
      <c r="T820" s="8"/>
      <c r="U820" s="8"/>
      <c r="V820" s="8"/>
      <c r="W820" s="8"/>
      <c r="X820" s="8"/>
      <c r="Y820" s="8"/>
      <c r="Z820" s="8"/>
    </row>
    <row r="821">
      <c r="A821" s="8"/>
      <c r="B821" s="8"/>
      <c r="C821" s="8"/>
      <c r="D821" s="8"/>
      <c r="E821" s="8"/>
      <c r="F821" s="8"/>
      <c r="G821" s="8"/>
      <c r="H821" s="8"/>
      <c r="I821" s="8"/>
      <c r="J821" s="8"/>
      <c r="K821" s="8"/>
      <c r="L821" s="8"/>
      <c r="M821" s="8"/>
      <c r="N821" s="8"/>
      <c r="O821" s="8"/>
      <c r="P821" s="8"/>
      <c r="Q821" s="8"/>
      <c r="R821" s="8"/>
      <c r="S821" s="8"/>
      <c r="T821" s="8"/>
      <c r="U821" s="8"/>
      <c r="V821" s="8"/>
      <c r="W821" s="8"/>
      <c r="X821" s="8"/>
      <c r="Y821" s="8"/>
      <c r="Z821" s="8"/>
    </row>
    <row r="822">
      <c r="A822" s="8"/>
      <c r="B822" s="8"/>
      <c r="C822" s="8"/>
      <c r="D822" s="8"/>
      <c r="E822" s="8"/>
      <c r="F822" s="8"/>
      <c r="G822" s="8"/>
      <c r="H822" s="8"/>
      <c r="I822" s="8"/>
      <c r="J822" s="8"/>
      <c r="K822" s="8"/>
      <c r="L822" s="8"/>
      <c r="M822" s="8"/>
      <c r="N822" s="8"/>
      <c r="O822" s="8"/>
      <c r="P822" s="8"/>
      <c r="Q822" s="8"/>
      <c r="R822" s="8"/>
      <c r="S822" s="8"/>
      <c r="T822" s="8"/>
      <c r="U822" s="8"/>
      <c r="V822" s="8"/>
      <c r="W822" s="8"/>
      <c r="X822" s="8"/>
      <c r="Y822" s="8"/>
      <c r="Z822" s="8"/>
    </row>
    <row r="823">
      <c r="A823" s="8"/>
      <c r="B823" s="8"/>
      <c r="C823" s="8"/>
      <c r="D823" s="8"/>
      <c r="E823" s="8"/>
      <c r="F823" s="8"/>
      <c r="G823" s="8"/>
      <c r="H823" s="8"/>
      <c r="I823" s="8"/>
      <c r="J823" s="8"/>
      <c r="K823" s="8"/>
      <c r="L823" s="8"/>
      <c r="M823" s="8"/>
      <c r="N823" s="8"/>
      <c r="O823" s="8"/>
      <c r="P823" s="8"/>
      <c r="Q823" s="8"/>
      <c r="R823" s="8"/>
      <c r="S823" s="8"/>
      <c r="T823" s="8"/>
      <c r="U823" s="8"/>
      <c r="V823" s="8"/>
      <c r="W823" s="8"/>
      <c r="X823" s="8"/>
      <c r="Y823" s="8"/>
      <c r="Z823" s="8"/>
    </row>
    <row r="824">
      <c r="A824" s="8"/>
      <c r="B824" s="8"/>
      <c r="C824" s="8"/>
      <c r="D824" s="8"/>
      <c r="E824" s="8"/>
      <c r="F824" s="8"/>
      <c r="G824" s="8"/>
      <c r="H824" s="8"/>
      <c r="I824" s="8"/>
      <c r="J824" s="8"/>
      <c r="K824" s="8"/>
      <c r="L824" s="8"/>
      <c r="M824" s="8"/>
      <c r="N824" s="8"/>
      <c r="O824" s="8"/>
      <c r="P824" s="8"/>
      <c r="Q824" s="8"/>
      <c r="R824" s="8"/>
      <c r="S824" s="8"/>
      <c r="T824" s="8"/>
      <c r="U824" s="8"/>
      <c r="V824" s="8"/>
      <c r="W824" s="8"/>
      <c r="X824" s="8"/>
      <c r="Y824" s="8"/>
      <c r="Z824" s="8"/>
    </row>
    <row r="825">
      <c r="A825" s="8"/>
      <c r="B825" s="8"/>
      <c r="C825" s="8"/>
      <c r="D825" s="8"/>
      <c r="E825" s="8"/>
      <c r="F825" s="8"/>
      <c r="G825" s="8"/>
      <c r="H825" s="8"/>
      <c r="I825" s="8"/>
      <c r="J825" s="8"/>
      <c r="K825" s="8"/>
      <c r="L825" s="8"/>
      <c r="M825" s="8"/>
      <c r="N825" s="8"/>
      <c r="O825" s="8"/>
      <c r="P825" s="8"/>
      <c r="Q825" s="8"/>
      <c r="R825" s="8"/>
      <c r="S825" s="8"/>
      <c r="T825" s="8"/>
      <c r="U825" s="8"/>
      <c r="V825" s="8"/>
      <c r="W825" s="8"/>
      <c r="X825" s="8"/>
      <c r="Y825" s="8"/>
      <c r="Z825" s="8"/>
    </row>
    <row r="826">
      <c r="A826" s="8"/>
      <c r="B826" s="8"/>
      <c r="C826" s="8"/>
      <c r="D826" s="8"/>
      <c r="E826" s="8"/>
      <c r="F826" s="8"/>
      <c r="G826" s="8"/>
      <c r="H826" s="8"/>
      <c r="I826" s="8"/>
      <c r="J826" s="8"/>
      <c r="K826" s="8"/>
      <c r="L826" s="8"/>
      <c r="M826" s="8"/>
      <c r="N826" s="8"/>
      <c r="O826" s="8"/>
      <c r="P826" s="8"/>
      <c r="Q826" s="8"/>
      <c r="R826" s="8"/>
      <c r="S826" s="8"/>
      <c r="T826" s="8"/>
      <c r="U826" s="8"/>
      <c r="V826" s="8"/>
      <c r="W826" s="8"/>
      <c r="X826" s="8"/>
      <c r="Y826" s="8"/>
      <c r="Z826" s="8"/>
    </row>
    <row r="827">
      <c r="A827" s="8"/>
      <c r="B827" s="8"/>
      <c r="C827" s="8"/>
      <c r="D827" s="8"/>
      <c r="E827" s="8"/>
      <c r="F827" s="8"/>
      <c r="G827" s="8"/>
      <c r="H827" s="8"/>
      <c r="I827" s="8"/>
      <c r="J827" s="8"/>
      <c r="K827" s="8"/>
      <c r="L827" s="8"/>
      <c r="M827" s="8"/>
      <c r="N827" s="8"/>
      <c r="O827" s="8"/>
      <c r="P827" s="8"/>
      <c r="Q827" s="8"/>
      <c r="R827" s="8"/>
      <c r="S827" s="8"/>
      <c r="T827" s="8"/>
      <c r="U827" s="8"/>
      <c r="V827" s="8"/>
      <c r="W827" s="8"/>
      <c r="X827" s="8"/>
      <c r="Y827" s="8"/>
      <c r="Z827" s="8"/>
    </row>
    <row r="828">
      <c r="A828" s="8"/>
      <c r="B828" s="8"/>
      <c r="C828" s="8"/>
      <c r="D828" s="8"/>
      <c r="E828" s="8"/>
      <c r="F828" s="8"/>
      <c r="G828" s="8"/>
      <c r="H828" s="8"/>
      <c r="I828" s="8"/>
      <c r="J828" s="8"/>
      <c r="K828" s="8"/>
      <c r="L828" s="8"/>
      <c r="M828" s="8"/>
      <c r="N828" s="8"/>
      <c r="O828" s="8"/>
      <c r="P828" s="8"/>
      <c r="Q828" s="8"/>
      <c r="R828" s="8"/>
      <c r="S828" s="8"/>
      <c r="T828" s="8"/>
      <c r="U828" s="8"/>
      <c r="V828" s="8"/>
      <c r="W828" s="8"/>
      <c r="X828" s="8"/>
      <c r="Y828" s="8"/>
      <c r="Z828" s="8"/>
    </row>
    <row r="829">
      <c r="A829" s="8"/>
      <c r="B829" s="8"/>
      <c r="C829" s="8"/>
      <c r="D829" s="8"/>
      <c r="E829" s="8"/>
      <c r="F829" s="8"/>
      <c r="G829" s="8"/>
      <c r="H829" s="8"/>
      <c r="I829" s="8"/>
      <c r="J829" s="8"/>
      <c r="K829" s="8"/>
      <c r="L829" s="8"/>
      <c r="M829" s="8"/>
      <c r="N829" s="8"/>
      <c r="O829" s="8"/>
      <c r="P829" s="8"/>
      <c r="Q829" s="8"/>
      <c r="R829" s="8"/>
      <c r="S829" s="8"/>
      <c r="T829" s="8"/>
      <c r="U829" s="8"/>
      <c r="V829" s="8"/>
      <c r="W829" s="8"/>
      <c r="X829" s="8"/>
      <c r="Y829" s="8"/>
      <c r="Z829" s="8"/>
    </row>
    <row r="830">
      <c r="A830" s="8"/>
      <c r="B830" s="8"/>
      <c r="C830" s="8"/>
      <c r="D830" s="8"/>
      <c r="E830" s="8"/>
      <c r="F830" s="8"/>
      <c r="G830" s="8"/>
      <c r="H830" s="8"/>
      <c r="I830" s="8"/>
      <c r="J830" s="8"/>
      <c r="K830" s="8"/>
      <c r="L830" s="8"/>
      <c r="M830" s="8"/>
      <c r="N830" s="8"/>
      <c r="O830" s="8"/>
      <c r="P830" s="8"/>
      <c r="Q830" s="8"/>
      <c r="R830" s="8"/>
      <c r="S830" s="8"/>
      <c r="T830" s="8"/>
      <c r="U830" s="8"/>
      <c r="V830" s="8"/>
      <c r="W830" s="8"/>
      <c r="X830" s="8"/>
      <c r="Y830" s="8"/>
      <c r="Z830" s="8"/>
    </row>
    <row r="831">
      <c r="A831" s="8"/>
      <c r="B831" s="8"/>
      <c r="C831" s="8"/>
      <c r="D831" s="8"/>
      <c r="E831" s="8"/>
      <c r="F831" s="8"/>
      <c r="G831" s="8"/>
      <c r="H831" s="8"/>
      <c r="I831" s="8"/>
      <c r="J831" s="8"/>
      <c r="K831" s="8"/>
      <c r="L831" s="8"/>
      <c r="M831" s="8"/>
      <c r="N831" s="8"/>
      <c r="O831" s="8"/>
      <c r="P831" s="8"/>
      <c r="Q831" s="8"/>
      <c r="R831" s="8"/>
      <c r="S831" s="8"/>
      <c r="T831" s="8"/>
      <c r="U831" s="8"/>
      <c r="V831" s="8"/>
      <c r="W831" s="8"/>
      <c r="X831" s="8"/>
      <c r="Y831" s="8"/>
      <c r="Z831" s="8"/>
    </row>
    <row r="832">
      <c r="A832" s="8"/>
      <c r="B832" s="8"/>
      <c r="C832" s="8"/>
      <c r="D832" s="8"/>
      <c r="E832" s="8"/>
      <c r="F832" s="8"/>
      <c r="G832" s="8"/>
      <c r="H832" s="8"/>
      <c r="I832" s="8"/>
      <c r="J832" s="8"/>
      <c r="K832" s="8"/>
      <c r="L832" s="8"/>
      <c r="M832" s="8"/>
      <c r="N832" s="8"/>
      <c r="O832" s="8"/>
      <c r="P832" s="8"/>
      <c r="Q832" s="8"/>
      <c r="R832" s="8"/>
      <c r="S832" s="8"/>
      <c r="T832" s="8"/>
      <c r="U832" s="8"/>
      <c r="V832" s="8"/>
      <c r="W832" s="8"/>
      <c r="X832" s="8"/>
      <c r="Y832" s="8"/>
      <c r="Z832" s="8"/>
    </row>
    <row r="833">
      <c r="A833" s="8"/>
      <c r="B833" s="8"/>
      <c r="C833" s="8"/>
      <c r="D833" s="8"/>
      <c r="E833" s="8"/>
      <c r="F833" s="8"/>
      <c r="G833" s="8"/>
      <c r="H833" s="8"/>
      <c r="I833" s="8"/>
      <c r="J833" s="8"/>
      <c r="K833" s="8"/>
      <c r="L833" s="8"/>
      <c r="M833" s="8"/>
      <c r="N833" s="8"/>
      <c r="O833" s="8"/>
      <c r="P833" s="8"/>
      <c r="Q833" s="8"/>
      <c r="R833" s="8"/>
      <c r="S833" s="8"/>
      <c r="T833" s="8"/>
      <c r="U833" s="8"/>
      <c r="V833" s="8"/>
      <c r="W833" s="8"/>
      <c r="X833" s="8"/>
      <c r="Y833" s="8"/>
      <c r="Z833" s="8"/>
    </row>
    <row r="834">
      <c r="A834" s="8"/>
      <c r="B834" s="8"/>
      <c r="C834" s="8"/>
      <c r="D834" s="8"/>
      <c r="E834" s="8"/>
      <c r="F834" s="8"/>
      <c r="G834" s="8"/>
      <c r="H834" s="8"/>
      <c r="I834" s="8"/>
      <c r="J834" s="8"/>
      <c r="K834" s="8"/>
      <c r="L834" s="8"/>
      <c r="M834" s="8"/>
      <c r="N834" s="8"/>
      <c r="O834" s="8"/>
      <c r="P834" s="8"/>
      <c r="Q834" s="8"/>
      <c r="R834" s="8"/>
      <c r="S834" s="8"/>
      <c r="T834" s="8"/>
      <c r="U834" s="8"/>
      <c r="V834" s="8"/>
      <c r="W834" s="8"/>
      <c r="X834" s="8"/>
      <c r="Y834" s="8"/>
      <c r="Z834" s="8"/>
    </row>
    <row r="835">
      <c r="A835" s="8"/>
      <c r="B835" s="8"/>
      <c r="C835" s="8"/>
      <c r="D835" s="8"/>
      <c r="E835" s="8"/>
      <c r="F835" s="8"/>
      <c r="G835" s="8"/>
      <c r="H835" s="8"/>
      <c r="I835" s="8"/>
      <c r="J835" s="8"/>
      <c r="K835" s="8"/>
      <c r="L835" s="8"/>
      <c r="M835" s="8"/>
      <c r="N835" s="8"/>
      <c r="O835" s="8"/>
      <c r="P835" s="8"/>
      <c r="Q835" s="8"/>
      <c r="R835" s="8"/>
      <c r="S835" s="8"/>
      <c r="T835" s="8"/>
      <c r="U835" s="8"/>
      <c r="V835" s="8"/>
      <c r="W835" s="8"/>
      <c r="X835" s="8"/>
      <c r="Y835" s="8"/>
      <c r="Z835" s="8"/>
    </row>
    <row r="836">
      <c r="A836" s="8"/>
      <c r="B836" s="8"/>
      <c r="C836" s="8"/>
      <c r="D836" s="8"/>
      <c r="E836" s="8"/>
      <c r="F836" s="8"/>
      <c r="G836" s="8"/>
      <c r="H836" s="8"/>
      <c r="I836" s="8"/>
      <c r="J836" s="8"/>
      <c r="K836" s="8"/>
      <c r="L836" s="8"/>
      <c r="M836" s="8"/>
      <c r="N836" s="8"/>
      <c r="O836" s="8"/>
      <c r="P836" s="8"/>
      <c r="Q836" s="8"/>
      <c r="R836" s="8"/>
      <c r="S836" s="8"/>
      <c r="T836" s="8"/>
      <c r="U836" s="8"/>
      <c r="V836" s="8"/>
      <c r="W836" s="8"/>
      <c r="X836" s="8"/>
      <c r="Y836" s="8"/>
      <c r="Z836" s="8"/>
    </row>
    <row r="837">
      <c r="A837" s="8"/>
      <c r="B837" s="8"/>
      <c r="C837" s="8"/>
      <c r="D837" s="8"/>
      <c r="E837" s="8"/>
      <c r="F837" s="8"/>
      <c r="G837" s="8"/>
      <c r="H837" s="8"/>
      <c r="I837" s="8"/>
      <c r="J837" s="8"/>
      <c r="K837" s="8"/>
      <c r="L837" s="8"/>
      <c r="M837" s="8"/>
      <c r="N837" s="8"/>
      <c r="O837" s="8"/>
      <c r="P837" s="8"/>
      <c r="Q837" s="8"/>
      <c r="R837" s="8"/>
      <c r="S837" s="8"/>
      <c r="T837" s="8"/>
      <c r="U837" s="8"/>
      <c r="V837" s="8"/>
      <c r="W837" s="8"/>
      <c r="X837" s="8"/>
      <c r="Y837" s="8"/>
      <c r="Z837" s="8"/>
    </row>
    <row r="838">
      <c r="A838" s="8"/>
      <c r="B838" s="8"/>
      <c r="C838" s="8"/>
      <c r="D838" s="8"/>
      <c r="E838" s="8"/>
      <c r="F838" s="8"/>
      <c r="G838" s="8"/>
      <c r="H838" s="8"/>
      <c r="I838" s="8"/>
      <c r="J838" s="8"/>
      <c r="K838" s="8"/>
      <c r="L838" s="8"/>
      <c r="M838" s="8"/>
      <c r="N838" s="8"/>
      <c r="O838" s="8"/>
      <c r="P838" s="8"/>
      <c r="Q838" s="8"/>
      <c r="R838" s="8"/>
      <c r="S838" s="8"/>
      <c r="T838" s="8"/>
      <c r="U838" s="8"/>
      <c r="V838" s="8"/>
      <c r="W838" s="8"/>
      <c r="X838" s="8"/>
      <c r="Y838" s="8"/>
      <c r="Z838" s="8"/>
    </row>
    <row r="839">
      <c r="A839" s="8"/>
      <c r="B839" s="8"/>
      <c r="C839" s="8"/>
      <c r="D839" s="8"/>
      <c r="E839" s="8"/>
      <c r="F839" s="8"/>
      <c r="G839" s="8"/>
      <c r="H839" s="8"/>
      <c r="I839" s="8"/>
      <c r="J839" s="8"/>
      <c r="K839" s="8"/>
      <c r="L839" s="8"/>
      <c r="M839" s="8"/>
      <c r="N839" s="8"/>
      <c r="O839" s="8"/>
      <c r="P839" s="8"/>
      <c r="Q839" s="8"/>
      <c r="R839" s="8"/>
      <c r="S839" s="8"/>
      <c r="T839" s="8"/>
      <c r="U839" s="8"/>
      <c r="V839" s="8"/>
      <c r="W839" s="8"/>
      <c r="X839" s="8"/>
      <c r="Y839" s="8"/>
      <c r="Z839" s="8"/>
    </row>
    <row r="840">
      <c r="A840" s="8"/>
      <c r="B840" s="8"/>
      <c r="C840" s="8"/>
      <c r="D840" s="8"/>
      <c r="E840" s="8"/>
      <c r="F840" s="8"/>
      <c r="G840" s="8"/>
      <c r="H840" s="8"/>
      <c r="I840" s="8"/>
      <c r="J840" s="8"/>
      <c r="K840" s="8"/>
      <c r="L840" s="8"/>
      <c r="M840" s="8"/>
      <c r="N840" s="8"/>
      <c r="O840" s="8"/>
      <c r="P840" s="8"/>
      <c r="Q840" s="8"/>
      <c r="R840" s="8"/>
      <c r="S840" s="8"/>
      <c r="T840" s="8"/>
      <c r="U840" s="8"/>
      <c r="V840" s="8"/>
      <c r="W840" s="8"/>
      <c r="X840" s="8"/>
      <c r="Y840" s="8"/>
      <c r="Z840" s="8"/>
    </row>
    <row r="841">
      <c r="A841" s="8"/>
      <c r="B841" s="8"/>
      <c r="C841" s="8"/>
      <c r="D841" s="8"/>
      <c r="E841" s="8"/>
      <c r="F841" s="8"/>
      <c r="G841" s="8"/>
      <c r="H841" s="8"/>
      <c r="I841" s="8"/>
      <c r="J841" s="8"/>
      <c r="K841" s="8"/>
      <c r="L841" s="8"/>
      <c r="M841" s="8"/>
      <c r="N841" s="8"/>
      <c r="O841" s="8"/>
      <c r="P841" s="8"/>
      <c r="Q841" s="8"/>
      <c r="R841" s="8"/>
      <c r="S841" s="8"/>
      <c r="T841" s="8"/>
      <c r="U841" s="8"/>
      <c r="V841" s="8"/>
      <c r="W841" s="8"/>
      <c r="X841" s="8"/>
      <c r="Y841" s="8"/>
      <c r="Z841" s="8"/>
    </row>
    <row r="842">
      <c r="A842" s="8"/>
      <c r="B842" s="8"/>
      <c r="C842" s="8"/>
      <c r="D842" s="8"/>
      <c r="E842" s="8"/>
      <c r="F842" s="8"/>
      <c r="G842" s="8"/>
      <c r="H842" s="8"/>
      <c r="I842" s="8"/>
      <c r="J842" s="8"/>
      <c r="K842" s="8"/>
      <c r="L842" s="8"/>
      <c r="M842" s="8"/>
      <c r="N842" s="8"/>
      <c r="O842" s="8"/>
      <c r="P842" s="8"/>
      <c r="Q842" s="8"/>
      <c r="R842" s="8"/>
      <c r="S842" s="8"/>
      <c r="T842" s="8"/>
      <c r="U842" s="8"/>
      <c r="V842" s="8"/>
      <c r="W842" s="8"/>
      <c r="X842" s="8"/>
      <c r="Y842" s="8"/>
      <c r="Z842" s="8"/>
    </row>
    <row r="843">
      <c r="A843" s="8"/>
      <c r="B843" s="8"/>
      <c r="C843" s="8"/>
      <c r="D843" s="8"/>
      <c r="E843" s="8"/>
      <c r="F843" s="8"/>
      <c r="G843" s="8"/>
      <c r="H843" s="8"/>
      <c r="I843" s="8"/>
      <c r="J843" s="8"/>
      <c r="K843" s="8"/>
      <c r="L843" s="8"/>
      <c r="M843" s="8"/>
      <c r="N843" s="8"/>
      <c r="O843" s="8"/>
      <c r="P843" s="8"/>
      <c r="Q843" s="8"/>
      <c r="R843" s="8"/>
      <c r="S843" s="8"/>
      <c r="T843" s="8"/>
      <c r="U843" s="8"/>
      <c r="V843" s="8"/>
      <c r="W843" s="8"/>
      <c r="X843" s="8"/>
      <c r="Y843" s="8"/>
      <c r="Z843" s="8"/>
    </row>
    <row r="844">
      <c r="A844" s="8"/>
      <c r="B844" s="8"/>
      <c r="C844" s="8"/>
      <c r="D844" s="8"/>
      <c r="E844" s="8"/>
      <c r="F844" s="8"/>
      <c r="G844" s="8"/>
      <c r="H844" s="8"/>
      <c r="I844" s="8"/>
      <c r="J844" s="8"/>
      <c r="K844" s="8"/>
      <c r="L844" s="8"/>
      <c r="M844" s="8"/>
      <c r="N844" s="8"/>
      <c r="O844" s="8"/>
      <c r="P844" s="8"/>
      <c r="Q844" s="8"/>
      <c r="R844" s="8"/>
      <c r="S844" s="8"/>
      <c r="T844" s="8"/>
      <c r="U844" s="8"/>
      <c r="V844" s="8"/>
      <c r="W844" s="8"/>
      <c r="X844" s="8"/>
      <c r="Y844" s="8"/>
      <c r="Z844" s="8"/>
    </row>
    <row r="845">
      <c r="A845" s="8"/>
      <c r="B845" s="8"/>
      <c r="C845" s="8"/>
      <c r="D845" s="8"/>
      <c r="E845" s="8"/>
      <c r="F845" s="8"/>
      <c r="G845" s="8"/>
      <c r="H845" s="8"/>
      <c r="I845" s="8"/>
      <c r="J845" s="8"/>
      <c r="K845" s="8"/>
      <c r="L845" s="8"/>
      <c r="M845" s="8"/>
      <c r="N845" s="8"/>
      <c r="O845" s="8"/>
      <c r="P845" s="8"/>
      <c r="Q845" s="8"/>
      <c r="R845" s="8"/>
      <c r="S845" s="8"/>
      <c r="T845" s="8"/>
      <c r="U845" s="8"/>
      <c r="V845" s="8"/>
      <c r="W845" s="8"/>
      <c r="X845" s="8"/>
      <c r="Y845" s="8"/>
      <c r="Z845" s="8"/>
    </row>
    <row r="846">
      <c r="A846" s="8"/>
      <c r="B846" s="8"/>
      <c r="C846" s="8"/>
      <c r="D846" s="8"/>
      <c r="E846" s="8"/>
      <c r="F846" s="8"/>
      <c r="G846" s="8"/>
      <c r="H846" s="8"/>
      <c r="I846" s="8"/>
      <c r="J846" s="8"/>
      <c r="K846" s="8"/>
      <c r="L846" s="8"/>
      <c r="M846" s="8"/>
      <c r="N846" s="8"/>
      <c r="O846" s="8"/>
      <c r="P846" s="8"/>
      <c r="Q846" s="8"/>
      <c r="R846" s="8"/>
      <c r="S846" s="8"/>
      <c r="T846" s="8"/>
      <c r="U846" s="8"/>
      <c r="V846" s="8"/>
      <c r="W846" s="8"/>
      <c r="X846" s="8"/>
      <c r="Y846" s="8"/>
      <c r="Z846" s="8"/>
    </row>
    <row r="847">
      <c r="A847" s="8"/>
      <c r="B847" s="8"/>
      <c r="C847" s="8"/>
      <c r="D847" s="8"/>
      <c r="E847" s="8"/>
      <c r="F847" s="8"/>
      <c r="G847" s="8"/>
      <c r="H847" s="8"/>
      <c r="I847" s="8"/>
      <c r="J847" s="8"/>
      <c r="K847" s="8"/>
      <c r="L847" s="8"/>
      <c r="M847" s="8"/>
      <c r="N847" s="8"/>
      <c r="O847" s="8"/>
      <c r="P847" s="8"/>
      <c r="Q847" s="8"/>
      <c r="R847" s="8"/>
      <c r="S847" s="8"/>
      <c r="T847" s="8"/>
      <c r="U847" s="8"/>
      <c r="V847" s="8"/>
      <c r="W847" s="8"/>
      <c r="X847" s="8"/>
      <c r="Y847" s="8"/>
      <c r="Z847" s="8"/>
    </row>
    <row r="848">
      <c r="A848" s="8"/>
      <c r="B848" s="8"/>
      <c r="C848" s="8"/>
      <c r="D848" s="8"/>
      <c r="E848" s="8"/>
      <c r="F848" s="8"/>
      <c r="G848" s="8"/>
      <c r="H848" s="8"/>
      <c r="I848" s="8"/>
      <c r="J848" s="8"/>
      <c r="K848" s="8"/>
      <c r="L848" s="8"/>
      <c r="M848" s="8"/>
      <c r="N848" s="8"/>
      <c r="O848" s="8"/>
      <c r="P848" s="8"/>
      <c r="Q848" s="8"/>
      <c r="R848" s="8"/>
      <c r="S848" s="8"/>
      <c r="T848" s="8"/>
      <c r="U848" s="8"/>
      <c r="V848" s="8"/>
      <c r="W848" s="8"/>
      <c r="X848" s="8"/>
      <c r="Y848" s="8"/>
      <c r="Z848" s="8"/>
    </row>
    <row r="849">
      <c r="A849" s="8"/>
      <c r="B849" s="8"/>
      <c r="C849" s="8"/>
      <c r="D849" s="8"/>
      <c r="E849" s="8"/>
      <c r="F849" s="8"/>
      <c r="G849" s="8"/>
      <c r="H849" s="8"/>
      <c r="I849" s="8"/>
      <c r="J849" s="8"/>
      <c r="K849" s="8"/>
      <c r="L849" s="8"/>
      <c r="M849" s="8"/>
      <c r="N849" s="8"/>
      <c r="O849" s="8"/>
      <c r="P849" s="8"/>
      <c r="Q849" s="8"/>
      <c r="R849" s="8"/>
      <c r="S849" s="8"/>
      <c r="T849" s="8"/>
      <c r="U849" s="8"/>
      <c r="V849" s="8"/>
      <c r="W849" s="8"/>
      <c r="X849" s="8"/>
      <c r="Y849" s="8"/>
      <c r="Z849" s="8"/>
    </row>
    <row r="850">
      <c r="A850" s="8"/>
      <c r="B850" s="8"/>
      <c r="C850" s="8"/>
      <c r="D850" s="8"/>
      <c r="E850" s="8"/>
      <c r="F850" s="8"/>
      <c r="G850" s="8"/>
      <c r="H850" s="8"/>
      <c r="I850" s="8"/>
      <c r="J850" s="8"/>
      <c r="K850" s="8"/>
      <c r="L850" s="8"/>
      <c r="M850" s="8"/>
      <c r="N850" s="8"/>
      <c r="O850" s="8"/>
      <c r="P850" s="8"/>
      <c r="Q850" s="8"/>
      <c r="R850" s="8"/>
      <c r="S850" s="8"/>
      <c r="T850" s="8"/>
      <c r="U850" s="8"/>
      <c r="V850" s="8"/>
      <c r="W850" s="8"/>
      <c r="X850" s="8"/>
      <c r="Y850" s="8"/>
      <c r="Z850" s="8"/>
    </row>
    <row r="851">
      <c r="A851" s="8"/>
      <c r="B851" s="8"/>
      <c r="C851" s="8"/>
      <c r="D851" s="8"/>
      <c r="E851" s="8"/>
      <c r="F851" s="8"/>
      <c r="G851" s="8"/>
      <c r="H851" s="8"/>
      <c r="I851" s="8"/>
      <c r="J851" s="8"/>
      <c r="K851" s="8"/>
      <c r="L851" s="8"/>
      <c r="M851" s="8"/>
      <c r="N851" s="8"/>
      <c r="O851" s="8"/>
      <c r="P851" s="8"/>
      <c r="Q851" s="8"/>
      <c r="R851" s="8"/>
      <c r="S851" s="8"/>
      <c r="T851" s="8"/>
      <c r="U851" s="8"/>
      <c r="V851" s="8"/>
      <c r="W851" s="8"/>
      <c r="X851" s="8"/>
      <c r="Y851" s="8"/>
      <c r="Z851" s="8"/>
    </row>
    <row r="852">
      <c r="A852" s="8"/>
      <c r="B852" s="8"/>
      <c r="C852" s="8"/>
      <c r="D852" s="8"/>
      <c r="E852" s="8"/>
      <c r="F852" s="8"/>
      <c r="G852" s="8"/>
      <c r="H852" s="8"/>
      <c r="I852" s="8"/>
      <c r="J852" s="8"/>
      <c r="K852" s="8"/>
      <c r="L852" s="8"/>
      <c r="M852" s="8"/>
      <c r="N852" s="8"/>
      <c r="O852" s="8"/>
      <c r="P852" s="8"/>
      <c r="Q852" s="8"/>
      <c r="R852" s="8"/>
      <c r="S852" s="8"/>
      <c r="T852" s="8"/>
      <c r="U852" s="8"/>
      <c r="V852" s="8"/>
      <c r="W852" s="8"/>
      <c r="X852" s="8"/>
      <c r="Y852" s="8"/>
      <c r="Z852" s="8"/>
    </row>
    <row r="853">
      <c r="A853" s="8"/>
      <c r="B853" s="8"/>
      <c r="C853" s="8"/>
      <c r="D853" s="8"/>
      <c r="E853" s="8"/>
      <c r="F853" s="8"/>
      <c r="G853" s="8"/>
      <c r="H853" s="8"/>
      <c r="I853" s="8"/>
      <c r="J853" s="8"/>
      <c r="K853" s="8"/>
      <c r="L853" s="8"/>
      <c r="M853" s="8"/>
      <c r="N853" s="8"/>
      <c r="O853" s="8"/>
      <c r="P853" s="8"/>
      <c r="Q853" s="8"/>
      <c r="R853" s="8"/>
      <c r="S853" s="8"/>
      <c r="T853" s="8"/>
      <c r="U853" s="8"/>
      <c r="V853" s="8"/>
      <c r="W853" s="8"/>
      <c r="X853" s="8"/>
      <c r="Y853" s="8"/>
      <c r="Z853" s="8"/>
    </row>
    <row r="854">
      <c r="A854" s="8"/>
      <c r="B854" s="8"/>
      <c r="C854" s="8"/>
      <c r="D854" s="8"/>
      <c r="E854" s="8"/>
      <c r="F854" s="8"/>
      <c r="G854" s="8"/>
      <c r="H854" s="8"/>
      <c r="I854" s="8"/>
      <c r="J854" s="8"/>
      <c r="K854" s="8"/>
      <c r="L854" s="8"/>
      <c r="M854" s="8"/>
      <c r="N854" s="8"/>
      <c r="O854" s="8"/>
      <c r="P854" s="8"/>
      <c r="Q854" s="8"/>
      <c r="R854" s="8"/>
      <c r="S854" s="8"/>
      <c r="T854" s="8"/>
      <c r="U854" s="8"/>
      <c r="V854" s="8"/>
      <c r="W854" s="8"/>
      <c r="X854" s="8"/>
      <c r="Y854" s="8"/>
      <c r="Z854" s="8"/>
    </row>
    <row r="855">
      <c r="A855" s="8"/>
      <c r="B855" s="8"/>
      <c r="C855" s="8"/>
      <c r="D855" s="8"/>
      <c r="E855" s="8"/>
      <c r="F855" s="8"/>
      <c r="G855" s="8"/>
      <c r="H855" s="8"/>
      <c r="I855" s="8"/>
      <c r="J855" s="8"/>
      <c r="K855" s="8"/>
      <c r="L855" s="8"/>
      <c r="M855" s="8"/>
      <c r="N855" s="8"/>
      <c r="O855" s="8"/>
      <c r="P855" s="8"/>
      <c r="Q855" s="8"/>
      <c r="R855" s="8"/>
      <c r="S855" s="8"/>
      <c r="T855" s="8"/>
      <c r="U855" s="8"/>
      <c r="V855" s="8"/>
      <c r="W855" s="8"/>
      <c r="X855" s="8"/>
      <c r="Y855" s="8"/>
      <c r="Z855" s="8"/>
    </row>
    <row r="856">
      <c r="A856" s="8"/>
      <c r="B856" s="8"/>
      <c r="C856" s="8"/>
      <c r="D856" s="8"/>
      <c r="E856" s="8"/>
      <c r="F856" s="8"/>
      <c r="G856" s="8"/>
      <c r="H856" s="8"/>
      <c r="I856" s="8"/>
      <c r="J856" s="8"/>
      <c r="K856" s="8"/>
      <c r="L856" s="8"/>
      <c r="M856" s="8"/>
      <c r="N856" s="8"/>
      <c r="O856" s="8"/>
      <c r="P856" s="8"/>
      <c r="Q856" s="8"/>
      <c r="R856" s="8"/>
      <c r="S856" s="8"/>
      <c r="T856" s="8"/>
      <c r="U856" s="8"/>
      <c r="V856" s="8"/>
      <c r="W856" s="8"/>
      <c r="X856" s="8"/>
      <c r="Y856" s="8"/>
      <c r="Z856" s="8"/>
    </row>
    <row r="857">
      <c r="A857" s="8"/>
      <c r="B857" s="8"/>
      <c r="C857" s="8"/>
      <c r="D857" s="8"/>
      <c r="E857" s="8"/>
      <c r="F857" s="8"/>
      <c r="G857" s="8"/>
      <c r="H857" s="8"/>
      <c r="I857" s="8"/>
      <c r="J857" s="8"/>
      <c r="K857" s="8"/>
      <c r="L857" s="8"/>
      <c r="M857" s="8"/>
      <c r="N857" s="8"/>
      <c r="O857" s="8"/>
      <c r="P857" s="8"/>
      <c r="Q857" s="8"/>
      <c r="R857" s="8"/>
      <c r="S857" s="8"/>
      <c r="T857" s="8"/>
      <c r="U857" s="8"/>
      <c r="V857" s="8"/>
      <c r="W857" s="8"/>
      <c r="X857" s="8"/>
      <c r="Y857" s="8"/>
      <c r="Z857" s="8"/>
    </row>
    <row r="858">
      <c r="A858" s="8"/>
      <c r="B858" s="8"/>
      <c r="C858" s="8"/>
      <c r="D858" s="8"/>
      <c r="E858" s="8"/>
      <c r="F858" s="8"/>
      <c r="G858" s="8"/>
      <c r="H858" s="8"/>
      <c r="I858" s="8"/>
      <c r="J858" s="8"/>
      <c r="K858" s="8"/>
      <c r="L858" s="8"/>
      <c r="M858" s="8"/>
      <c r="N858" s="8"/>
      <c r="O858" s="8"/>
      <c r="P858" s="8"/>
      <c r="Q858" s="8"/>
      <c r="R858" s="8"/>
      <c r="S858" s="8"/>
      <c r="T858" s="8"/>
      <c r="U858" s="8"/>
      <c r="V858" s="8"/>
      <c r="W858" s="8"/>
      <c r="X858" s="8"/>
      <c r="Y858" s="8"/>
      <c r="Z858" s="8"/>
    </row>
    <row r="859">
      <c r="A859" s="8"/>
      <c r="B859" s="8"/>
      <c r="C859" s="8"/>
      <c r="D859" s="8"/>
      <c r="E859" s="8"/>
      <c r="F859" s="8"/>
      <c r="G859" s="8"/>
      <c r="H859" s="8"/>
      <c r="I859" s="8"/>
      <c r="J859" s="8"/>
      <c r="K859" s="8"/>
      <c r="L859" s="8"/>
      <c r="M859" s="8"/>
      <c r="N859" s="8"/>
      <c r="O859" s="8"/>
      <c r="P859" s="8"/>
      <c r="Q859" s="8"/>
      <c r="R859" s="8"/>
      <c r="S859" s="8"/>
      <c r="T859" s="8"/>
      <c r="U859" s="8"/>
      <c r="V859" s="8"/>
      <c r="W859" s="8"/>
      <c r="X859" s="8"/>
      <c r="Y859" s="8"/>
      <c r="Z859" s="8"/>
    </row>
    <row r="860">
      <c r="A860" s="8"/>
      <c r="B860" s="8"/>
      <c r="C860" s="8"/>
      <c r="D860" s="8"/>
      <c r="E860" s="8"/>
      <c r="F860" s="8"/>
      <c r="G860" s="8"/>
      <c r="H860" s="8"/>
      <c r="I860" s="8"/>
      <c r="J860" s="8"/>
      <c r="K860" s="8"/>
      <c r="L860" s="8"/>
      <c r="M860" s="8"/>
      <c r="N860" s="8"/>
      <c r="O860" s="8"/>
      <c r="P860" s="8"/>
      <c r="Q860" s="8"/>
      <c r="R860" s="8"/>
      <c r="S860" s="8"/>
      <c r="T860" s="8"/>
      <c r="U860" s="8"/>
      <c r="V860" s="8"/>
      <c r="W860" s="8"/>
      <c r="X860" s="8"/>
      <c r="Y860" s="8"/>
      <c r="Z860" s="8"/>
    </row>
    <row r="861">
      <c r="A861" s="8"/>
      <c r="B861" s="8"/>
      <c r="C861" s="8"/>
      <c r="D861" s="8"/>
      <c r="E861" s="8"/>
      <c r="F861" s="8"/>
      <c r="G861" s="8"/>
      <c r="H861" s="8"/>
      <c r="I861" s="8"/>
      <c r="J861" s="8"/>
      <c r="K861" s="8"/>
      <c r="L861" s="8"/>
      <c r="M861" s="8"/>
      <c r="N861" s="8"/>
      <c r="O861" s="8"/>
      <c r="P861" s="8"/>
      <c r="Q861" s="8"/>
      <c r="R861" s="8"/>
      <c r="S861" s="8"/>
      <c r="T861" s="8"/>
      <c r="U861" s="8"/>
      <c r="V861" s="8"/>
      <c r="W861" s="8"/>
      <c r="X861" s="8"/>
      <c r="Y861" s="8"/>
      <c r="Z861" s="8"/>
    </row>
    <row r="862">
      <c r="A862" s="8"/>
      <c r="B862" s="8"/>
      <c r="C862" s="8"/>
      <c r="D862" s="8"/>
      <c r="E862" s="8"/>
      <c r="F862" s="8"/>
      <c r="G862" s="8"/>
      <c r="H862" s="8"/>
      <c r="I862" s="8"/>
      <c r="J862" s="8"/>
      <c r="K862" s="8"/>
      <c r="L862" s="8"/>
      <c r="M862" s="8"/>
      <c r="N862" s="8"/>
      <c r="O862" s="8"/>
      <c r="P862" s="8"/>
      <c r="Q862" s="8"/>
      <c r="R862" s="8"/>
      <c r="S862" s="8"/>
      <c r="T862" s="8"/>
      <c r="U862" s="8"/>
      <c r="V862" s="8"/>
      <c r="W862" s="8"/>
      <c r="X862" s="8"/>
      <c r="Y862" s="8"/>
      <c r="Z862" s="8"/>
    </row>
    <row r="863">
      <c r="A863" s="8"/>
      <c r="B863" s="8"/>
      <c r="C863" s="8"/>
      <c r="D863" s="8"/>
      <c r="E863" s="8"/>
      <c r="F863" s="8"/>
      <c r="G863" s="8"/>
      <c r="H863" s="8"/>
      <c r="I863" s="8"/>
      <c r="J863" s="8"/>
      <c r="K863" s="8"/>
      <c r="L863" s="8"/>
      <c r="M863" s="8"/>
      <c r="N863" s="8"/>
      <c r="O863" s="8"/>
      <c r="P863" s="8"/>
      <c r="Q863" s="8"/>
      <c r="R863" s="8"/>
      <c r="S863" s="8"/>
      <c r="T863" s="8"/>
      <c r="U863" s="8"/>
      <c r="V863" s="8"/>
      <c r="W863" s="8"/>
      <c r="X863" s="8"/>
      <c r="Y863" s="8"/>
      <c r="Z863" s="8"/>
    </row>
    <row r="864">
      <c r="A864" s="8"/>
      <c r="B864" s="8"/>
      <c r="C864" s="8"/>
      <c r="D864" s="8"/>
      <c r="E864" s="8"/>
      <c r="F864" s="8"/>
      <c r="G864" s="8"/>
      <c r="H864" s="8"/>
      <c r="I864" s="8"/>
      <c r="J864" s="8"/>
      <c r="K864" s="8"/>
      <c r="L864" s="8"/>
      <c r="M864" s="8"/>
      <c r="N864" s="8"/>
      <c r="O864" s="8"/>
      <c r="P864" s="8"/>
      <c r="Q864" s="8"/>
      <c r="R864" s="8"/>
      <c r="S864" s="8"/>
      <c r="T864" s="8"/>
      <c r="U864" s="8"/>
      <c r="V864" s="8"/>
      <c r="W864" s="8"/>
      <c r="X864" s="8"/>
      <c r="Y864" s="8"/>
      <c r="Z864" s="8"/>
    </row>
    <row r="865">
      <c r="A865" s="8"/>
      <c r="B865" s="8"/>
      <c r="C865" s="8"/>
      <c r="D865" s="8"/>
      <c r="E865" s="8"/>
      <c r="F865" s="8"/>
      <c r="G865" s="8"/>
      <c r="H865" s="8"/>
      <c r="I865" s="8"/>
      <c r="J865" s="8"/>
      <c r="K865" s="8"/>
      <c r="L865" s="8"/>
      <c r="M865" s="8"/>
      <c r="N865" s="8"/>
      <c r="O865" s="8"/>
      <c r="P865" s="8"/>
      <c r="Q865" s="8"/>
      <c r="R865" s="8"/>
      <c r="S865" s="8"/>
      <c r="T865" s="8"/>
      <c r="U865" s="8"/>
      <c r="V865" s="8"/>
      <c r="W865" s="8"/>
      <c r="X865" s="8"/>
      <c r="Y865" s="8"/>
      <c r="Z865" s="8"/>
    </row>
    <row r="866">
      <c r="A866" s="8"/>
      <c r="B866" s="8"/>
      <c r="C866" s="8"/>
      <c r="D866" s="8"/>
      <c r="E866" s="8"/>
      <c r="F866" s="8"/>
      <c r="G866" s="8"/>
      <c r="H866" s="8"/>
      <c r="I866" s="8"/>
      <c r="J866" s="8"/>
      <c r="K866" s="8"/>
      <c r="L866" s="8"/>
      <c r="M866" s="8"/>
      <c r="N866" s="8"/>
      <c r="O866" s="8"/>
      <c r="P866" s="8"/>
      <c r="Q866" s="8"/>
      <c r="R866" s="8"/>
      <c r="S866" s="8"/>
      <c r="T866" s="8"/>
      <c r="U866" s="8"/>
      <c r="V866" s="8"/>
      <c r="W866" s="8"/>
      <c r="X866" s="8"/>
      <c r="Y866" s="8"/>
      <c r="Z866" s="8"/>
    </row>
    <row r="867">
      <c r="A867" s="8"/>
      <c r="B867" s="8"/>
      <c r="C867" s="8"/>
      <c r="D867" s="8"/>
      <c r="E867" s="8"/>
      <c r="F867" s="8"/>
      <c r="G867" s="8"/>
      <c r="H867" s="8"/>
      <c r="I867" s="8"/>
      <c r="J867" s="8"/>
      <c r="K867" s="8"/>
      <c r="L867" s="8"/>
      <c r="M867" s="8"/>
      <c r="N867" s="8"/>
      <c r="O867" s="8"/>
      <c r="P867" s="8"/>
      <c r="Q867" s="8"/>
      <c r="R867" s="8"/>
      <c r="S867" s="8"/>
      <c r="T867" s="8"/>
      <c r="U867" s="8"/>
      <c r="V867" s="8"/>
      <c r="W867" s="8"/>
      <c r="X867" s="8"/>
      <c r="Y867" s="8"/>
      <c r="Z867" s="8"/>
    </row>
    <row r="868">
      <c r="A868" s="8"/>
      <c r="B868" s="8"/>
      <c r="C868" s="8"/>
      <c r="D868" s="8"/>
      <c r="E868" s="8"/>
      <c r="F868" s="8"/>
      <c r="G868" s="8"/>
      <c r="H868" s="8"/>
      <c r="I868" s="8"/>
      <c r="J868" s="8"/>
      <c r="K868" s="8"/>
      <c r="L868" s="8"/>
      <c r="M868" s="8"/>
      <c r="N868" s="8"/>
      <c r="O868" s="8"/>
      <c r="P868" s="8"/>
      <c r="Q868" s="8"/>
      <c r="R868" s="8"/>
      <c r="S868" s="8"/>
      <c r="T868" s="8"/>
      <c r="U868" s="8"/>
      <c r="V868" s="8"/>
      <c r="W868" s="8"/>
      <c r="X868" s="8"/>
      <c r="Y868" s="8"/>
      <c r="Z868" s="8"/>
    </row>
    <row r="869">
      <c r="A869" s="8"/>
      <c r="B869" s="8"/>
      <c r="C869" s="8"/>
      <c r="D869" s="8"/>
      <c r="E869" s="8"/>
      <c r="F869" s="8"/>
      <c r="G869" s="8"/>
      <c r="H869" s="8"/>
      <c r="I869" s="8"/>
      <c r="J869" s="8"/>
      <c r="K869" s="8"/>
      <c r="L869" s="8"/>
      <c r="M869" s="8"/>
      <c r="N869" s="8"/>
      <c r="O869" s="8"/>
      <c r="P869" s="8"/>
      <c r="Q869" s="8"/>
      <c r="R869" s="8"/>
      <c r="S869" s="8"/>
      <c r="T869" s="8"/>
      <c r="U869" s="8"/>
      <c r="V869" s="8"/>
      <c r="W869" s="8"/>
      <c r="X869" s="8"/>
      <c r="Y869" s="8"/>
      <c r="Z869" s="8"/>
    </row>
    <row r="870">
      <c r="A870" s="8"/>
      <c r="B870" s="8"/>
      <c r="C870" s="8"/>
      <c r="D870" s="8"/>
      <c r="E870" s="8"/>
      <c r="F870" s="8"/>
      <c r="G870" s="8"/>
      <c r="H870" s="8"/>
      <c r="I870" s="8"/>
      <c r="J870" s="8"/>
      <c r="K870" s="8"/>
      <c r="L870" s="8"/>
      <c r="M870" s="8"/>
      <c r="N870" s="8"/>
      <c r="O870" s="8"/>
      <c r="P870" s="8"/>
      <c r="Q870" s="8"/>
      <c r="R870" s="8"/>
      <c r="S870" s="8"/>
      <c r="T870" s="8"/>
      <c r="U870" s="8"/>
      <c r="V870" s="8"/>
      <c r="W870" s="8"/>
      <c r="X870" s="8"/>
      <c r="Y870" s="8"/>
      <c r="Z870" s="8"/>
    </row>
    <row r="871">
      <c r="A871" s="8"/>
      <c r="B871" s="8"/>
      <c r="C871" s="8"/>
      <c r="D871" s="8"/>
      <c r="E871" s="8"/>
      <c r="F871" s="8"/>
      <c r="G871" s="8"/>
      <c r="H871" s="8"/>
      <c r="I871" s="8"/>
      <c r="J871" s="8"/>
      <c r="K871" s="8"/>
      <c r="L871" s="8"/>
      <c r="M871" s="8"/>
      <c r="N871" s="8"/>
      <c r="O871" s="8"/>
      <c r="P871" s="8"/>
      <c r="Q871" s="8"/>
      <c r="R871" s="8"/>
      <c r="S871" s="8"/>
      <c r="T871" s="8"/>
      <c r="U871" s="8"/>
      <c r="V871" s="8"/>
      <c r="W871" s="8"/>
      <c r="X871" s="8"/>
      <c r="Y871" s="8"/>
      <c r="Z871" s="8"/>
    </row>
    <row r="872">
      <c r="A872" s="8"/>
      <c r="B872" s="8"/>
      <c r="C872" s="8"/>
      <c r="D872" s="8"/>
      <c r="E872" s="8"/>
      <c r="F872" s="8"/>
      <c r="G872" s="8"/>
      <c r="H872" s="8"/>
      <c r="I872" s="8"/>
      <c r="J872" s="8"/>
      <c r="K872" s="8"/>
      <c r="L872" s="8"/>
      <c r="M872" s="8"/>
      <c r="N872" s="8"/>
      <c r="O872" s="8"/>
      <c r="P872" s="8"/>
      <c r="Q872" s="8"/>
      <c r="R872" s="8"/>
      <c r="S872" s="8"/>
      <c r="T872" s="8"/>
      <c r="U872" s="8"/>
      <c r="V872" s="8"/>
      <c r="W872" s="8"/>
      <c r="X872" s="8"/>
      <c r="Y872" s="8"/>
      <c r="Z872" s="8"/>
    </row>
    <row r="873">
      <c r="A873" s="8"/>
      <c r="B873" s="8"/>
      <c r="C873" s="8"/>
      <c r="D873" s="8"/>
      <c r="E873" s="8"/>
      <c r="F873" s="8"/>
      <c r="G873" s="8"/>
      <c r="H873" s="8"/>
      <c r="I873" s="8"/>
      <c r="J873" s="8"/>
      <c r="K873" s="8"/>
      <c r="L873" s="8"/>
      <c r="M873" s="8"/>
      <c r="N873" s="8"/>
      <c r="O873" s="8"/>
      <c r="P873" s="8"/>
      <c r="Q873" s="8"/>
      <c r="R873" s="8"/>
      <c r="S873" s="8"/>
      <c r="T873" s="8"/>
      <c r="U873" s="8"/>
      <c r="V873" s="8"/>
      <c r="W873" s="8"/>
      <c r="X873" s="8"/>
      <c r="Y873" s="8"/>
      <c r="Z873" s="8"/>
    </row>
    <row r="874">
      <c r="A874" s="8"/>
      <c r="B874" s="8"/>
      <c r="C874" s="8"/>
      <c r="D874" s="8"/>
      <c r="E874" s="8"/>
      <c r="F874" s="8"/>
      <c r="G874" s="8"/>
      <c r="H874" s="8"/>
      <c r="I874" s="8"/>
      <c r="J874" s="8"/>
      <c r="K874" s="8"/>
      <c r="L874" s="8"/>
      <c r="M874" s="8"/>
      <c r="N874" s="8"/>
      <c r="O874" s="8"/>
      <c r="P874" s="8"/>
      <c r="Q874" s="8"/>
      <c r="R874" s="8"/>
      <c r="S874" s="8"/>
      <c r="T874" s="8"/>
      <c r="U874" s="8"/>
      <c r="V874" s="8"/>
      <c r="W874" s="8"/>
      <c r="X874" s="8"/>
      <c r="Y874" s="8"/>
      <c r="Z874" s="8"/>
    </row>
    <row r="875">
      <c r="A875" s="8"/>
      <c r="B875" s="8"/>
      <c r="C875" s="8"/>
      <c r="D875" s="8"/>
      <c r="E875" s="8"/>
      <c r="F875" s="8"/>
      <c r="G875" s="8"/>
      <c r="H875" s="8"/>
      <c r="I875" s="8"/>
      <c r="J875" s="8"/>
      <c r="K875" s="8"/>
      <c r="L875" s="8"/>
      <c r="M875" s="8"/>
      <c r="N875" s="8"/>
      <c r="O875" s="8"/>
      <c r="P875" s="8"/>
      <c r="Q875" s="8"/>
      <c r="R875" s="8"/>
      <c r="S875" s="8"/>
      <c r="T875" s="8"/>
      <c r="U875" s="8"/>
      <c r="V875" s="8"/>
      <c r="W875" s="8"/>
      <c r="X875" s="8"/>
      <c r="Y875" s="8"/>
      <c r="Z875" s="8"/>
    </row>
    <row r="876">
      <c r="A876" s="8"/>
      <c r="B876" s="8"/>
      <c r="C876" s="8"/>
      <c r="D876" s="8"/>
      <c r="E876" s="8"/>
      <c r="F876" s="8"/>
      <c r="G876" s="8"/>
      <c r="H876" s="8"/>
      <c r="I876" s="8"/>
      <c r="J876" s="8"/>
      <c r="K876" s="8"/>
      <c r="L876" s="8"/>
      <c r="M876" s="8"/>
      <c r="N876" s="8"/>
      <c r="O876" s="8"/>
      <c r="P876" s="8"/>
      <c r="Q876" s="8"/>
      <c r="R876" s="8"/>
      <c r="S876" s="8"/>
      <c r="T876" s="8"/>
      <c r="U876" s="8"/>
      <c r="V876" s="8"/>
      <c r="W876" s="8"/>
      <c r="X876" s="8"/>
      <c r="Y876" s="8"/>
      <c r="Z876" s="8"/>
    </row>
    <row r="877">
      <c r="A877" s="8"/>
      <c r="B877" s="8"/>
      <c r="C877" s="8"/>
      <c r="D877" s="8"/>
      <c r="E877" s="8"/>
      <c r="F877" s="8"/>
      <c r="G877" s="8"/>
      <c r="H877" s="8"/>
      <c r="I877" s="8"/>
      <c r="J877" s="8"/>
      <c r="K877" s="8"/>
      <c r="L877" s="8"/>
      <c r="M877" s="8"/>
      <c r="N877" s="8"/>
      <c r="O877" s="8"/>
      <c r="P877" s="8"/>
      <c r="Q877" s="8"/>
      <c r="R877" s="8"/>
      <c r="S877" s="8"/>
      <c r="T877" s="8"/>
      <c r="U877" s="8"/>
      <c r="V877" s="8"/>
      <c r="W877" s="8"/>
      <c r="X877" s="8"/>
      <c r="Y877" s="8"/>
      <c r="Z877" s="8"/>
    </row>
    <row r="878">
      <c r="A878" s="8"/>
      <c r="B878" s="8"/>
      <c r="C878" s="8"/>
      <c r="D878" s="8"/>
      <c r="E878" s="8"/>
      <c r="F878" s="8"/>
      <c r="G878" s="8"/>
      <c r="H878" s="8"/>
      <c r="I878" s="8"/>
      <c r="J878" s="8"/>
      <c r="K878" s="8"/>
      <c r="L878" s="8"/>
      <c r="M878" s="8"/>
      <c r="N878" s="8"/>
      <c r="O878" s="8"/>
      <c r="P878" s="8"/>
      <c r="Q878" s="8"/>
      <c r="R878" s="8"/>
      <c r="S878" s="8"/>
      <c r="T878" s="8"/>
      <c r="U878" s="8"/>
      <c r="V878" s="8"/>
      <c r="W878" s="8"/>
      <c r="X878" s="8"/>
      <c r="Y878" s="8"/>
      <c r="Z878" s="8"/>
    </row>
    <row r="879">
      <c r="A879" s="8"/>
      <c r="B879" s="8"/>
      <c r="C879" s="8"/>
      <c r="D879" s="8"/>
      <c r="E879" s="8"/>
      <c r="F879" s="8"/>
      <c r="G879" s="8"/>
      <c r="H879" s="8"/>
      <c r="I879" s="8"/>
      <c r="J879" s="8"/>
      <c r="K879" s="8"/>
      <c r="L879" s="8"/>
      <c r="M879" s="8"/>
      <c r="N879" s="8"/>
      <c r="O879" s="8"/>
      <c r="P879" s="8"/>
      <c r="Q879" s="8"/>
      <c r="R879" s="8"/>
      <c r="S879" s="8"/>
      <c r="T879" s="8"/>
      <c r="U879" s="8"/>
      <c r="V879" s="8"/>
      <c r="W879" s="8"/>
      <c r="X879" s="8"/>
      <c r="Y879" s="8"/>
      <c r="Z879" s="8"/>
    </row>
    <row r="880">
      <c r="A880" s="8"/>
      <c r="B880" s="8"/>
      <c r="C880" s="8"/>
      <c r="D880" s="8"/>
      <c r="E880" s="8"/>
      <c r="F880" s="8"/>
      <c r="G880" s="8"/>
      <c r="H880" s="8"/>
      <c r="I880" s="8"/>
      <c r="J880" s="8"/>
      <c r="K880" s="8"/>
      <c r="L880" s="8"/>
      <c r="M880" s="8"/>
      <c r="N880" s="8"/>
      <c r="O880" s="8"/>
      <c r="P880" s="8"/>
      <c r="Q880" s="8"/>
      <c r="R880" s="8"/>
      <c r="S880" s="8"/>
      <c r="T880" s="8"/>
      <c r="U880" s="8"/>
      <c r="V880" s="8"/>
      <c r="W880" s="8"/>
      <c r="X880" s="8"/>
      <c r="Y880" s="8"/>
      <c r="Z880" s="8"/>
    </row>
    <row r="881">
      <c r="A881" s="8"/>
      <c r="B881" s="8"/>
      <c r="C881" s="8"/>
      <c r="D881" s="8"/>
      <c r="E881" s="8"/>
      <c r="F881" s="8"/>
      <c r="G881" s="8"/>
      <c r="H881" s="8"/>
      <c r="I881" s="8"/>
      <c r="J881" s="8"/>
      <c r="K881" s="8"/>
      <c r="L881" s="8"/>
      <c r="M881" s="8"/>
      <c r="N881" s="8"/>
      <c r="O881" s="8"/>
      <c r="P881" s="8"/>
      <c r="Q881" s="8"/>
      <c r="R881" s="8"/>
      <c r="S881" s="8"/>
      <c r="T881" s="8"/>
      <c r="U881" s="8"/>
      <c r="V881" s="8"/>
      <c r="W881" s="8"/>
      <c r="X881" s="8"/>
      <c r="Y881" s="8"/>
      <c r="Z881" s="8"/>
    </row>
    <row r="882">
      <c r="A882" s="8"/>
      <c r="B882" s="8"/>
      <c r="C882" s="8"/>
      <c r="D882" s="8"/>
      <c r="E882" s="8"/>
      <c r="F882" s="8"/>
      <c r="G882" s="8"/>
      <c r="H882" s="8"/>
      <c r="I882" s="8"/>
      <c r="J882" s="8"/>
      <c r="K882" s="8"/>
      <c r="L882" s="8"/>
      <c r="M882" s="8"/>
      <c r="N882" s="8"/>
      <c r="O882" s="8"/>
      <c r="P882" s="8"/>
      <c r="Q882" s="8"/>
      <c r="R882" s="8"/>
      <c r="S882" s="8"/>
      <c r="T882" s="8"/>
      <c r="U882" s="8"/>
      <c r="V882" s="8"/>
      <c r="W882" s="8"/>
      <c r="X882" s="8"/>
      <c r="Y882" s="8"/>
      <c r="Z882" s="8"/>
    </row>
    <row r="883">
      <c r="A883" s="8"/>
      <c r="B883" s="8"/>
      <c r="C883" s="8"/>
      <c r="D883" s="8"/>
      <c r="E883" s="8"/>
      <c r="F883" s="8"/>
      <c r="G883" s="8"/>
      <c r="H883" s="8"/>
      <c r="I883" s="8"/>
      <c r="J883" s="8"/>
      <c r="K883" s="8"/>
      <c r="L883" s="8"/>
      <c r="M883" s="8"/>
      <c r="N883" s="8"/>
      <c r="O883" s="8"/>
      <c r="P883" s="8"/>
      <c r="Q883" s="8"/>
      <c r="R883" s="8"/>
      <c r="S883" s="8"/>
      <c r="T883" s="8"/>
      <c r="U883" s="8"/>
      <c r="V883" s="8"/>
      <c r="W883" s="8"/>
      <c r="X883" s="8"/>
      <c r="Y883" s="8"/>
      <c r="Z883" s="8"/>
    </row>
    <row r="884">
      <c r="A884" s="8"/>
      <c r="B884" s="8"/>
      <c r="C884" s="8"/>
      <c r="D884" s="8"/>
      <c r="E884" s="8"/>
      <c r="F884" s="8"/>
      <c r="G884" s="8"/>
      <c r="H884" s="8"/>
      <c r="I884" s="8"/>
      <c r="J884" s="8"/>
      <c r="K884" s="8"/>
      <c r="L884" s="8"/>
      <c r="M884" s="8"/>
      <c r="N884" s="8"/>
      <c r="O884" s="8"/>
      <c r="P884" s="8"/>
      <c r="Q884" s="8"/>
      <c r="R884" s="8"/>
      <c r="S884" s="8"/>
      <c r="T884" s="8"/>
      <c r="U884" s="8"/>
      <c r="V884" s="8"/>
      <c r="W884" s="8"/>
      <c r="X884" s="8"/>
      <c r="Y884" s="8"/>
      <c r="Z884" s="8"/>
    </row>
    <row r="885">
      <c r="A885" s="8"/>
      <c r="B885" s="8"/>
      <c r="C885" s="8"/>
      <c r="D885" s="8"/>
      <c r="E885" s="8"/>
      <c r="F885" s="8"/>
      <c r="G885" s="8"/>
      <c r="H885" s="8"/>
      <c r="I885" s="8"/>
      <c r="J885" s="8"/>
      <c r="K885" s="8"/>
      <c r="L885" s="8"/>
      <c r="M885" s="8"/>
      <c r="N885" s="8"/>
      <c r="O885" s="8"/>
      <c r="P885" s="8"/>
      <c r="Q885" s="8"/>
      <c r="R885" s="8"/>
      <c r="S885" s="8"/>
      <c r="T885" s="8"/>
      <c r="U885" s="8"/>
      <c r="V885" s="8"/>
      <c r="W885" s="8"/>
      <c r="X885" s="8"/>
      <c r="Y885" s="8"/>
      <c r="Z885" s="8"/>
    </row>
    <row r="886">
      <c r="A886" s="8"/>
      <c r="B886" s="8"/>
      <c r="C886" s="8"/>
      <c r="D886" s="8"/>
      <c r="E886" s="8"/>
      <c r="F886" s="8"/>
      <c r="G886" s="8"/>
      <c r="H886" s="8"/>
      <c r="I886" s="8"/>
      <c r="J886" s="8"/>
      <c r="K886" s="8"/>
      <c r="L886" s="8"/>
      <c r="M886" s="8"/>
      <c r="N886" s="8"/>
      <c r="O886" s="8"/>
      <c r="P886" s="8"/>
      <c r="Q886" s="8"/>
      <c r="R886" s="8"/>
      <c r="S886" s="8"/>
      <c r="T886" s="8"/>
      <c r="U886" s="8"/>
      <c r="V886" s="8"/>
      <c r="W886" s="8"/>
      <c r="X886" s="8"/>
      <c r="Y886" s="8"/>
      <c r="Z886" s="8"/>
    </row>
    <row r="887">
      <c r="A887" s="8"/>
      <c r="B887" s="8"/>
      <c r="C887" s="8"/>
      <c r="D887" s="8"/>
      <c r="E887" s="8"/>
      <c r="F887" s="8"/>
      <c r="G887" s="8"/>
      <c r="H887" s="8"/>
      <c r="I887" s="8"/>
      <c r="J887" s="8"/>
      <c r="K887" s="8"/>
      <c r="L887" s="8"/>
      <c r="M887" s="8"/>
      <c r="N887" s="8"/>
      <c r="O887" s="8"/>
      <c r="P887" s="8"/>
      <c r="Q887" s="8"/>
      <c r="R887" s="8"/>
      <c r="S887" s="8"/>
      <c r="T887" s="8"/>
      <c r="U887" s="8"/>
      <c r="V887" s="8"/>
      <c r="W887" s="8"/>
      <c r="X887" s="8"/>
      <c r="Y887" s="8"/>
      <c r="Z887" s="8"/>
    </row>
    <row r="888">
      <c r="A888" s="8"/>
      <c r="B888" s="8"/>
      <c r="C888" s="8"/>
      <c r="D888" s="8"/>
      <c r="E888" s="8"/>
      <c r="F888" s="8"/>
      <c r="G888" s="8"/>
      <c r="H888" s="8"/>
      <c r="I888" s="8"/>
      <c r="J888" s="8"/>
      <c r="K888" s="8"/>
      <c r="L888" s="8"/>
      <c r="M888" s="8"/>
      <c r="N888" s="8"/>
      <c r="O888" s="8"/>
      <c r="P888" s="8"/>
      <c r="Q888" s="8"/>
      <c r="R888" s="8"/>
      <c r="S888" s="8"/>
      <c r="T888" s="8"/>
      <c r="U888" s="8"/>
      <c r="V888" s="8"/>
      <c r="W888" s="8"/>
      <c r="X888" s="8"/>
      <c r="Y888" s="8"/>
      <c r="Z888" s="8"/>
    </row>
    <row r="889">
      <c r="A889" s="8"/>
      <c r="B889" s="8"/>
      <c r="C889" s="8"/>
      <c r="D889" s="8"/>
      <c r="E889" s="8"/>
      <c r="F889" s="8"/>
      <c r="G889" s="8"/>
      <c r="H889" s="8"/>
      <c r="I889" s="8"/>
      <c r="J889" s="8"/>
      <c r="K889" s="8"/>
      <c r="L889" s="8"/>
      <c r="M889" s="8"/>
      <c r="N889" s="8"/>
      <c r="O889" s="8"/>
      <c r="P889" s="8"/>
      <c r="Q889" s="8"/>
      <c r="R889" s="8"/>
      <c r="S889" s="8"/>
      <c r="T889" s="8"/>
      <c r="U889" s="8"/>
      <c r="V889" s="8"/>
      <c r="W889" s="8"/>
      <c r="X889" s="8"/>
      <c r="Y889" s="8"/>
      <c r="Z889" s="8"/>
    </row>
    <row r="890">
      <c r="A890" s="8"/>
      <c r="B890" s="8"/>
      <c r="C890" s="8"/>
      <c r="D890" s="8"/>
      <c r="E890" s="8"/>
      <c r="F890" s="8"/>
      <c r="G890" s="8"/>
      <c r="H890" s="8"/>
      <c r="I890" s="8"/>
      <c r="J890" s="8"/>
      <c r="K890" s="8"/>
      <c r="L890" s="8"/>
      <c r="M890" s="8"/>
      <c r="N890" s="8"/>
      <c r="O890" s="8"/>
      <c r="P890" s="8"/>
      <c r="Q890" s="8"/>
      <c r="R890" s="8"/>
      <c r="S890" s="8"/>
      <c r="T890" s="8"/>
      <c r="U890" s="8"/>
      <c r="V890" s="8"/>
      <c r="W890" s="8"/>
      <c r="X890" s="8"/>
      <c r="Y890" s="8"/>
      <c r="Z890" s="8"/>
    </row>
    <row r="891">
      <c r="A891" s="8"/>
      <c r="B891" s="8"/>
      <c r="C891" s="8"/>
      <c r="D891" s="8"/>
      <c r="E891" s="8"/>
      <c r="F891" s="8"/>
      <c r="G891" s="8"/>
      <c r="H891" s="8"/>
      <c r="I891" s="8"/>
      <c r="J891" s="8"/>
      <c r="K891" s="8"/>
      <c r="L891" s="8"/>
      <c r="M891" s="8"/>
      <c r="N891" s="8"/>
      <c r="O891" s="8"/>
      <c r="P891" s="8"/>
      <c r="Q891" s="8"/>
      <c r="R891" s="8"/>
      <c r="S891" s="8"/>
      <c r="T891" s="8"/>
      <c r="U891" s="8"/>
      <c r="V891" s="8"/>
      <c r="W891" s="8"/>
      <c r="X891" s="8"/>
      <c r="Y891" s="8"/>
      <c r="Z891" s="8"/>
    </row>
    <row r="892">
      <c r="A892" s="8"/>
      <c r="B892" s="8"/>
      <c r="C892" s="8"/>
      <c r="D892" s="8"/>
      <c r="E892" s="8"/>
      <c r="F892" s="8"/>
      <c r="G892" s="8"/>
      <c r="H892" s="8"/>
      <c r="I892" s="8"/>
      <c r="J892" s="8"/>
      <c r="K892" s="8"/>
      <c r="L892" s="8"/>
      <c r="M892" s="8"/>
      <c r="N892" s="8"/>
      <c r="O892" s="8"/>
      <c r="P892" s="8"/>
      <c r="Q892" s="8"/>
      <c r="R892" s="8"/>
      <c r="S892" s="8"/>
      <c r="T892" s="8"/>
      <c r="U892" s="8"/>
      <c r="V892" s="8"/>
      <c r="W892" s="8"/>
      <c r="X892" s="8"/>
      <c r="Y892" s="8"/>
      <c r="Z892" s="8"/>
    </row>
    <row r="893">
      <c r="A893" s="8"/>
      <c r="B893" s="8"/>
      <c r="C893" s="8"/>
      <c r="D893" s="8"/>
      <c r="E893" s="8"/>
      <c r="F893" s="8"/>
      <c r="G893" s="8"/>
      <c r="H893" s="8"/>
      <c r="I893" s="8"/>
      <c r="J893" s="8"/>
      <c r="K893" s="8"/>
      <c r="L893" s="8"/>
      <c r="M893" s="8"/>
      <c r="N893" s="8"/>
      <c r="O893" s="8"/>
      <c r="P893" s="8"/>
      <c r="Q893" s="8"/>
      <c r="R893" s="8"/>
      <c r="S893" s="8"/>
      <c r="T893" s="8"/>
      <c r="U893" s="8"/>
      <c r="V893" s="8"/>
      <c r="W893" s="8"/>
      <c r="X893" s="8"/>
      <c r="Y893" s="8"/>
      <c r="Z893" s="8"/>
    </row>
    <row r="894">
      <c r="A894" s="8"/>
      <c r="B894" s="8"/>
      <c r="C894" s="8"/>
      <c r="D894" s="8"/>
      <c r="E894" s="8"/>
      <c r="F894" s="8"/>
      <c r="G894" s="8"/>
      <c r="H894" s="8"/>
      <c r="I894" s="8"/>
      <c r="J894" s="8"/>
      <c r="K894" s="8"/>
      <c r="L894" s="8"/>
      <c r="M894" s="8"/>
      <c r="N894" s="8"/>
      <c r="O894" s="8"/>
      <c r="P894" s="8"/>
      <c r="Q894" s="8"/>
      <c r="R894" s="8"/>
      <c r="S894" s="8"/>
      <c r="T894" s="8"/>
      <c r="U894" s="8"/>
      <c r="V894" s="8"/>
      <c r="W894" s="8"/>
      <c r="X894" s="8"/>
      <c r="Y894" s="8"/>
      <c r="Z894" s="8"/>
    </row>
    <row r="895">
      <c r="A895" s="8"/>
      <c r="B895" s="8"/>
      <c r="C895" s="8"/>
      <c r="D895" s="8"/>
      <c r="E895" s="8"/>
      <c r="F895" s="8"/>
      <c r="G895" s="8"/>
      <c r="H895" s="8"/>
      <c r="I895" s="8"/>
      <c r="J895" s="8"/>
      <c r="K895" s="8"/>
      <c r="L895" s="8"/>
      <c r="M895" s="8"/>
      <c r="N895" s="8"/>
      <c r="O895" s="8"/>
      <c r="P895" s="8"/>
      <c r="Q895" s="8"/>
      <c r="R895" s="8"/>
      <c r="S895" s="8"/>
      <c r="T895" s="8"/>
      <c r="U895" s="8"/>
      <c r="V895" s="8"/>
      <c r="W895" s="8"/>
      <c r="X895" s="8"/>
      <c r="Y895" s="8"/>
      <c r="Z895" s="8"/>
    </row>
    <row r="896">
      <c r="A896" s="8"/>
      <c r="B896" s="8"/>
      <c r="C896" s="8"/>
      <c r="D896" s="8"/>
      <c r="E896" s="8"/>
      <c r="F896" s="8"/>
      <c r="G896" s="8"/>
      <c r="H896" s="8"/>
      <c r="I896" s="8"/>
      <c r="J896" s="8"/>
      <c r="K896" s="8"/>
      <c r="L896" s="8"/>
      <c r="M896" s="8"/>
      <c r="N896" s="8"/>
      <c r="O896" s="8"/>
      <c r="P896" s="8"/>
      <c r="Q896" s="8"/>
      <c r="R896" s="8"/>
      <c r="S896" s="8"/>
      <c r="T896" s="8"/>
      <c r="U896" s="8"/>
      <c r="V896" s="8"/>
      <c r="W896" s="8"/>
      <c r="X896" s="8"/>
      <c r="Y896" s="8"/>
      <c r="Z896" s="8"/>
    </row>
    <row r="897">
      <c r="A897" s="8"/>
      <c r="B897" s="8"/>
      <c r="C897" s="8"/>
      <c r="D897" s="8"/>
      <c r="E897" s="8"/>
      <c r="F897" s="8"/>
      <c r="G897" s="8"/>
      <c r="H897" s="8"/>
      <c r="I897" s="8"/>
      <c r="J897" s="8"/>
      <c r="K897" s="8"/>
      <c r="L897" s="8"/>
      <c r="M897" s="8"/>
      <c r="N897" s="8"/>
      <c r="O897" s="8"/>
      <c r="P897" s="8"/>
      <c r="Q897" s="8"/>
      <c r="R897" s="8"/>
      <c r="S897" s="8"/>
      <c r="T897" s="8"/>
      <c r="U897" s="8"/>
      <c r="V897" s="8"/>
      <c r="W897" s="8"/>
      <c r="X897" s="8"/>
      <c r="Y897" s="8"/>
      <c r="Z897" s="8"/>
    </row>
    <row r="898">
      <c r="A898" s="8"/>
      <c r="B898" s="8"/>
      <c r="C898" s="8"/>
      <c r="D898" s="8"/>
      <c r="E898" s="8"/>
      <c r="F898" s="8"/>
      <c r="G898" s="8"/>
      <c r="H898" s="8"/>
      <c r="I898" s="8"/>
      <c r="J898" s="8"/>
      <c r="K898" s="8"/>
      <c r="L898" s="8"/>
      <c r="M898" s="8"/>
      <c r="N898" s="8"/>
      <c r="O898" s="8"/>
      <c r="P898" s="8"/>
      <c r="Q898" s="8"/>
      <c r="R898" s="8"/>
      <c r="S898" s="8"/>
      <c r="T898" s="8"/>
      <c r="U898" s="8"/>
      <c r="V898" s="8"/>
      <c r="W898" s="8"/>
      <c r="X898" s="8"/>
      <c r="Y898" s="8"/>
      <c r="Z898" s="8"/>
    </row>
    <row r="899">
      <c r="A899" s="8"/>
      <c r="B899" s="8"/>
      <c r="C899" s="8"/>
      <c r="D899" s="8"/>
      <c r="E899" s="8"/>
      <c r="F899" s="8"/>
      <c r="G899" s="8"/>
      <c r="H899" s="8"/>
      <c r="I899" s="8"/>
      <c r="J899" s="8"/>
      <c r="K899" s="8"/>
      <c r="L899" s="8"/>
      <c r="M899" s="8"/>
      <c r="N899" s="8"/>
      <c r="O899" s="8"/>
      <c r="P899" s="8"/>
      <c r="Q899" s="8"/>
      <c r="R899" s="8"/>
      <c r="S899" s="8"/>
      <c r="T899" s="8"/>
      <c r="U899" s="8"/>
      <c r="V899" s="8"/>
      <c r="W899" s="8"/>
      <c r="X899" s="8"/>
      <c r="Y899" s="8"/>
      <c r="Z899" s="8"/>
    </row>
    <row r="900">
      <c r="A900" s="8"/>
      <c r="B900" s="8"/>
      <c r="C900" s="8"/>
      <c r="D900" s="8"/>
      <c r="E900" s="8"/>
      <c r="F900" s="8"/>
      <c r="G900" s="8"/>
      <c r="H900" s="8"/>
      <c r="I900" s="8"/>
      <c r="J900" s="8"/>
      <c r="K900" s="8"/>
      <c r="L900" s="8"/>
      <c r="M900" s="8"/>
      <c r="N900" s="8"/>
      <c r="O900" s="8"/>
      <c r="P900" s="8"/>
      <c r="Q900" s="8"/>
      <c r="R900" s="8"/>
      <c r="S900" s="8"/>
      <c r="T900" s="8"/>
      <c r="U900" s="8"/>
      <c r="V900" s="8"/>
      <c r="W900" s="8"/>
      <c r="X900" s="8"/>
      <c r="Y900" s="8"/>
      <c r="Z900" s="8"/>
    </row>
    <row r="901">
      <c r="A901" s="8"/>
      <c r="B901" s="8"/>
      <c r="C901" s="8"/>
      <c r="D901" s="8"/>
      <c r="E901" s="8"/>
      <c r="F901" s="8"/>
      <c r="G901" s="8"/>
      <c r="H901" s="8"/>
      <c r="I901" s="8"/>
      <c r="J901" s="8"/>
      <c r="K901" s="8"/>
      <c r="L901" s="8"/>
      <c r="M901" s="8"/>
      <c r="N901" s="8"/>
      <c r="O901" s="8"/>
      <c r="P901" s="8"/>
      <c r="Q901" s="8"/>
      <c r="R901" s="8"/>
      <c r="S901" s="8"/>
      <c r="T901" s="8"/>
      <c r="U901" s="8"/>
      <c r="V901" s="8"/>
      <c r="W901" s="8"/>
      <c r="X901" s="8"/>
      <c r="Y901" s="8"/>
      <c r="Z901" s="8"/>
    </row>
    <row r="902">
      <c r="A902" s="8"/>
      <c r="B902" s="8"/>
      <c r="C902" s="8"/>
      <c r="D902" s="8"/>
      <c r="E902" s="8"/>
      <c r="F902" s="8"/>
      <c r="G902" s="8"/>
      <c r="H902" s="8"/>
      <c r="I902" s="8"/>
      <c r="J902" s="8"/>
      <c r="K902" s="8"/>
      <c r="L902" s="8"/>
      <c r="M902" s="8"/>
      <c r="N902" s="8"/>
      <c r="O902" s="8"/>
      <c r="P902" s="8"/>
      <c r="Q902" s="8"/>
      <c r="R902" s="8"/>
      <c r="S902" s="8"/>
      <c r="T902" s="8"/>
      <c r="U902" s="8"/>
      <c r="V902" s="8"/>
      <c r="W902" s="8"/>
      <c r="X902" s="8"/>
      <c r="Y902" s="8"/>
      <c r="Z902" s="8"/>
    </row>
    <row r="903">
      <c r="A903" s="8"/>
      <c r="B903" s="8"/>
      <c r="C903" s="8"/>
      <c r="D903" s="8"/>
      <c r="E903" s="8"/>
      <c r="F903" s="8"/>
      <c r="G903" s="8"/>
      <c r="H903" s="8"/>
      <c r="I903" s="8"/>
      <c r="J903" s="8"/>
      <c r="K903" s="8"/>
      <c r="L903" s="8"/>
      <c r="M903" s="8"/>
      <c r="N903" s="8"/>
      <c r="O903" s="8"/>
      <c r="P903" s="8"/>
      <c r="Q903" s="8"/>
      <c r="R903" s="8"/>
      <c r="S903" s="8"/>
      <c r="T903" s="8"/>
      <c r="U903" s="8"/>
      <c r="V903" s="8"/>
      <c r="W903" s="8"/>
      <c r="X903" s="8"/>
      <c r="Y903" s="8"/>
      <c r="Z903" s="8"/>
    </row>
    <row r="904">
      <c r="A904" s="8"/>
      <c r="B904" s="8"/>
      <c r="C904" s="8"/>
      <c r="D904" s="8"/>
      <c r="E904" s="8"/>
      <c r="F904" s="8"/>
      <c r="G904" s="8"/>
      <c r="H904" s="8"/>
      <c r="I904" s="8"/>
      <c r="J904" s="8"/>
      <c r="K904" s="8"/>
      <c r="L904" s="8"/>
      <c r="M904" s="8"/>
      <c r="N904" s="8"/>
      <c r="O904" s="8"/>
      <c r="P904" s="8"/>
      <c r="Q904" s="8"/>
      <c r="R904" s="8"/>
      <c r="S904" s="8"/>
      <c r="T904" s="8"/>
      <c r="U904" s="8"/>
      <c r="V904" s="8"/>
      <c r="W904" s="8"/>
      <c r="X904" s="8"/>
      <c r="Y904" s="8"/>
      <c r="Z904" s="8"/>
    </row>
    <row r="905">
      <c r="A905" s="8"/>
      <c r="B905" s="8"/>
      <c r="C905" s="8"/>
      <c r="D905" s="8"/>
      <c r="E905" s="8"/>
      <c r="F905" s="8"/>
      <c r="G905" s="8"/>
      <c r="H905" s="8"/>
      <c r="I905" s="8"/>
      <c r="J905" s="8"/>
      <c r="K905" s="8"/>
      <c r="L905" s="8"/>
      <c r="M905" s="8"/>
      <c r="N905" s="8"/>
      <c r="O905" s="8"/>
      <c r="P905" s="8"/>
      <c r="Q905" s="8"/>
      <c r="R905" s="8"/>
      <c r="S905" s="8"/>
      <c r="T905" s="8"/>
      <c r="U905" s="8"/>
      <c r="V905" s="8"/>
      <c r="W905" s="8"/>
      <c r="X905" s="8"/>
      <c r="Y905" s="8"/>
      <c r="Z905" s="8"/>
    </row>
    <row r="906">
      <c r="A906" s="8"/>
      <c r="B906" s="8"/>
      <c r="C906" s="8"/>
      <c r="D906" s="8"/>
      <c r="E906" s="8"/>
      <c r="F906" s="8"/>
      <c r="G906" s="8"/>
      <c r="H906" s="8"/>
      <c r="I906" s="8"/>
      <c r="J906" s="8"/>
      <c r="K906" s="8"/>
      <c r="L906" s="8"/>
      <c r="M906" s="8"/>
      <c r="N906" s="8"/>
      <c r="O906" s="8"/>
      <c r="P906" s="8"/>
      <c r="Q906" s="8"/>
      <c r="R906" s="8"/>
      <c r="S906" s="8"/>
      <c r="T906" s="8"/>
      <c r="U906" s="8"/>
      <c r="V906" s="8"/>
      <c r="W906" s="8"/>
      <c r="X906" s="8"/>
      <c r="Y906" s="8"/>
      <c r="Z906" s="8"/>
    </row>
    <row r="907">
      <c r="A907" s="8"/>
      <c r="B907" s="8"/>
      <c r="C907" s="8"/>
      <c r="D907" s="8"/>
      <c r="E907" s="8"/>
      <c r="F907" s="8"/>
      <c r="G907" s="8"/>
      <c r="H907" s="8"/>
      <c r="I907" s="8"/>
      <c r="J907" s="8"/>
      <c r="K907" s="8"/>
      <c r="L907" s="8"/>
      <c r="M907" s="8"/>
      <c r="N907" s="8"/>
      <c r="O907" s="8"/>
      <c r="P907" s="8"/>
      <c r="Q907" s="8"/>
      <c r="R907" s="8"/>
      <c r="S907" s="8"/>
      <c r="T907" s="8"/>
      <c r="U907" s="8"/>
      <c r="V907" s="8"/>
      <c r="W907" s="8"/>
      <c r="X907" s="8"/>
      <c r="Y907" s="8"/>
      <c r="Z907" s="8"/>
    </row>
    <row r="908">
      <c r="A908" s="8"/>
      <c r="B908" s="8"/>
      <c r="C908" s="8"/>
      <c r="D908" s="8"/>
      <c r="E908" s="8"/>
      <c r="F908" s="8"/>
      <c r="G908" s="8"/>
      <c r="H908" s="8"/>
      <c r="I908" s="8"/>
      <c r="J908" s="8"/>
      <c r="K908" s="8"/>
      <c r="L908" s="8"/>
      <c r="M908" s="8"/>
      <c r="N908" s="8"/>
      <c r="O908" s="8"/>
      <c r="P908" s="8"/>
      <c r="Q908" s="8"/>
      <c r="R908" s="8"/>
      <c r="S908" s="8"/>
      <c r="T908" s="8"/>
      <c r="U908" s="8"/>
      <c r="V908" s="8"/>
      <c r="W908" s="8"/>
      <c r="X908" s="8"/>
      <c r="Y908" s="8"/>
      <c r="Z908" s="8"/>
    </row>
    <row r="909">
      <c r="A909" s="8"/>
      <c r="B909" s="8"/>
      <c r="C909" s="8"/>
      <c r="D909" s="8"/>
      <c r="E909" s="8"/>
      <c r="F909" s="8"/>
      <c r="G909" s="8"/>
      <c r="H909" s="8"/>
      <c r="I909" s="8"/>
      <c r="J909" s="8"/>
      <c r="K909" s="8"/>
      <c r="L909" s="8"/>
      <c r="M909" s="8"/>
      <c r="N909" s="8"/>
      <c r="O909" s="8"/>
      <c r="P909" s="8"/>
      <c r="Q909" s="8"/>
      <c r="R909" s="8"/>
      <c r="S909" s="8"/>
      <c r="T909" s="8"/>
      <c r="U909" s="8"/>
      <c r="V909" s="8"/>
      <c r="W909" s="8"/>
      <c r="X909" s="8"/>
      <c r="Y909" s="8"/>
      <c r="Z909" s="8"/>
    </row>
    <row r="910">
      <c r="A910" s="8"/>
      <c r="B910" s="8"/>
      <c r="C910" s="8"/>
      <c r="D910" s="8"/>
      <c r="E910" s="8"/>
      <c r="F910" s="8"/>
      <c r="G910" s="8"/>
      <c r="H910" s="8"/>
      <c r="I910" s="8"/>
      <c r="J910" s="8"/>
      <c r="K910" s="8"/>
      <c r="L910" s="8"/>
      <c r="M910" s="8"/>
      <c r="N910" s="8"/>
      <c r="O910" s="8"/>
      <c r="P910" s="8"/>
      <c r="Q910" s="8"/>
      <c r="R910" s="8"/>
      <c r="S910" s="8"/>
      <c r="T910" s="8"/>
      <c r="U910" s="8"/>
      <c r="V910" s="8"/>
      <c r="W910" s="8"/>
      <c r="X910" s="8"/>
      <c r="Y910" s="8"/>
      <c r="Z910" s="8"/>
    </row>
    <row r="911">
      <c r="A911" s="8"/>
      <c r="B911" s="8"/>
      <c r="C911" s="8"/>
      <c r="D911" s="8"/>
      <c r="E911" s="8"/>
      <c r="F911" s="8"/>
      <c r="G911" s="8"/>
      <c r="H911" s="8"/>
      <c r="I911" s="8"/>
      <c r="J911" s="8"/>
      <c r="K911" s="8"/>
      <c r="L911" s="8"/>
      <c r="M911" s="8"/>
      <c r="N911" s="8"/>
      <c r="O911" s="8"/>
      <c r="P911" s="8"/>
      <c r="Q911" s="8"/>
      <c r="R911" s="8"/>
      <c r="S911" s="8"/>
      <c r="T911" s="8"/>
      <c r="U911" s="8"/>
      <c r="V911" s="8"/>
      <c r="W911" s="8"/>
      <c r="X911" s="8"/>
      <c r="Y911" s="8"/>
      <c r="Z911" s="8"/>
    </row>
    <row r="912">
      <c r="A912" s="8"/>
      <c r="B912" s="8"/>
      <c r="C912" s="8"/>
      <c r="D912" s="8"/>
      <c r="E912" s="8"/>
      <c r="F912" s="8"/>
      <c r="G912" s="8"/>
      <c r="H912" s="8"/>
      <c r="I912" s="8"/>
      <c r="J912" s="8"/>
      <c r="K912" s="8"/>
      <c r="L912" s="8"/>
      <c r="M912" s="8"/>
      <c r="N912" s="8"/>
      <c r="O912" s="8"/>
      <c r="P912" s="8"/>
      <c r="Q912" s="8"/>
      <c r="R912" s="8"/>
      <c r="S912" s="8"/>
      <c r="T912" s="8"/>
      <c r="U912" s="8"/>
      <c r="V912" s="8"/>
      <c r="W912" s="8"/>
      <c r="X912" s="8"/>
      <c r="Y912" s="8"/>
      <c r="Z912" s="8"/>
    </row>
    <row r="913">
      <c r="A913" s="8"/>
      <c r="B913" s="8"/>
      <c r="C913" s="8"/>
      <c r="D913" s="8"/>
      <c r="E913" s="8"/>
      <c r="F913" s="8"/>
      <c r="G913" s="8"/>
      <c r="H913" s="8"/>
      <c r="I913" s="8"/>
      <c r="J913" s="8"/>
      <c r="K913" s="8"/>
      <c r="L913" s="8"/>
      <c r="M913" s="8"/>
      <c r="N913" s="8"/>
      <c r="O913" s="8"/>
      <c r="P913" s="8"/>
      <c r="Q913" s="8"/>
      <c r="R913" s="8"/>
      <c r="S913" s="8"/>
      <c r="T913" s="8"/>
      <c r="U913" s="8"/>
      <c r="V913" s="8"/>
      <c r="W913" s="8"/>
      <c r="X913" s="8"/>
      <c r="Y913" s="8"/>
      <c r="Z913" s="8"/>
    </row>
    <row r="914">
      <c r="A914" s="8"/>
      <c r="B914" s="8"/>
      <c r="C914" s="8"/>
      <c r="D914" s="8"/>
      <c r="E914" s="8"/>
      <c r="F914" s="8"/>
      <c r="G914" s="8"/>
      <c r="H914" s="8"/>
      <c r="I914" s="8"/>
      <c r="J914" s="8"/>
      <c r="K914" s="8"/>
      <c r="L914" s="8"/>
      <c r="M914" s="8"/>
      <c r="N914" s="8"/>
      <c r="O914" s="8"/>
      <c r="P914" s="8"/>
      <c r="Q914" s="8"/>
      <c r="R914" s="8"/>
      <c r="S914" s="8"/>
      <c r="T914" s="8"/>
      <c r="U914" s="8"/>
      <c r="V914" s="8"/>
      <c r="W914" s="8"/>
      <c r="X914" s="8"/>
      <c r="Y914" s="8"/>
      <c r="Z914" s="8"/>
    </row>
    <row r="915">
      <c r="A915" s="8"/>
      <c r="B915" s="8"/>
      <c r="C915" s="8"/>
      <c r="D915" s="8"/>
      <c r="E915" s="8"/>
      <c r="F915" s="8"/>
      <c r="G915" s="8"/>
      <c r="H915" s="8"/>
      <c r="I915" s="8"/>
      <c r="J915" s="8"/>
      <c r="K915" s="8"/>
      <c r="L915" s="8"/>
      <c r="M915" s="8"/>
      <c r="N915" s="8"/>
      <c r="O915" s="8"/>
      <c r="P915" s="8"/>
      <c r="Q915" s="8"/>
      <c r="R915" s="8"/>
      <c r="S915" s="8"/>
      <c r="T915" s="8"/>
      <c r="U915" s="8"/>
      <c r="V915" s="8"/>
      <c r="W915" s="8"/>
      <c r="X915" s="8"/>
      <c r="Y915" s="8"/>
      <c r="Z915" s="8"/>
    </row>
    <row r="916">
      <c r="A916" s="8"/>
      <c r="B916" s="8"/>
      <c r="C916" s="8"/>
      <c r="D916" s="8"/>
      <c r="E916" s="8"/>
      <c r="F916" s="8"/>
      <c r="G916" s="8"/>
      <c r="H916" s="8"/>
      <c r="I916" s="8"/>
      <c r="J916" s="8"/>
      <c r="K916" s="8"/>
      <c r="L916" s="8"/>
      <c r="M916" s="8"/>
      <c r="N916" s="8"/>
      <c r="O916" s="8"/>
      <c r="P916" s="8"/>
      <c r="Q916" s="8"/>
      <c r="R916" s="8"/>
      <c r="S916" s="8"/>
      <c r="T916" s="8"/>
      <c r="U916" s="8"/>
      <c r="V916" s="8"/>
      <c r="W916" s="8"/>
      <c r="X916" s="8"/>
      <c r="Y916" s="8"/>
      <c r="Z916" s="8"/>
    </row>
    <row r="917">
      <c r="A917" s="8"/>
      <c r="B917" s="8"/>
      <c r="C917" s="8"/>
      <c r="D917" s="8"/>
      <c r="E917" s="8"/>
      <c r="F917" s="8"/>
      <c r="G917" s="8"/>
      <c r="H917" s="8"/>
      <c r="I917" s="8"/>
      <c r="J917" s="8"/>
      <c r="K917" s="8"/>
      <c r="L917" s="8"/>
      <c r="M917" s="8"/>
      <c r="N917" s="8"/>
      <c r="O917" s="8"/>
      <c r="P917" s="8"/>
      <c r="Q917" s="8"/>
      <c r="R917" s="8"/>
      <c r="S917" s="8"/>
      <c r="T917" s="8"/>
      <c r="U917" s="8"/>
      <c r="V917" s="8"/>
      <c r="W917" s="8"/>
      <c r="X917" s="8"/>
      <c r="Y917" s="8"/>
      <c r="Z917" s="8"/>
    </row>
    <row r="918">
      <c r="A918" s="8"/>
      <c r="B918" s="8"/>
      <c r="C918" s="8"/>
      <c r="D918" s="8"/>
      <c r="E918" s="8"/>
      <c r="F918" s="8"/>
      <c r="G918" s="8"/>
      <c r="H918" s="8"/>
      <c r="I918" s="8"/>
      <c r="J918" s="8"/>
      <c r="K918" s="8"/>
      <c r="L918" s="8"/>
      <c r="M918" s="8"/>
      <c r="N918" s="8"/>
      <c r="O918" s="8"/>
      <c r="P918" s="8"/>
      <c r="Q918" s="8"/>
      <c r="R918" s="8"/>
      <c r="S918" s="8"/>
      <c r="T918" s="8"/>
      <c r="U918" s="8"/>
      <c r="V918" s="8"/>
      <c r="W918" s="8"/>
      <c r="X918" s="8"/>
      <c r="Y918" s="8"/>
      <c r="Z918" s="8"/>
    </row>
    <row r="919">
      <c r="A919" s="8"/>
      <c r="B919" s="8"/>
      <c r="C919" s="8"/>
      <c r="D919" s="8"/>
      <c r="E919" s="8"/>
      <c r="F919" s="8"/>
      <c r="G919" s="8"/>
      <c r="H919" s="8"/>
      <c r="I919" s="8"/>
      <c r="J919" s="8"/>
      <c r="K919" s="8"/>
      <c r="L919" s="8"/>
      <c r="M919" s="8"/>
      <c r="N919" s="8"/>
      <c r="O919" s="8"/>
      <c r="P919" s="8"/>
      <c r="Q919" s="8"/>
      <c r="R919" s="8"/>
      <c r="S919" s="8"/>
      <c r="T919" s="8"/>
      <c r="U919" s="8"/>
      <c r="V919" s="8"/>
      <c r="W919" s="8"/>
      <c r="X919" s="8"/>
      <c r="Y919" s="8"/>
      <c r="Z919" s="8"/>
    </row>
    <row r="920">
      <c r="A920" s="8"/>
      <c r="B920" s="8"/>
      <c r="C920" s="8"/>
      <c r="D920" s="8"/>
      <c r="E920" s="8"/>
      <c r="F920" s="8"/>
      <c r="G920" s="8"/>
      <c r="H920" s="8"/>
      <c r="I920" s="8"/>
      <c r="J920" s="8"/>
      <c r="K920" s="8"/>
      <c r="L920" s="8"/>
      <c r="M920" s="8"/>
      <c r="N920" s="8"/>
      <c r="O920" s="8"/>
      <c r="P920" s="8"/>
      <c r="Q920" s="8"/>
      <c r="R920" s="8"/>
      <c r="S920" s="8"/>
      <c r="T920" s="8"/>
      <c r="U920" s="8"/>
      <c r="V920" s="8"/>
      <c r="W920" s="8"/>
      <c r="X920" s="8"/>
      <c r="Y920" s="8"/>
      <c r="Z920" s="8"/>
    </row>
    <row r="921">
      <c r="A921" s="8"/>
      <c r="B921" s="8"/>
      <c r="C921" s="8"/>
      <c r="D921" s="8"/>
      <c r="E921" s="8"/>
      <c r="F921" s="8"/>
      <c r="G921" s="8"/>
      <c r="H921" s="8"/>
      <c r="I921" s="8"/>
      <c r="J921" s="8"/>
      <c r="K921" s="8"/>
      <c r="L921" s="8"/>
      <c r="M921" s="8"/>
      <c r="N921" s="8"/>
      <c r="O921" s="8"/>
      <c r="P921" s="8"/>
      <c r="Q921" s="8"/>
      <c r="R921" s="8"/>
      <c r="S921" s="8"/>
      <c r="T921" s="8"/>
      <c r="U921" s="8"/>
      <c r="V921" s="8"/>
      <c r="W921" s="8"/>
      <c r="X921" s="8"/>
      <c r="Y921" s="8"/>
      <c r="Z921" s="8"/>
    </row>
    <row r="922">
      <c r="A922" s="8"/>
      <c r="B922" s="8"/>
      <c r="C922" s="8"/>
      <c r="D922" s="8"/>
      <c r="E922" s="8"/>
      <c r="F922" s="8"/>
      <c r="G922" s="8"/>
      <c r="H922" s="8"/>
      <c r="I922" s="8"/>
      <c r="J922" s="8"/>
      <c r="K922" s="8"/>
      <c r="L922" s="8"/>
      <c r="M922" s="8"/>
      <c r="N922" s="8"/>
      <c r="O922" s="8"/>
      <c r="P922" s="8"/>
      <c r="Q922" s="8"/>
      <c r="R922" s="8"/>
      <c r="S922" s="8"/>
      <c r="T922" s="8"/>
      <c r="U922" s="8"/>
      <c r="V922" s="8"/>
      <c r="W922" s="8"/>
      <c r="X922" s="8"/>
      <c r="Y922" s="8"/>
      <c r="Z922" s="8"/>
    </row>
    <row r="923">
      <c r="A923" s="8"/>
      <c r="B923" s="8"/>
      <c r="C923" s="8"/>
      <c r="D923" s="8"/>
      <c r="E923" s="8"/>
      <c r="F923" s="8"/>
      <c r="G923" s="8"/>
      <c r="H923" s="8"/>
      <c r="I923" s="8"/>
      <c r="J923" s="8"/>
      <c r="K923" s="8"/>
      <c r="L923" s="8"/>
      <c r="M923" s="8"/>
      <c r="N923" s="8"/>
      <c r="O923" s="8"/>
      <c r="P923" s="8"/>
      <c r="Q923" s="8"/>
      <c r="R923" s="8"/>
      <c r="S923" s="8"/>
      <c r="T923" s="8"/>
      <c r="U923" s="8"/>
      <c r="V923" s="8"/>
      <c r="W923" s="8"/>
      <c r="X923" s="8"/>
      <c r="Y923" s="8"/>
      <c r="Z923" s="8"/>
    </row>
    <row r="924">
      <c r="A924" s="8"/>
      <c r="B924" s="8"/>
      <c r="C924" s="8"/>
      <c r="D924" s="8"/>
      <c r="E924" s="8"/>
      <c r="F924" s="8"/>
      <c r="G924" s="8"/>
      <c r="H924" s="8"/>
      <c r="I924" s="8"/>
      <c r="J924" s="8"/>
      <c r="K924" s="8"/>
      <c r="L924" s="8"/>
      <c r="M924" s="8"/>
      <c r="N924" s="8"/>
      <c r="O924" s="8"/>
      <c r="P924" s="8"/>
      <c r="Q924" s="8"/>
      <c r="R924" s="8"/>
      <c r="S924" s="8"/>
      <c r="T924" s="8"/>
      <c r="U924" s="8"/>
      <c r="V924" s="8"/>
      <c r="W924" s="8"/>
      <c r="X924" s="8"/>
      <c r="Y924" s="8"/>
      <c r="Z924" s="8"/>
    </row>
    <row r="925">
      <c r="A925" s="8"/>
      <c r="B925" s="8"/>
      <c r="C925" s="8"/>
      <c r="D925" s="8"/>
      <c r="E925" s="8"/>
      <c r="F925" s="8"/>
      <c r="G925" s="8"/>
      <c r="H925" s="8"/>
      <c r="I925" s="8"/>
      <c r="J925" s="8"/>
      <c r="K925" s="8"/>
      <c r="L925" s="8"/>
      <c r="M925" s="8"/>
      <c r="N925" s="8"/>
      <c r="O925" s="8"/>
      <c r="P925" s="8"/>
      <c r="Q925" s="8"/>
      <c r="R925" s="8"/>
      <c r="S925" s="8"/>
      <c r="T925" s="8"/>
      <c r="U925" s="8"/>
      <c r="V925" s="8"/>
      <c r="W925" s="8"/>
      <c r="X925" s="8"/>
      <c r="Y925" s="8"/>
      <c r="Z925" s="8"/>
    </row>
    <row r="926">
      <c r="A926" s="8"/>
      <c r="B926" s="8"/>
      <c r="C926" s="8"/>
      <c r="D926" s="8"/>
      <c r="E926" s="8"/>
      <c r="F926" s="8"/>
      <c r="G926" s="8"/>
      <c r="H926" s="8"/>
      <c r="I926" s="8"/>
      <c r="J926" s="8"/>
      <c r="K926" s="8"/>
      <c r="L926" s="8"/>
      <c r="M926" s="8"/>
      <c r="N926" s="8"/>
      <c r="O926" s="8"/>
      <c r="P926" s="8"/>
      <c r="Q926" s="8"/>
      <c r="R926" s="8"/>
      <c r="S926" s="8"/>
      <c r="T926" s="8"/>
      <c r="U926" s="8"/>
      <c r="V926" s="8"/>
      <c r="W926" s="8"/>
      <c r="X926" s="8"/>
      <c r="Y926" s="8"/>
      <c r="Z926" s="8"/>
    </row>
    <row r="927">
      <c r="A927" s="8"/>
      <c r="B927" s="8"/>
      <c r="C927" s="8"/>
      <c r="D927" s="8"/>
      <c r="E927" s="8"/>
      <c r="F927" s="8"/>
      <c r="G927" s="8"/>
      <c r="H927" s="8"/>
      <c r="I927" s="8"/>
      <c r="J927" s="8"/>
      <c r="K927" s="8"/>
      <c r="L927" s="8"/>
      <c r="M927" s="8"/>
      <c r="N927" s="8"/>
      <c r="O927" s="8"/>
      <c r="P927" s="8"/>
      <c r="Q927" s="8"/>
      <c r="R927" s="8"/>
      <c r="S927" s="8"/>
      <c r="T927" s="8"/>
      <c r="U927" s="8"/>
      <c r="V927" s="8"/>
      <c r="W927" s="8"/>
      <c r="X927" s="8"/>
      <c r="Y927" s="8"/>
      <c r="Z927" s="8"/>
    </row>
    <row r="928">
      <c r="A928" s="8"/>
      <c r="B928" s="8"/>
      <c r="C928" s="8"/>
      <c r="D928" s="8"/>
      <c r="E928" s="8"/>
      <c r="F928" s="8"/>
      <c r="G928" s="8"/>
      <c r="H928" s="8"/>
      <c r="I928" s="8"/>
      <c r="J928" s="8"/>
      <c r="K928" s="8"/>
      <c r="L928" s="8"/>
      <c r="M928" s="8"/>
      <c r="N928" s="8"/>
      <c r="O928" s="8"/>
      <c r="P928" s="8"/>
      <c r="Q928" s="8"/>
      <c r="R928" s="8"/>
      <c r="S928" s="8"/>
      <c r="T928" s="8"/>
      <c r="U928" s="8"/>
      <c r="V928" s="8"/>
      <c r="W928" s="8"/>
      <c r="X928" s="8"/>
      <c r="Y928" s="8"/>
      <c r="Z928" s="8"/>
    </row>
    <row r="929">
      <c r="A929" s="8"/>
      <c r="B929" s="8"/>
      <c r="C929" s="8"/>
      <c r="D929" s="8"/>
      <c r="E929" s="8"/>
      <c r="F929" s="8"/>
      <c r="G929" s="8"/>
      <c r="H929" s="8"/>
      <c r="I929" s="8"/>
      <c r="J929" s="8"/>
      <c r="K929" s="8"/>
      <c r="L929" s="8"/>
      <c r="M929" s="8"/>
      <c r="N929" s="8"/>
      <c r="O929" s="8"/>
      <c r="P929" s="8"/>
      <c r="Q929" s="8"/>
      <c r="R929" s="8"/>
      <c r="S929" s="8"/>
      <c r="T929" s="8"/>
      <c r="U929" s="8"/>
      <c r="V929" s="8"/>
      <c r="W929" s="8"/>
      <c r="X929" s="8"/>
      <c r="Y929" s="8"/>
      <c r="Z929" s="8"/>
    </row>
    <row r="930">
      <c r="A930" s="8"/>
      <c r="B930" s="8"/>
      <c r="C930" s="8"/>
      <c r="D930" s="8"/>
      <c r="E930" s="8"/>
      <c r="F930" s="8"/>
      <c r="G930" s="8"/>
      <c r="H930" s="8"/>
      <c r="I930" s="8"/>
      <c r="J930" s="8"/>
      <c r="K930" s="8"/>
      <c r="L930" s="8"/>
      <c r="M930" s="8"/>
      <c r="N930" s="8"/>
      <c r="O930" s="8"/>
      <c r="P930" s="8"/>
      <c r="Q930" s="8"/>
      <c r="R930" s="8"/>
      <c r="S930" s="8"/>
      <c r="T930" s="8"/>
      <c r="U930" s="8"/>
      <c r="V930" s="8"/>
      <c r="W930" s="8"/>
      <c r="X930" s="8"/>
      <c r="Y930" s="8"/>
      <c r="Z930" s="8"/>
    </row>
    <row r="931">
      <c r="A931" s="8"/>
      <c r="B931" s="8"/>
      <c r="C931" s="8"/>
      <c r="D931" s="8"/>
      <c r="E931" s="8"/>
      <c r="F931" s="8"/>
      <c r="G931" s="8"/>
      <c r="H931" s="8"/>
      <c r="I931" s="8"/>
      <c r="J931" s="8"/>
      <c r="K931" s="8"/>
      <c r="L931" s="8"/>
      <c r="M931" s="8"/>
      <c r="N931" s="8"/>
      <c r="O931" s="8"/>
      <c r="P931" s="8"/>
      <c r="Q931" s="8"/>
      <c r="R931" s="8"/>
      <c r="S931" s="8"/>
      <c r="T931" s="8"/>
      <c r="U931" s="8"/>
      <c r="V931" s="8"/>
      <c r="W931" s="8"/>
      <c r="X931" s="8"/>
      <c r="Y931" s="8"/>
      <c r="Z931" s="8"/>
    </row>
    <row r="932">
      <c r="A932" s="8"/>
      <c r="B932" s="8"/>
      <c r="C932" s="8"/>
      <c r="D932" s="8"/>
      <c r="E932" s="8"/>
      <c r="F932" s="8"/>
      <c r="G932" s="8"/>
      <c r="H932" s="8"/>
      <c r="I932" s="8"/>
      <c r="J932" s="8"/>
      <c r="K932" s="8"/>
      <c r="L932" s="8"/>
      <c r="M932" s="8"/>
      <c r="N932" s="8"/>
      <c r="O932" s="8"/>
      <c r="P932" s="8"/>
      <c r="Q932" s="8"/>
      <c r="R932" s="8"/>
      <c r="S932" s="8"/>
      <c r="T932" s="8"/>
      <c r="U932" s="8"/>
      <c r="V932" s="8"/>
      <c r="W932" s="8"/>
      <c r="X932" s="8"/>
      <c r="Y932" s="8"/>
      <c r="Z932" s="8"/>
    </row>
    <row r="933">
      <c r="A933" s="8"/>
      <c r="B933" s="8"/>
      <c r="C933" s="8"/>
      <c r="D933" s="8"/>
      <c r="E933" s="8"/>
      <c r="F933" s="8"/>
      <c r="G933" s="8"/>
      <c r="H933" s="8"/>
      <c r="I933" s="8"/>
      <c r="J933" s="8"/>
      <c r="K933" s="8"/>
      <c r="L933" s="8"/>
      <c r="M933" s="8"/>
      <c r="N933" s="8"/>
      <c r="O933" s="8"/>
      <c r="P933" s="8"/>
      <c r="Q933" s="8"/>
      <c r="R933" s="8"/>
      <c r="S933" s="8"/>
      <c r="T933" s="8"/>
      <c r="U933" s="8"/>
      <c r="V933" s="8"/>
      <c r="W933" s="8"/>
      <c r="X933" s="8"/>
      <c r="Y933" s="8"/>
      <c r="Z933" s="8"/>
    </row>
    <row r="934">
      <c r="A934" s="8"/>
      <c r="B934" s="8"/>
      <c r="C934" s="8"/>
      <c r="D934" s="8"/>
      <c r="E934" s="8"/>
      <c r="F934" s="8"/>
      <c r="G934" s="8"/>
      <c r="H934" s="8"/>
      <c r="I934" s="8"/>
      <c r="J934" s="8"/>
      <c r="K934" s="8"/>
      <c r="L934" s="8"/>
      <c r="M934" s="8"/>
      <c r="N934" s="8"/>
      <c r="O934" s="8"/>
      <c r="P934" s="8"/>
      <c r="Q934" s="8"/>
      <c r="R934" s="8"/>
      <c r="S934" s="8"/>
      <c r="T934" s="8"/>
      <c r="U934" s="8"/>
      <c r="V934" s="8"/>
      <c r="W934" s="8"/>
      <c r="X934" s="8"/>
      <c r="Y934" s="8"/>
      <c r="Z934" s="8"/>
    </row>
    <row r="935">
      <c r="A935" s="8"/>
      <c r="B935" s="8"/>
      <c r="C935" s="8"/>
      <c r="D935" s="8"/>
      <c r="E935" s="8"/>
      <c r="F935" s="8"/>
      <c r="G935" s="8"/>
      <c r="H935" s="8"/>
      <c r="I935" s="8"/>
      <c r="J935" s="8"/>
      <c r="K935" s="8"/>
      <c r="L935" s="8"/>
      <c r="M935" s="8"/>
      <c r="N935" s="8"/>
      <c r="O935" s="8"/>
      <c r="P935" s="8"/>
      <c r="Q935" s="8"/>
      <c r="R935" s="8"/>
      <c r="S935" s="8"/>
      <c r="T935" s="8"/>
      <c r="U935" s="8"/>
      <c r="V935" s="8"/>
      <c r="W935" s="8"/>
      <c r="X935" s="8"/>
      <c r="Y935" s="8"/>
      <c r="Z935" s="8"/>
    </row>
    <row r="936">
      <c r="A936" s="8"/>
      <c r="B936" s="8"/>
      <c r="C936" s="8"/>
      <c r="D936" s="8"/>
      <c r="E936" s="8"/>
      <c r="F936" s="8"/>
      <c r="G936" s="8"/>
      <c r="H936" s="8"/>
      <c r="I936" s="8"/>
      <c r="J936" s="8"/>
      <c r="K936" s="8"/>
      <c r="L936" s="8"/>
      <c r="M936" s="8"/>
      <c r="N936" s="8"/>
      <c r="O936" s="8"/>
      <c r="P936" s="8"/>
      <c r="Q936" s="8"/>
      <c r="R936" s="8"/>
      <c r="S936" s="8"/>
      <c r="T936" s="8"/>
      <c r="U936" s="8"/>
      <c r="V936" s="8"/>
      <c r="W936" s="8"/>
      <c r="X936" s="8"/>
      <c r="Y936" s="8"/>
      <c r="Z936" s="8"/>
    </row>
    <row r="937">
      <c r="A937" s="8"/>
      <c r="B937" s="8"/>
      <c r="C937" s="8"/>
      <c r="D937" s="8"/>
      <c r="E937" s="8"/>
      <c r="F937" s="8"/>
      <c r="G937" s="8"/>
      <c r="H937" s="8"/>
      <c r="I937" s="8"/>
      <c r="J937" s="8"/>
      <c r="K937" s="8"/>
      <c r="L937" s="8"/>
      <c r="M937" s="8"/>
      <c r="N937" s="8"/>
      <c r="O937" s="8"/>
      <c r="P937" s="8"/>
      <c r="Q937" s="8"/>
      <c r="R937" s="8"/>
      <c r="S937" s="8"/>
      <c r="T937" s="8"/>
      <c r="U937" s="8"/>
      <c r="V937" s="8"/>
      <c r="W937" s="8"/>
      <c r="X937" s="8"/>
      <c r="Y937" s="8"/>
      <c r="Z937" s="8"/>
    </row>
    <row r="938">
      <c r="A938" s="8"/>
      <c r="B938" s="8"/>
      <c r="C938" s="8"/>
      <c r="D938" s="8"/>
      <c r="E938" s="8"/>
      <c r="F938" s="8"/>
      <c r="G938" s="8"/>
      <c r="H938" s="8"/>
      <c r="I938" s="8"/>
      <c r="J938" s="8"/>
      <c r="K938" s="8"/>
      <c r="L938" s="8"/>
      <c r="M938" s="8"/>
      <c r="N938" s="8"/>
      <c r="O938" s="8"/>
      <c r="P938" s="8"/>
      <c r="Q938" s="8"/>
      <c r="R938" s="8"/>
      <c r="S938" s="8"/>
      <c r="T938" s="8"/>
      <c r="U938" s="8"/>
      <c r="V938" s="8"/>
      <c r="W938" s="8"/>
      <c r="X938" s="8"/>
      <c r="Y938" s="8"/>
      <c r="Z938" s="8"/>
    </row>
    <row r="939">
      <c r="A939" s="8"/>
      <c r="B939" s="8"/>
      <c r="C939" s="8"/>
      <c r="D939" s="8"/>
      <c r="E939" s="8"/>
      <c r="F939" s="8"/>
      <c r="G939" s="8"/>
      <c r="H939" s="8"/>
      <c r="I939" s="8"/>
      <c r="J939" s="8"/>
      <c r="K939" s="8"/>
      <c r="L939" s="8"/>
      <c r="M939" s="8"/>
      <c r="N939" s="8"/>
      <c r="O939" s="8"/>
      <c r="P939" s="8"/>
      <c r="Q939" s="8"/>
      <c r="R939" s="8"/>
      <c r="S939" s="8"/>
      <c r="T939" s="8"/>
      <c r="U939" s="8"/>
      <c r="V939" s="8"/>
      <c r="W939" s="8"/>
      <c r="X939" s="8"/>
      <c r="Y939" s="8"/>
      <c r="Z939" s="8"/>
    </row>
    <row r="940">
      <c r="A940" s="8"/>
      <c r="B940" s="8"/>
      <c r="C940" s="8"/>
      <c r="D940" s="8"/>
      <c r="E940" s="8"/>
      <c r="F940" s="8"/>
      <c r="G940" s="8"/>
      <c r="H940" s="8"/>
      <c r="I940" s="8"/>
      <c r="J940" s="8"/>
      <c r="K940" s="8"/>
      <c r="L940" s="8"/>
      <c r="M940" s="8"/>
      <c r="N940" s="8"/>
      <c r="O940" s="8"/>
      <c r="P940" s="8"/>
      <c r="Q940" s="8"/>
      <c r="R940" s="8"/>
      <c r="S940" s="8"/>
      <c r="T940" s="8"/>
      <c r="U940" s="8"/>
      <c r="V940" s="8"/>
      <c r="W940" s="8"/>
      <c r="X940" s="8"/>
      <c r="Y940" s="8"/>
      <c r="Z940" s="8"/>
    </row>
    <row r="941">
      <c r="A941" s="8"/>
      <c r="B941" s="8"/>
      <c r="C941" s="8"/>
      <c r="D941" s="8"/>
      <c r="E941" s="8"/>
      <c r="F941" s="8"/>
      <c r="G941" s="8"/>
      <c r="H941" s="8"/>
      <c r="I941" s="8"/>
      <c r="J941" s="8"/>
      <c r="K941" s="8"/>
      <c r="L941" s="8"/>
      <c r="M941" s="8"/>
      <c r="N941" s="8"/>
      <c r="O941" s="8"/>
      <c r="P941" s="8"/>
      <c r="Q941" s="8"/>
      <c r="R941" s="8"/>
      <c r="S941" s="8"/>
      <c r="T941" s="8"/>
      <c r="U941" s="8"/>
      <c r="V941" s="8"/>
      <c r="W941" s="8"/>
      <c r="X941" s="8"/>
      <c r="Y941" s="8"/>
      <c r="Z941" s="8"/>
    </row>
    <row r="942">
      <c r="A942" s="8"/>
      <c r="B942" s="8"/>
      <c r="C942" s="8"/>
      <c r="D942" s="8"/>
      <c r="E942" s="8"/>
      <c r="F942" s="8"/>
      <c r="G942" s="8"/>
      <c r="H942" s="8"/>
      <c r="I942" s="8"/>
      <c r="J942" s="8"/>
      <c r="K942" s="8"/>
      <c r="L942" s="8"/>
      <c r="M942" s="8"/>
      <c r="N942" s="8"/>
      <c r="O942" s="8"/>
      <c r="P942" s="8"/>
      <c r="Q942" s="8"/>
      <c r="R942" s="8"/>
      <c r="S942" s="8"/>
      <c r="T942" s="8"/>
      <c r="U942" s="8"/>
      <c r="V942" s="8"/>
      <c r="W942" s="8"/>
      <c r="X942" s="8"/>
      <c r="Y942" s="8"/>
      <c r="Z942" s="8"/>
    </row>
    <row r="943">
      <c r="A943" s="8"/>
      <c r="B943" s="8"/>
      <c r="C943" s="8"/>
      <c r="D943" s="8"/>
      <c r="E943" s="8"/>
      <c r="F943" s="8"/>
      <c r="G943" s="8"/>
      <c r="H943" s="8"/>
      <c r="I943" s="8"/>
      <c r="J943" s="8"/>
      <c r="K943" s="8"/>
      <c r="L943" s="8"/>
      <c r="M943" s="8"/>
      <c r="N943" s="8"/>
      <c r="O943" s="8"/>
      <c r="P943" s="8"/>
      <c r="Q943" s="8"/>
      <c r="R943" s="8"/>
      <c r="S943" s="8"/>
      <c r="T943" s="8"/>
      <c r="U943" s="8"/>
      <c r="V943" s="8"/>
      <c r="W943" s="8"/>
      <c r="X943" s="8"/>
      <c r="Y943" s="8"/>
      <c r="Z943" s="8"/>
    </row>
    <row r="944">
      <c r="A944" s="8"/>
      <c r="B944" s="8"/>
      <c r="C944" s="8"/>
      <c r="D944" s="8"/>
      <c r="E944" s="8"/>
      <c r="F944" s="8"/>
      <c r="G944" s="8"/>
      <c r="H944" s="8"/>
      <c r="I944" s="8"/>
      <c r="J944" s="8"/>
      <c r="K944" s="8"/>
      <c r="L944" s="8"/>
      <c r="M944" s="8"/>
      <c r="N944" s="8"/>
      <c r="O944" s="8"/>
      <c r="P944" s="8"/>
      <c r="Q944" s="8"/>
      <c r="R944" s="8"/>
      <c r="S944" s="8"/>
      <c r="T944" s="8"/>
      <c r="U944" s="8"/>
      <c r="V944" s="8"/>
      <c r="W944" s="8"/>
      <c r="X944" s="8"/>
      <c r="Y944" s="8"/>
      <c r="Z944" s="8"/>
    </row>
    <row r="945">
      <c r="A945" s="8"/>
      <c r="B945" s="8"/>
      <c r="C945" s="8"/>
      <c r="D945" s="8"/>
      <c r="E945" s="8"/>
      <c r="F945" s="8"/>
      <c r="G945" s="8"/>
      <c r="H945" s="8"/>
      <c r="I945" s="8"/>
      <c r="J945" s="8"/>
      <c r="K945" s="8"/>
      <c r="L945" s="8"/>
      <c r="M945" s="8"/>
      <c r="N945" s="8"/>
      <c r="O945" s="8"/>
      <c r="P945" s="8"/>
      <c r="Q945" s="8"/>
      <c r="R945" s="8"/>
      <c r="S945" s="8"/>
      <c r="T945" s="8"/>
      <c r="U945" s="8"/>
      <c r="V945" s="8"/>
      <c r="W945" s="8"/>
      <c r="X945" s="8"/>
      <c r="Y945" s="8"/>
      <c r="Z945" s="8"/>
    </row>
    <row r="946">
      <c r="A946" s="8"/>
      <c r="B946" s="8"/>
      <c r="C946" s="8"/>
      <c r="D946" s="8"/>
      <c r="E946" s="8"/>
      <c r="F946" s="8"/>
      <c r="G946" s="8"/>
      <c r="H946" s="8"/>
      <c r="I946" s="8"/>
      <c r="J946" s="8"/>
      <c r="K946" s="8"/>
      <c r="L946" s="8"/>
      <c r="M946" s="8"/>
      <c r="N946" s="8"/>
      <c r="O946" s="8"/>
      <c r="P946" s="8"/>
      <c r="Q946" s="8"/>
      <c r="R946" s="8"/>
      <c r="S946" s="8"/>
      <c r="T946" s="8"/>
      <c r="U946" s="8"/>
      <c r="V946" s="8"/>
      <c r="W946" s="8"/>
      <c r="X946" s="8"/>
      <c r="Y946" s="8"/>
      <c r="Z946" s="8"/>
    </row>
    <row r="947">
      <c r="A947" s="8"/>
      <c r="B947" s="8"/>
      <c r="C947" s="8"/>
      <c r="D947" s="8"/>
      <c r="E947" s="8"/>
      <c r="F947" s="8"/>
      <c r="G947" s="8"/>
      <c r="H947" s="8"/>
      <c r="I947" s="8"/>
      <c r="J947" s="8"/>
      <c r="K947" s="8"/>
      <c r="L947" s="8"/>
      <c r="M947" s="8"/>
      <c r="N947" s="8"/>
      <c r="O947" s="8"/>
      <c r="P947" s="8"/>
      <c r="Q947" s="8"/>
      <c r="R947" s="8"/>
      <c r="S947" s="8"/>
      <c r="T947" s="8"/>
      <c r="U947" s="8"/>
      <c r="V947" s="8"/>
      <c r="W947" s="8"/>
      <c r="X947" s="8"/>
      <c r="Y947" s="8"/>
      <c r="Z947" s="8"/>
    </row>
    <row r="948">
      <c r="A948" s="8"/>
      <c r="B948" s="8"/>
      <c r="C948" s="8"/>
      <c r="D948" s="8"/>
      <c r="E948" s="8"/>
      <c r="F948" s="8"/>
      <c r="G948" s="8"/>
      <c r="H948" s="8"/>
      <c r="I948" s="8"/>
      <c r="J948" s="8"/>
      <c r="K948" s="8"/>
      <c r="L948" s="8"/>
      <c r="M948" s="8"/>
      <c r="N948" s="8"/>
      <c r="O948" s="8"/>
      <c r="P948" s="8"/>
      <c r="Q948" s="8"/>
      <c r="R948" s="8"/>
      <c r="S948" s="8"/>
      <c r="T948" s="8"/>
      <c r="U948" s="8"/>
      <c r="V948" s="8"/>
      <c r="W948" s="8"/>
      <c r="X948" s="8"/>
      <c r="Y948" s="8"/>
      <c r="Z948" s="8"/>
    </row>
    <row r="949">
      <c r="A949" s="8"/>
      <c r="B949" s="8"/>
      <c r="C949" s="8"/>
      <c r="D949" s="8"/>
      <c r="E949" s="8"/>
      <c r="F949" s="8"/>
      <c r="G949" s="8"/>
      <c r="H949" s="8"/>
      <c r="I949" s="8"/>
      <c r="J949" s="8"/>
      <c r="K949" s="8"/>
      <c r="L949" s="8"/>
      <c r="M949" s="8"/>
      <c r="N949" s="8"/>
      <c r="O949" s="8"/>
      <c r="P949" s="8"/>
      <c r="Q949" s="8"/>
      <c r="R949" s="8"/>
      <c r="S949" s="8"/>
      <c r="T949" s="8"/>
      <c r="U949" s="8"/>
      <c r="V949" s="8"/>
      <c r="W949" s="8"/>
      <c r="X949" s="8"/>
      <c r="Y949" s="8"/>
      <c r="Z949" s="8"/>
    </row>
    <row r="950">
      <c r="A950" s="8"/>
      <c r="B950" s="8"/>
      <c r="C950" s="8"/>
      <c r="D950" s="8"/>
      <c r="E950" s="8"/>
      <c r="F950" s="8"/>
      <c r="G950" s="8"/>
      <c r="H950" s="8"/>
      <c r="I950" s="8"/>
      <c r="J950" s="8"/>
      <c r="K950" s="8"/>
      <c r="L950" s="8"/>
      <c r="M950" s="8"/>
      <c r="N950" s="8"/>
      <c r="O950" s="8"/>
      <c r="P950" s="8"/>
      <c r="Q950" s="8"/>
      <c r="R950" s="8"/>
      <c r="S950" s="8"/>
      <c r="T950" s="8"/>
      <c r="U950" s="8"/>
      <c r="V950" s="8"/>
      <c r="W950" s="8"/>
      <c r="X950" s="8"/>
      <c r="Y950" s="8"/>
      <c r="Z950" s="8"/>
    </row>
    <row r="951">
      <c r="A951" s="8"/>
      <c r="B951" s="8"/>
      <c r="C951" s="8"/>
      <c r="D951" s="8"/>
      <c r="E951" s="8"/>
      <c r="F951" s="8"/>
      <c r="G951" s="8"/>
      <c r="H951" s="8"/>
      <c r="I951" s="8"/>
      <c r="J951" s="8"/>
      <c r="K951" s="8"/>
      <c r="L951" s="8"/>
      <c r="M951" s="8"/>
      <c r="N951" s="8"/>
      <c r="O951" s="8"/>
      <c r="P951" s="8"/>
      <c r="Q951" s="8"/>
      <c r="R951" s="8"/>
      <c r="S951" s="8"/>
      <c r="T951" s="8"/>
      <c r="U951" s="8"/>
      <c r="V951" s="8"/>
      <c r="W951" s="8"/>
      <c r="X951" s="8"/>
      <c r="Y951" s="8"/>
      <c r="Z951" s="8"/>
    </row>
    <row r="952">
      <c r="A952" s="8"/>
      <c r="B952" s="8"/>
      <c r="C952" s="8"/>
      <c r="D952" s="8"/>
      <c r="E952" s="8"/>
      <c r="F952" s="8"/>
      <c r="G952" s="8"/>
      <c r="H952" s="8"/>
      <c r="I952" s="8"/>
      <c r="J952" s="8"/>
      <c r="K952" s="8"/>
      <c r="L952" s="8"/>
      <c r="M952" s="8"/>
      <c r="N952" s="8"/>
      <c r="O952" s="8"/>
      <c r="P952" s="8"/>
      <c r="Q952" s="8"/>
      <c r="R952" s="8"/>
      <c r="S952" s="8"/>
      <c r="T952" s="8"/>
      <c r="U952" s="8"/>
      <c r="V952" s="8"/>
      <c r="W952" s="8"/>
      <c r="X952" s="8"/>
      <c r="Y952" s="8"/>
      <c r="Z952" s="8"/>
    </row>
    <row r="953">
      <c r="A953" s="8"/>
      <c r="B953" s="8"/>
      <c r="C953" s="8"/>
      <c r="D953" s="8"/>
      <c r="E953" s="8"/>
      <c r="F953" s="8"/>
      <c r="G953" s="8"/>
      <c r="H953" s="8"/>
      <c r="I953" s="8"/>
      <c r="J953" s="8"/>
      <c r="K953" s="8"/>
      <c r="L953" s="8"/>
      <c r="M953" s="8"/>
      <c r="N953" s="8"/>
      <c r="O953" s="8"/>
      <c r="P953" s="8"/>
      <c r="Q953" s="8"/>
      <c r="R953" s="8"/>
      <c r="S953" s="8"/>
      <c r="T953" s="8"/>
      <c r="U953" s="8"/>
      <c r="V953" s="8"/>
      <c r="W953" s="8"/>
      <c r="X953" s="8"/>
      <c r="Y953" s="8"/>
      <c r="Z953" s="8"/>
    </row>
    <row r="954">
      <c r="A954" s="8"/>
      <c r="B954" s="8"/>
      <c r="C954" s="8"/>
      <c r="D954" s="8"/>
      <c r="E954" s="8"/>
      <c r="F954" s="8"/>
      <c r="G954" s="8"/>
      <c r="H954" s="8"/>
      <c r="I954" s="8"/>
      <c r="J954" s="8"/>
      <c r="K954" s="8"/>
      <c r="L954" s="8"/>
      <c r="M954" s="8"/>
      <c r="N954" s="8"/>
      <c r="O954" s="8"/>
      <c r="P954" s="8"/>
      <c r="Q954" s="8"/>
      <c r="R954" s="8"/>
      <c r="S954" s="8"/>
      <c r="T954" s="8"/>
      <c r="U954" s="8"/>
      <c r="V954" s="8"/>
      <c r="W954" s="8"/>
      <c r="X954" s="8"/>
      <c r="Y954" s="8"/>
      <c r="Z954" s="8"/>
    </row>
    <row r="955">
      <c r="A955" s="8"/>
      <c r="B955" s="8"/>
      <c r="C955" s="8"/>
      <c r="D955" s="8"/>
      <c r="E955" s="8"/>
      <c r="F955" s="8"/>
      <c r="G955" s="8"/>
      <c r="H955" s="8"/>
      <c r="I955" s="8"/>
      <c r="J955" s="8"/>
      <c r="K955" s="8"/>
      <c r="L955" s="8"/>
      <c r="M955" s="8"/>
      <c r="N955" s="8"/>
      <c r="O955" s="8"/>
      <c r="P955" s="8"/>
      <c r="Q955" s="8"/>
      <c r="R955" s="8"/>
      <c r="S955" s="8"/>
      <c r="T955" s="8"/>
      <c r="U955" s="8"/>
      <c r="V955" s="8"/>
      <c r="W955" s="8"/>
      <c r="X955" s="8"/>
      <c r="Y955" s="8"/>
      <c r="Z955" s="8"/>
    </row>
    <row r="956">
      <c r="A956" s="8"/>
      <c r="B956" s="8"/>
      <c r="C956" s="8"/>
      <c r="D956" s="8"/>
      <c r="E956" s="8"/>
      <c r="F956" s="8"/>
      <c r="G956" s="8"/>
      <c r="H956" s="8"/>
      <c r="I956" s="8"/>
      <c r="J956" s="8"/>
      <c r="K956" s="8"/>
      <c r="L956" s="8"/>
      <c r="M956" s="8"/>
      <c r="N956" s="8"/>
      <c r="O956" s="8"/>
      <c r="P956" s="8"/>
      <c r="Q956" s="8"/>
      <c r="R956" s="8"/>
      <c r="S956" s="8"/>
      <c r="T956" s="8"/>
      <c r="U956" s="8"/>
      <c r="V956" s="8"/>
      <c r="W956" s="8"/>
      <c r="X956" s="8"/>
      <c r="Y956" s="8"/>
      <c r="Z956" s="8"/>
    </row>
    <row r="957">
      <c r="A957" s="8"/>
      <c r="B957" s="8"/>
      <c r="C957" s="8"/>
      <c r="D957" s="8"/>
      <c r="E957" s="8"/>
      <c r="F957" s="8"/>
      <c r="G957" s="8"/>
      <c r="H957" s="8"/>
      <c r="I957" s="8"/>
      <c r="J957" s="8"/>
      <c r="K957" s="8"/>
      <c r="L957" s="8"/>
      <c r="M957" s="8"/>
      <c r="N957" s="8"/>
      <c r="O957" s="8"/>
      <c r="P957" s="8"/>
      <c r="Q957" s="8"/>
      <c r="R957" s="8"/>
      <c r="S957" s="8"/>
      <c r="T957" s="8"/>
      <c r="U957" s="8"/>
      <c r="V957" s="8"/>
      <c r="W957" s="8"/>
      <c r="X957" s="8"/>
      <c r="Y957" s="8"/>
      <c r="Z957" s="8"/>
    </row>
    <row r="958">
      <c r="A958" s="8"/>
      <c r="B958" s="8"/>
      <c r="C958" s="8"/>
      <c r="D958" s="8"/>
      <c r="E958" s="8"/>
      <c r="F958" s="8"/>
      <c r="G958" s="8"/>
      <c r="H958" s="8"/>
      <c r="I958" s="8"/>
      <c r="J958" s="8"/>
      <c r="K958" s="8"/>
      <c r="L958" s="8"/>
      <c r="M958" s="8"/>
      <c r="N958" s="8"/>
      <c r="O958" s="8"/>
      <c r="P958" s="8"/>
      <c r="Q958" s="8"/>
      <c r="R958" s="8"/>
      <c r="S958" s="8"/>
      <c r="T958" s="8"/>
      <c r="U958" s="8"/>
      <c r="V958" s="8"/>
      <c r="W958" s="8"/>
      <c r="X958" s="8"/>
      <c r="Y958" s="8"/>
      <c r="Z958" s="8"/>
    </row>
    <row r="959">
      <c r="A959" s="8"/>
      <c r="B959" s="8"/>
      <c r="C959" s="8"/>
      <c r="D959" s="8"/>
      <c r="E959" s="8"/>
      <c r="F959" s="8"/>
      <c r="G959" s="8"/>
      <c r="H959" s="8"/>
      <c r="I959" s="8"/>
      <c r="J959" s="8"/>
      <c r="K959" s="8"/>
      <c r="L959" s="8"/>
      <c r="M959" s="8"/>
      <c r="N959" s="8"/>
      <c r="O959" s="8"/>
      <c r="P959" s="8"/>
      <c r="Q959" s="8"/>
      <c r="R959" s="8"/>
      <c r="S959" s="8"/>
      <c r="T959" s="8"/>
      <c r="U959" s="8"/>
      <c r="V959" s="8"/>
      <c r="W959" s="8"/>
      <c r="X959" s="8"/>
      <c r="Y959" s="8"/>
      <c r="Z959" s="8"/>
    </row>
    <row r="960">
      <c r="A960" s="8"/>
      <c r="B960" s="8"/>
      <c r="C960" s="8"/>
      <c r="D960" s="8"/>
      <c r="E960" s="8"/>
      <c r="F960" s="8"/>
      <c r="G960" s="8"/>
      <c r="H960" s="8"/>
      <c r="I960" s="8"/>
      <c r="J960" s="8"/>
      <c r="K960" s="8"/>
      <c r="L960" s="8"/>
      <c r="M960" s="8"/>
      <c r="N960" s="8"/>
      <c r="O960" s="8"/>
      <c r="P960" s="8"/>
      <c r="Q960" s="8"/>
      <c r="R960" s="8"/>
      <c r="S960" s="8"/>
      <c r="T960" s="8"/>
      <c r="U960" s="8"/>
      <c r="V960" s="8"/>
      <c r="W960" s="8"/>
      <c r="X960" s="8"/>
      <c r="Y960" s="8"/>
      <c r="Z960" s="8"/>
    </row>
    <row r="961">
      <c r="A961" s="8"/>
      <c r="B961" s="8"/>
      <c r="C961" s="8"/>
      <c r="D961" s="8"/>
      <c r="E961" s="8"/>
      <c r="F961" s="8"/>
      <c r="G961" s="8"/>
      <c r="H961" s="8"/>
      <c r="I961" s="8"/>
      <c r="J961" s="8"/>
      <c r="K961" s="8"/>
      <c r="L961" s="8"/>
      <c r="M961" s="8"/>
      <c r="N961" s="8"/>
      <c r="O961" s="8"/>
      <c r="P961" s="8"/>
      <c r="Q961" s="8"/>
      <c r="R961" s="8"/>
      <c r="S961" s="8"/>
      <c r="T961" s="8"/>
      <c r="U961" s="8"/>
      <c r="V961" s="8"/>
      <c r="W961" s="8"/>
      <c r="X961" s="8"/>
      <c r="Y961" s="8"/>
      <c r="Z961" s="8"/>
    </row>
    <row r="962">
      <c r="A962" s="8"/>
      <c r="B962" s="8"/>
      <c r="C962" s="8"/>
      <c r="D962" s="8"/>
      <c r="E962" s="8"/>
      <c r="F962" s="8"/>
      <c r="G962" s="8"/>
      <c r="H962" s="8"/>
      <c r="I962" s="8"/>
      <c r="J962" s="8"/>
      <c r="K962" s="8"/>
      <c r="L962" s="8"/>
      <c r="M962" s="8"/>
      <c r="N962" s="8"/>
      <c r="O962" s="8"/>
      <c r="P962" s="8"/>
      <c r="Q962" s="8"/>
      <c r="R962" s="8"/>
      <c r="S962" s="8"/>
      <c r="T962" s="8"/>
      <c r="U962" s="8"/>
      <c r="V962" s="8"/>
      <c r="W962" s="8"/>
      <c r="X962" s="8"/>
      <c r="Y962" s="8"/>
      <c r="Z962" s="8"/>
    </row>
    <row r="963">
      <c r="A963" s="8"/>
      <c r="B963" s="8"/>
      <c r="C963" s="8"/>
      <c r="D963" s="8"/>
      <c r="E963" s="8"/>
      <c r="F963" s="8"/>
      <c r="G963" s="8"/>
      <c r="H963" s="8"/>
      <c r="I963" s="8"/>
      <c r="J963" s="8"/>
      <c r="K963" s="8"/>
      <c r="L963" s="8"/>
      <c r="M963" s="8"/>
      <c r="N963" s="8"/>
      <c r="O963" s="8"/>
      <c r="P963" s="8"/>
      <c r="Q963" s="8"/>
      <c r="R963" s="8"/>
      <c r="S963" s="8"/>
      <c r="T963" s="8"/>
      <c r="U963" s="8"/>
      <c r="V963" s="8"/>
      <c r="W963" s="8"/>
      <c r="X963" s="8"/>
      <c r="Y963" s="8"/>
      <c r="Z963" s="8"/>
    </row>
    <row r="964">
      <c r="A964" s="8"/>
      <c r="B964" s="8"/>
      <c r="C964" s="8"/>
      <c r="D964" s="8"/>
      <c r="E964" s="8"/>
      <c r="F964" s="8"/>
      <c r="G964" s="8"/>
      <c r="H964" s="8"/>
      <c r="I964" s="8"/>
      <c r="J964" s="8"/>
      <c r="K964" s="8"/>
      <c r="L964" s="8"/>
      <c r="M964" s="8"/>
      <c r="N964" s="8"/>
      <c r="O964" s="8"/>
      <c r="P964" s="8"/>
      <c r="Q964" s="8"/>
      <c r="R964" s="8"/>
      <c r="S964" s="8"/>
      <c r="T964" s="8"/>
      <c r="U964" s="8"/>
      <c r="V964" s="8"/>
      <c r="W964" s="8"/>
      <c r="X964" s="8"/>
      <c r="Y964" s="8"/>
      <c r="Z964" s="8"/>
    </row>
    <row r="965">
      <c r="A965" s="8"/>
      <c r="B965" s="8"/>
      <c r="C965" s="8"/>
      <c r="D965" s="8"/>
      <c r="E965" s="8"/>
      <c r="F965" s="8"/>
      <c r="G965" s="8"/>
      <c r="H965" s="8"/>
      <c r="I965" s="8"/>
      <c r="J965" s="8"/>
      <c r="K965" s="8"/>
      <c r="L965" s="8"/>
      <c r="M965" s="8"/>
      <c r="N965" s="8"/>
      <c r="O965" s="8"/>
      <c r="P965" s="8"/>
      <c r="Q965" s="8"/>
      <c r="R965" s="8"/>
      <c r="S965" s="8"/>
      <c r="T965" s="8"/>
      <c r="U965" s="8"/>
      <c r="V965" s="8"/>
      <c r="W965" s="8"/>
      <c r="X965" s="8"/>
      <c r="Y965" s="8"/>
      <c r="Z965" s="8"/>
    </row>
    <row r="966">
      <c r="A966" s="8"/>
      <c r="B966" s="8"/>
      <c r="C966" s="8"/>
      <c r="D966" s="8"/>
      <c r="E966" s="8"/>
      <c r="F966" s="8"/>
      <c r="G966" s="8"/>
      <c r="H966" s="8"/>
      <c r="I966" s="8"/>
      <c r="J966" s="8"/>
      <c r="K966" s="8"/>
      <c r="L966" s="8"/>
      <c r="M966" s="8"/>
      <c r="N966" s="8"/>
      <c r="O966" s="8"/>
      <c r="P966" s="8"/>
      <c r="Q966" s="8"/>
      <c r="R966" s="8"/>
      <c r="S966" s="8"/>
      <c r="T966" s="8"/>
      <c r="U966" s="8"/>
      <c r="V966" s="8"/>
      <c r="W966" s="8"/>
      <c r="X966" s="8"/>
      <c r="Y966" s="8"/>
      <c r="Z966" s="8"/>
    </row>
    <row r="967">
      <c r="A967" s="8"/>
      <c r="B967" s="8"/>
      <c r="C967" s="8"/>
      <c r="D967" s="8"/>
      <c r="E967" s="8"/>
      <c r="F967" s="8"/>
      <c r="G967" s="8"/>
      <c r="H967" s="8"/>
      <c r="I967" s="8"/>
      <c r="J967" s="8"/>
      <c r="K967" s="8"/>
      <c r="L967" s="8"/>
      <c r="M967" s="8"/>
      <c r="N967" s="8"/>
      <c r="O967" s="8"/>
      <c r="P967" s="8"/>
      <c r="Q967" s="8"/>
      <c r="R967" s="8"/>
      <c r="S967" s="8"/>
      <c r="T967" s="8"/>
      <c r="U967" s="8"/>
      <c r="V967" s="8"/>
      <c r="W967" s="8"/>
      <c r="X967" s="8"/>
      <c r="Y967" s="8"/>
      <c r="Z967" s="8"/>
    </row>
    <row r="968">
      <c r="A968" s="8"/>
      <c r="B968" s="8"/>
      <c r="C968" s="8"/>
      <c r="D968" s="8"/>
      <c r="E968" s="8"/>
      <c r="F968" s="8"/>
      <c r="G968" s="8"/>
      <c r="H968" s="8"/>
      <c r="I968" s="8"/>
      <c r="J968" s="8"/>
      <c r="K968" s="8"/>
      <c r="L968" s="8"/>
      <c r="M968" s="8"/>
      <c r="N968" s="8"/>
      <c r="O968" s="8"/>
      <c r="P968" s="8"/>
      <c r="Q968" s="8"/>
      <c r="R968" s="8"/>
      <c r="S968" s="8"/>
      <c r="T968" s="8"/>
      <c r="U968" s="8"/>
      <c r="V968" s="8"/>
      <c r="W968" s="8"/>
      <c r="X968" s="8"/>
      <c r="Y968" s="8"/>
      <c r="Z968" s="8"/>
    </row>
    <row r="969">
      <c r="A969" s="8"/>
      <c r="B969" s="8"/>
      <c r="C969" s="8"/>
      <c r="D969" s="8"/>
      <c r="E969" s="8"/>
      <c r="F969" s="8"/>
      <c r="G969" s="8"/>
      <c r="H969" s="8"/>
      <c r="I969" s="8"/>
      <c r="J969" s="8"/>
      <c r="K969" s="8"/>
      <c r="L969" s="8"/>
      <c r="M969" s="8"/>
      <c r="N969" s="8"/>
      <c r="O969" s="8"/>
      <c r="P969" s="8"/>
      <c r="Q969" s="8"/>
      <c r="R969" s="8"/>
      <c r="S969" s="8"/>
      <c r="T969" s="8"/>
      <c r="U969" s="8"/>
      <c r="V969" s="8"/>
      <c r="W969" s="8"/>
      <c r="X969" s="8"/>
      <c r="Y969" s="8"/>
      <c r="Z969" s="8"/>
    </row>
    <row r="970">
      <c r="A970" s="8"/>
      <c r="B970" s="8"/>
      <c r="C970" s="8"/>
      <c r="D970" s="8"/>
      <c r="E970" s="8"/>
      <c r="F970" s="8"/>
      <c r="G970" s="8"/>
      <c r="H970" s="8"/>
      <c r="I970" s="8"/>
      <c r="J970" s="8"/>
      <c r="K970" s="8"/>
      <c r="L970" s="8"/>
      <c r="M970" s="8"/>
      <c r="N970" s="8"/>
      <c r="O970" s="8"/>
      <c r="P970" s="8"/>
      <c r="Q970" s="8"/>
      <c r="R970" s="8"/>
      <c r="S970" s="8"/>
      <c r="T970" s="8"/>
      <c r="U970" s="8"/>
      <c r="V970" s="8"/>
      <c r="W970" s="8"/>
      <c r="X970" s="8"/>
      <c r="Y970" s="8"/>
      <c r="Z970" s="8"/>
    </row>
    <row r="971">
      <c r="A971" s="8"/>
      <c r="B971" s="8"/>
      <c r="C971" s="8"/>
      <c r="D971" s="8"/>
      <c r="E971" s="8"/>
      <c r="F971" s="8"/>
      <c r="G971" s="8"/>
      <c r="H971" s="8"/>
      <c r="I971" s="8"/>
      <c r="J971" s="8"/>
      <c r="K971" s="8"/>
      <c r="L971" s="8"/>
      <c r="M971" s="8"/>
      <c r="N971" s="8"/>
      <c r="O971" s="8"/>
      <c r="P971" s="8"/>
      <c r="Q971" s="8"/>
      <c r="R971" s="8"/>
      <c r="S971" s="8"/>
      <c r="T971" s="8"/>
      <c r="U971" s="8"/>
      <c r="V971" s="8"/>
      <c r="W971" s="8"/>
      <c r="X971" s="8"/>
      <c r="Y971" s="8"/>
      <c r="Z971" s="8"/>
    </row>
    <row r="972">
      <c r="A972" s="8"/>
      <c r="B972" s="8"/>
      <c r="C972" s="8"/>
      <c r="D972" s="8"/>
      <c r="E972" s="8"/>
      <c r="F972" s="8"/>
      <c r="G972" s="8"/>
      <c r="H972" s="8"/>
      <c r="I972" s="8"/>
      <c r="J972" s="8"/>
      <c r="K972" s="8"/>
      <c r="L972" s="8"/>
      <c r="M972" s="8"/>
      <c r="N972" s="8"/>
      <c r="O972" s="8"/>
      <c r="P972" s="8"/>
      <c r="Q972" s="8"/>
      <c r="R972" s="8"/>
      <c r="S972" s="8"/>
      <c r="T972" s="8"/>
      <c r="U972" s="8"/>
      <c r="V972" s="8"/>
      <c r="W972" s="8"/>
      <c r="X972" s="8"/>
      <c r="Y972" s="8"/>
      <c r="Z972" s="8"/>
    </row>
    <row r="973">
      <c r="A973" s="8"/>
      <c r="B973" s="8"/>
      <c r="C973" s="8"/>
      <c r="D973" s="8"/>
      <c r="E973" s="8"/>
      <c r="F973" s="8"/>
      <c r="G973" s="8"/>
      <c r="H973" s="8"/>
      <c r="I973" s="8"/>
      <c r="J973" s="8"/>
      <c r="K973" s="8"/>
      <c r="L973" s="8"/>
      <c r="M973" s="8"/>
      <c r="N973" s="8"/>
      <c r="O973" s="8"/>
      <c r="P973" s="8"/>
      <c r="Q973" s="8"/>
      <c r="R973" s="8"/>
      <c r="S973" s="8"/>
      <c r="T973" s="8"/>
      <c r="U973" s="8"/>
      <c r="V973" s="8"/>
      <c r="W973" s="8"/>
      <c r="X973" s="8"/>
      <c r="Y973" s="8"/>
      <c r="Z973" s="8"/>
    </row>
    <row r="974">
      <c r="A974" s="8"/>
      <c r="B974" s="8"/>
      <c r="C974" s="8"/>
      <c r="D974" s="8"/>
      <c r="E974" s="8"/>
      <c r="F974" s="8"/>
      <c r="G974" s="8"/>
      <c r="H974" s="8"/>
      <c r="I974" s="8"/>
      <c r="J974" s="8"/>
      <c r="K974" s="8"/>
      <c r="L974" s="8"/>
      <c r="M974" s="8"/>
      <c r="N974" s="8"/>
      <c r="O974" s="8"/>
      <c r="P974" s="8"/>
      <c r="Q974" s="8"/>
      <c r="R974" s="8"/>
      <c r="S974" s="8"/>
      <c r="T974" s="8"/>
      <c r="U974" s="8"/>
      <c r="V974" s="8"/>
      <c r="W974" s="8"/>
      <c r="X974" s="8"/>
      <c r="Y974" s="8"/>
      <c r="Z974" s="8"/>
    </row>
    <row r="975">
      <c r="A975" s="8"/>
      <c r="B975" s="8"/>
      <c r="C975" s="8"/>
      <c r="D975" s="8"/>
      <c r="E975" s="8"/>
      <c r="F975" s="8"/>
      <c r="G975" s="8"/>
      <c r="H975" s="8"/>
      <c r="I975" s="8"/>
      <c r="J975" s="8"/>
      <c r="K975" s="8"/>
      <c r="L975" s="8"/>
      <c r="M975" s="8"/>
      <c r="N975" s="8"/>
      <c r="O975" s="8"/>
      <c r="P975" s="8"/>
      <c r="Q975" s="8"/>
      <c r="R975" s="8"/>
      <c r="S975" s="8"/>
      <c r="T975" s="8"/>
      <c r="U975" s="8"/>
      <c r="V975" s="8"/>
      <c r="W975" s="8"/>
      <c r="X975" s="8"/>
      <c r="Y975" s="8"/>
      <c r="Z975" s="8"/>
    </row>
    <row r="976">
      <c r="A976" s="8"/>
      <c r="B976" s="8"/>
      <c r="C976" s="8"/>
      <c r="D976" s="8"/>
      <c r="E976" s="8"/>
      <c r="F976" s="8"/>
      <c r="G976" s="8"/>
      <c r="H976" s="8"/>
      <c r="I976" s="8"/>
      <c r="J976" s="8"/>
      <c r="K976" s="8"/>
      <c r="L976" s="8"/>
      <c r="M976" s="8"/>
      <c r="N976" s="8"/>
      <c r="O976" s="8"/>
      <c r="P976" s="8"/>
      <c r="Q976" s="8"/>
      <c r="R976" s="8"/>
      <c r="S976" s="8"/>
      <c r="T976" s="8"/>
      <c r="U976" s="8"/>
      <c r="V976" s="8"/>
      <c r="W976" s="8"/>
      <c r="X976" s="8"/>
      <c r="Y976" s="8"/>
      <c r="Z976" s="8"/>
    </row>
    <row r="977">
      <c r="A977" s="8"/>
      <c r="B977" s="8"/>
      <c r="C977" s="8"/>
      <c r="D977" s="8"/>
      <c r="E977" s="8"/>
      <c r="F977" s="8"/>
      <c r="G977" s="8"/>
      <c r="H977" s="8"/>
      <c r="I977" s="8"/>
      <c r="J977" s="8"/>
      <c r="K977" s="8"/>
      <c r="L977" s="8"/>
      <c r="M977" s="8"/>
      <c r="N977" s="8"/>
      <c r="O977" s="8"/>
      <c r="P977" s="8"/>
      <c r="Q977" s="8"/>
      <c r="R977" s="8"/>
      <c r="S977" s="8"/>
      <c r="T977" s="8"/>
      <c r="U977" s="8"/>
      <c r="V977" s="8"/>
      <c r="W977" s="8"/>
      <c r="X977" s="8"/>
      <c r="Y977" s="8"/>
      <c r="Z977" s="8"/>
    </row>
    <row r="978">
      <c r="A978" s="8"/>
      <c r="B978" s="8"/>
      <c r="C978" s="8"/>
      <c r="D978" s="8"/>
      <c r="E978" s="8"/>
      <c r="F978" s="8"/>
      <c r="G978" s="8"/>
      <c r="H978" s="8"/>
      <c r="I978" s="8"/>
      <c r="J978" s="8"/>
      <c r="K978" s="8"/>
      <c r="L978" s="8"/>
      <c r="M978" s="8"/>
      <c r="N978" s="8"/>
      <c r="O978" s="8"/>
      <c r="P978" s="8"/>
      <c r="Q978" s="8"/>
      <c r="R978" s="8"/>
      <c r="S978" s="8"/>
      <c r="T978" s="8"/>
      <c r="U978" s="8"/>
      <c r="V978" s="8"/>
      <c r="W978" s="8"/>
      <c r="X978" s="8"/>
      <c r="Y978" s="8"/>
      <c r="Z978" s="8"/>
    </row>
    <row r="979">
      <c r="A979" s="8"/>
      <c r="B979" s="8"/>
      <c r="C979" s="8"/>
      <c r="D979" s="8"/>
      <c r="E979" s="8"/>
      <c r="F979" s="8"/>
      <c r="G979" s="8"/>
      <c r="H979" s="8"/>
      <c r="I979" s="8"/>
      <c r="J979" s="8"/>
      <c r="K979" s="8"/>
      <c r="L979" s="8"/>
      <c r="M979" s="8"/>
      <c r="N979" s="8"/>
      <c r="O979" s="8"/>
      <c r="P979" s="8"/>
      <c r="Q979" s="8"/>
      <c r="R979" s="8"/>
      <c r="S979" s="8"/>
      <c r="T979" s="8"/>
      <c r="U979" s="8"/>
      <c r="V979" s="8"/>
      <c r="W979" s="8"/>
      <c r="X979" s="8"/>
      <c r="Y979" s="8"/>
      <c r="Z979" s="8"/>
    </row>
    <row r="980">
      <c r="A980" s="8"/>
      <c r="B980" s="8"/>
      <c r="C980" s="8"/>
      <c r="D980" s="8"/>
      <c r="E980" s="8"/>
      <c r="F980" s="8"/>
      <c r="G980" s="8"/>
      <c r="H980" s="8"/>
      <c r="I980" s="8"/>
      <c r="J980" s="8"/>
      <c r="K980" s="8"/>
      <c r="L980" s="8"/>
      <c r="M980" s="8"/>
      <c r="N980" s="8"/>
      <c r="O980" s="8"/>
      <c r="P980" s="8"/>
      <c r="Q980" s="8"/>
      <c r="R980" s="8"/>
      <c r="S980" s="8"/>
      <c r="T980" s="8"/>
      <c r="U980" s="8"/>
      <c r="V980" s="8"/>
      <c r="W980" s="8"/>
      <c r="X980" s="8"/>
      <c r="Y980" s="8"/>
      <c r="Z980" s="8"/>
    </row>
    <row r="981">
      <c r="A981" s="8"/>
      <c r="B981" s="8"/>
      <c r="C981" s="8"/>
      <c r="D981" s="8"/>
      <c r="E981" s="8"/>
      <c r="F981" s="8"/>
      <c r="G981" s="8"/>
      <c r="H981" s="8"/>
      <c r="I981" s="8"/>
      <c r="J981" s="8"/>
      <c r="K981" s="8"/>
      <c r="L981" s="8"/>
      <c r="M981" s="8"/>
      <c r="N981" s="8"/>
      <c r="O981" s="8"/>
      <c r="P981" s="8"/>
      <c r="Q981" s="8"/>
      <c r="R981" s="8"/>
      <c r="S981" s="8"/>
      <c r="T981" s="8"/>
      <c r="U981" s="8"/>
      <c r="V981" s="8"/>
      <c r="W981" s="8"/>
      <c r="X981" s="8"/>
      <c r="Y981" s="8"/>
      <c r="Z981" s="8"/>
    </row>
    <row r="982">
      <c r="A982" s="8"/>
      <c r="B982" s="8"/>
      <c r="C982" s="8"/>
      <c r="D982" s="8"/>
      <c r="E982" s="8"/>
      <c r="F982" s="8"/>
      <c r="G982" s="8"/>
      <c r="H982" s="8"/>
      <c r="I982" s="8"/>
      <c r="J982" s="8"/>
      <c r="K982" s="8"/>
      <c r="L982" s="8"/>
      <c r="M982" s="8"/>
      <c r="N982" s="8"/>
      <c r="O982" s="8"/>
      <c r="P982" s="8"/>
      <c r="Q982" s="8"/>
      <c r="R982" s="8"/>
      <c r="S982" s="8"/>
      <c r="T982" s="8"/>
      <c r="U982" s="8"/>
      <c r="V982" s="8"/>
      <c r="W982" s="8"/>
      <c r="X982" s="8"/>
      <c r="Y982" s="8"/>
      <c r="Z982" s="8"/>
    </row>
    <row r="983">
      <c r="A983" s="8"/>
      <c r="B983" s="8"/>
      <c r="C983" s="8"/>
      <c r="D983" s="8"/>
      <c r="E983" s="8"/>
      <c r="F983" s="8"/>
      <c r="G983" s="8"/>
      <c r="H983" s="8"/>
      <c r="I983" s="8"/>
      <c r="J983" s="8"/>
      <c r="K983" s="8"/>
      <c r="L983" s="8"/>
      <c r="M983" s="8"/>
      <c r="N983" s="8"/>
      <c r="O983" s="8"/>
      <c r="P983" s="8"/>
      <c r="Q983" s="8"/>
      <c r="R983" s="8"/>
      <c r="S983" s="8"/>
      <c r="T983" s="8"/>
      <c r="U983" s="8"/>
      <c r="V983" s="8"/>
      <c r="W983" s="8"/>
      <c r="X983" s="8"/>
      <c r="Y983" s="8"/>
      <c r="Z983" s="8"/>
    </row>
    <row r="984">
      <c r="A984" s="8"/>
      <c r="B984" s="8"/>
      <c r="C984" s="8"/>
      <c r="D984" s="8"/>
      <c r="E984" s="8"/>
      <c r="F984" s="8"/>
      <c r="G984" s="8"/>
      <c r="H984" s="8"/>
      <c r="I984" s="8"/>
      <c r="J984" s="8"/>
      <c r="K984" s="8"/>
      <c r="L984" s="8"/>
      <c r="M984" s="8"/>
      <c r="N984" s="8"/>
      <c r="O984" s="8"/>
      <c r="P984" s="8"/>
      <c r="Q984" s="8"/>
      <c r="R984" s="8"/>
      <c r="S984" s="8"/>
      <c r="T984" s="8"/>
      <c r="U984" s="8"/>
      <c r="V984" s="8"/>
      <c r="W984" s="8"/>
      <c r="X984" s="8"/>
      <c r="Y984" s="8"/>
      <c r="Z984" s="8"/>
    </row>
    <row r="985">
      <c r="A985" s="8"/>
      <c r="B985" s="8"/>
      <c r="C985" s="8"/>
      <c r="D985" s="8"/>
      <c r="E985" s="8"/>
      <c r="F985" s="8"/>
      <c r="G985" s="8"/>
      <c r="H985" s="8"/>
      <c r="I985" s="8"/>
      <c r="J985" s="8"/>
      <c r="K985" s="8"/>
      <c r="L985" s="8"/>
      <c r="M985" s="8"/>
      <c r="N985" s="8"/>
      <c r="O985" s="8"/>
      <c r="P985" s="8"/>
      <c r="Q985" s="8"/>
      <c r="R985" s="8"/>
      <c r="S985" s="8"/>
      <c r="T985" s="8"/>
      <c r="U985" s="8"/>
      <c r="V985" s="8"/>
      <c r="W985" s="8"/>
      <c r="X985" s="8"/>
      <c r="Y985" s="8"/>
      <c r="Z985" s="8"/>
    </row>
    <row r="986">
      <c r="A986" s="8"/>
      <c r="B986" s="8"/>
      <c r="C986" s="8"/>
      <c r="D986" s="8"/>
      <c r="E986" s="8"/>
      <c r="F986" s="8"/>
      <c r="G986" s="8"/>
      <c r="H986" s="8"/>
      <c r="I986" s="8"/>
      <c r="J986" s="8"/>
      <c r="K986" s="8"/>
      <c r="L986" s="8"/>
      <c r="M986" s="8"/>
      <c r="N986" s="8"/>
      <c r="O986" s="8"/>
      <c r="P986" s="8"/>
      <c r="Q986" s="8"/>
      <c r="R986" s="8"/>
      <c r="S986" s="8"/>
      <c r="T986" s="8"/>
      <c r="U986" s="8"/>
      <c r="V986" s="8"/>
      <c r="W986" s="8"/>
      <c r="X986" s="8"/>
      <c r="Y986" s="8"/>
      <c r="Z986" s="8"/>
    </row>
    <row r="987">
      <c r="A987" s="8"/>
      <c r="B987" s="8"/>
      <c r="C987" s="8"/>
      <c r="D987" s="8"/>
      <c r="E987" s="8"/>
      <c r="F987" s="8"/>
      <c r="G987" s="8"/>
      <c r="H987" s="8"/>
      <c r="I987" s="8"/>
      <c r="J987" s="8"/>
      <c r="K987" s="8"/>
      <c r="L987" s="8"/>
      <c r="M987" s="8"/>
      <c r="N987" s="8"/>
      <c r="O987" s="8"/>
      <c r="P987" s="8"/>
      <c r="Q987" s="8"/>
      <c r="R987" s="8"/>
      <c r="S987" s="8"/>
      <c r="T987" s="8"/>
      <c r="U987" s="8"/>
      <c r="V987" s="8"/>
      <c r="W987" s="8"/>
      <c r="X987" s="8"/>
      <c r="Y987" s="8"/>
      <c r="Z987" s="8"/>
    </row>
    <row r="988">
      <c r="A988" s="8"/>
      <c r="B988" s="8"/>
      <c r="C988" s="8"/>
      <c r="D988" s="8"/>
      <c r="E988" s="8"/>
      <c r="F988" s="8"/>
      <c r="G988" s="8"/>
      <c r="H988" s="8"/>
      <c r="I988" s="8"/>
      <c r="J988" s="8"/>
      <c r="K988" s="8"/>
      <c r="L988" s="8"/>
      <c r="M988" s="8"/>
      <c r="N988" s="8"/>
      <c r="O988" s="8"/>
      <c r="P988" s="8"/>
      <c r="Q988" s="8"/>
      <c r="R988" s="8"/>
      <c r="S988" s="8"/>
      <c r="T988" s="8"/>
      <c r="U988" s="8"/>
      <c r="V988" s="8"/>
      <c r="W988" s="8"/>
      <c r="X988" s="8"/>
      <c r="Y988" s="8"/>
      <c r="Z988" s="8"/>
    </row>
    <row r="989">
      <c r="A989" s="8"/>
      <c r="B989" s="8"/>
      <c r="C989" s="8"/>
      <c r="D989" s="8"/>
      <c r="E989" s="8"/>
      <c r="F989" s="8"/>
      <c r="G989" s="8"/>
      <c r="H989" s="8"/>
      <c r="I989" s="8"/>
      <c r="J989" s="8"/>
      <c r="K989" s="8"/>
      <c r="L989" s="8"/>
      <c r="M989" s="8"/>
      <c r="N989" s="8"/>
      <c r="O989" s="8"/>
      <c r="P989" s="8"/>
      <c r="Q989" s="8"/>
      <c r="R989" s="8"/>
      <c r="S989" s="8"/>
      <c r="T989" s="8"/>
      <c r="U989" s="8"/>
      <c r="V989" s="8"/>
      <c r="W989" s="8"/>
      <c r="X989" s="8"/>
      <c r="Y989" s="8"/>
      <c r="Z989" s="8"/>
    </row>
    <row r="990">
      <c r="A990" s="8"/>
      <c r="B990" s="8"/>
      <c r="C990" s="8"/>
      <c r="D990" s="8"/>
      <c r="E990" s="8"/>
      <c r="F990" s="8"/>
      <c r="G990" s="8"/>
      <c r="H990" s="8"/>
      <c r="I990" s="8"/>
      <c r="J990" s="8"/>
      <c r="K990" s="8"/>
      <c r="L990" s="8"/>
      <c r="M990" s="8"/>
      <c r="N990" s="8"/>
      <c r="O990" s="8"/>
      <c r="P990" s="8"/>
      <c r="Q990" s="8"/>
      <c r="R990" s="8"/>
      <c r="S990" s="8"/>
      <c r="T990" s="8"/>
      <c r="U990" s="8"/>
      <c r="V990" s="8"/>
      <c r="W990" s="8"/>
      <c r="X990" s="8"/>
      <c r="Y990" s="8"/>
      <c r="Z990" s="8"/>
    </row>
    <row r="991">
      <c r="A991" s="8"/>
      <c r="B991" s="8"/>
      <c r="C991" s="8"/>
      <c r="D991" s="8"/>
      <c r="E991" s="8"/>
      <c r="F991" s="8"/>
      <c r="G991" s="8"/>
      <c r="H991" s="8"/>
      <c r="I991" s="8"/>
      <c r="J991" s="8"/>
      <c r="K991" s="8"/>
      <c r="L991" s="8"/>
      <c r="M991" s="8"/>
      <c r="N991" s="8"/>
      <c r="O991" s="8"/>
      <c r="P991" s="8"/>
      <c r="Q991" s="8"/>
      <c r="R991" s="8"/>
      <c r="S991" s="8"/>
      <c r="T991" s="8"/>
      <c r="U991" s="8"/>
      <c r="V991" s="8"/>
      <c r="W991" s="8"/>
      <c r="X991" s="8"/>
      <c r="Y991" s="8"/>
      <c r="Z991" s="8"/>
    </row>
    <row r="992">
      <c r="A992" s="8"/>
      <c r="B992" s="8"/>
      <c r="C992" s="8"/>
      <c r="D992" s="8"/>
      <c r="E992" s="8"/>
      <c r="F992" s="8"/>
      <c r="G992" s="8"/>
      <c r="H992" s="8"/>
      <c r="I992" s="8"/>
      <c r="J992" s="8"/>
      <c r="K992" s="8"/>
      <c r="L992" s="8"/>
      <c r="M992" s="8"/>
      <c r="N992" s="8"/>
      <c r="O992" s="8"/>
      <c r="P992" s="8"/>
      <c r="Q992" s="8"/>
      <c r="R992" s="8"/>
      <c r="S992" s="8"/>
      <c r="T992" s="8"/>
      <c r="U992" s="8"/>
      <c r="V992" s="8"/>
      <c r="W992" s="8"/>
      <c r="X992" s="8"/>
      <c r="Y992" s="8"/>
      <c r="Z992" s="8"/>
    </row>
    <row r="993">
      <c r="A993" s="8"/>
      <c r="B993" s="8"/>
      <c r="C993" s="8"/>
      <c r="D993" s="8"/>
      <c r="E993" s="8"/>
      <c r="F993" s="8"/>
      <c r="G993" s="8"/>
      <c r="H993" s="8"/>
      <c r="I993" s="8"/>
      <c r="J993" s="8"/>
      <c r="K993" s="8"/>
      <c r="L993" s="8"/>
      <c r="M993" s="8"/>
      <c r="N993" s="8"/>
      <c r="O993" s="8"/>
      <c r="P993" s="8"/>
      <c r="Q993" s="8"/>
      <c r="R993" s="8"/>
      <c r="S993" s="8"/>
      <c r="T993" s="8"/>
      <c r="U993" s="8"/>
      <c r="V993" s="8"/>
      <c r="W993" s="8"/>
      <c r="X993" s="8"/>
      <c r="Y993" s="8"/>
      <c r="Z993" s="8"/>
    </row>
    <row r="994">
      <c r="A994" s="8"/>
      <c r="B994" s="8"/>
      <c r="C994" s="8"/>
      <c r="D994" s="8"/>
      <c r="E994" s="8"/>
      <c r="F994" s="8"/>
      <c r="G994" s="8"/>
      <c r="H994" s="8"/>
      <c r="I994" s="8"/>
      <c r="J994" s="8"/>
      <c r="K994" s="8"/>
      <c r="L994" s="8"/>
      <c r="M994" s="8"/>
      <c r="N994" s="8"/>
      <c r="O994" s="8"/>
      <c r="P994" s="8"/>
      <c r="Q994" s="8"/>
      <c r="R994" s="8"/>
      <c r="S994" s="8"/>
      <c r="T994" s="8"/>
      <c r="U994" s="8"/>
      <c r="V994" s="8"/>
      <c r="W994" s="8"/>
      <c r="X994" s="8"/>
      <c r="Y994" s="8"/>
      <c r="Z994" s="8"/>
    </row>
    <row r="995">
      <c r="A995" s="8"/>
      <c r="B995" s="8"/>
      <c r="C995" s="8"/>
      <c r="D995" s="8"/>
      <c r="E995" s="8"/>
      <c r="F995" s="8"/>
      <c r="G995" s="8"/>
      <c r="H995" s="8"/>
      <c r="I995" s="8"/>
      <c r="J995" s="8"/>
      <c r="K995" s="8"/>
      <c r="L995" s="8"/>
      <c r="M995" s="8"/>
      <c r="N995" s="8"/>
      <c r="O995" s="8"/>
      <c r="P995" s="8"/>
      <c r="Q995" s="8"/>
      <c r="R995" s="8"/>
      <c r="S995" s="8"/>
      <c r="T995" s="8"/>
      <c r="U995" s="8"/>
      <c r="V995" s="8"/>
      <c r="W995" s="8"/>
      <c r="X995" s="8"/>
      <c r="Y995" s="8"/>
      <c r="Z995" s="8"/>
    </row>
    <row r="996">
      <c r="A996" s="8"/>
      <c r="B996" s="8"/>
      <c r="C996" s="8"/>
      <c r="D996" s="8"/>
      <c r="E996" s="8"/>
      <c r="F996" s="8"/>
      <c r="G996" s="8"/>
      <c r="H996" s="8"/>
      <c r="I996" s="8"/>
      <c r="J996" s="8"/>
      <c r="K996" s="8"/>
      <c r="L996" s="8"/>
      <c r="M996" s="8"/>
      <c r="N996" s="8"/>
      <c r="O996" s="8"/>
      <c r="P996" s="8"/>
      <c r="Q996" s="8"/>
      <c r="R996" s="8"/>
      <c r="S996" s="8"/>
      <c r="T996" s="8"/>
      <c r="U996" s="8"/>
      <c r="V996" s="8"/>
      <c r="W996" s="8"/>
      <c r="X996" s="8"/>
      <c r="Y996" s="8"/>
      <c r="Z996" s="8"/>
    </row>
    <row r="997">
      <c r="A997" s="8"/>
      <c r="B997" s="8"/>
      <c r="C997" s="8"/>
      <c r="D997" s="8"/>
      <c r="E997" s="8"/>
      <c r="F997" s="8"/>
      <c r="G997" s="8"/>
      <c r="H997" s="8"/>
      <c r="I997" s="8"/>
      <c r="J997" s="8"/>
      <c r="K997" s="8"/>
      <c r="L997" s="8"/>
      <c r="M997" s="8"/>
      <c r="N997" s="8"/>
      <c r="O997" s="8"/>
      <c r="P997" s="8"/>
      <c r="Q997" s="8"/>
      <c r="R997" s="8"/>
      <c r="S997" s="8"/>
      <c r="T997" s="8"/>
      <c r="U997" s="8"/>
      <c r="V997" s="8"/>
      <c r="W997" s="8"/>
      <c r="X997" s="8"/>
      <c r="Y997" s="8"/>
      <c r="Z997" s="8"/>
    </row>
    <row r="998">
      <c r="A998" s="8"/>
      <c r="B998" s="8"/>
      <c r="C998" s="8"/>
      <c r="D998" s="8"/>
      <c r="E998" s="8"/>
      <c r="F998" s="8"/>
      <c r="G998" s="8"/>
      <c r="H998" s="8"/>
      <c r="I998" s="8"/>
      <c r="J998" s="8"/>
      <c r="K998" s="8"/>
      <c r="L998" s="8"/>
      <c r="M998" s="8"/>
      <c r="N998" s="8"/>
      <c r="O998" s="8"/>
      <c r="P998" s="8"/>
      <c r="Q998" s="8"/>
      <c r="R998" s="8"/>
      <c r="S998" s="8"/>
      <c r="T998" s="8"/>
      <c r="U998" s="8"/>
      <c r="V998" s="8"/>
      <c r="W998" s="8"/>
      <c r="X998" s="8"/>
      <c r="Y998" s="8"/>
      <c r="Z998" s="8"/>
    </row>
    <row r="999">
      <c r="A999" s="8"/>
      <c r="B999" s="8"/>
      <c r="C999" s="8"/>
      <c r="D999" s="8"/>
      <c r="E999" s="8"/>
      <c r="F999" s="8"/>
      <c r="G999" s="8"/>
      <c r="H999" s="8"/>
      <c r="I999" s="8"/>
      <c r="J999" s="8"/>
      <c r="K999" s="8"/>
      <c r="L999" s="8"/>
      <c r="M999" s="8"/>
      <c r="N999" s="8"/>
      <c r="O999" s="8"/>
      <c r="P999" s="8"/>
      <c r="Q999" s="8"/>
      <c r="R999" s="8"/>
      <c r="S999" s="8"/>
      <c r="T999" s="8"/>
      <c r="U999" s="8"/>
      <c r="V999" s="8"/>
      <c r="W999" s="8"/>
      <c r="X999" s="8"/>
      <c r="Y999" s="8"/>
      <c r="Z999" s="8"/>
    </row>
    <row r="1000">
      <c r="A1000" s="8"/>
      <c r="B1000" s="8"/>
      <c r="C1000" s="8"/>
      <c r="D1000" s="8"/>
      <c r="E1000" s="8"/>
      <c r="F1000" s="8"/>
      <c r="G1000" s="8"/>
      <c r="H1000" s="8"/>
      <c r="I1000" s="8"/>
      <c r="J1000" s="8"/>
      <c r="K1000" s="8"/>
      <c r="L1000" s="8"/>
      <c r="M1000" s="8"/>
      <c r="N1000" s="8"/>
      <c r="O1000" s="8"/>
      <c r="P1000" s="8"/>
      <c r="Q1000" s="8"/>
      <c r="R1000" s="8"/>
      <c r="S1000" s="8"/>
      <c r="T1000" s="8"/>
      <c r="U1000" s="8"/>
      <c r="V1000" s="8"/>
      <c r="W1000" s="8"/>
      <c r="X1000" s="8"/>
      <c r="Y1000" s="8"/>
      <c r="Z1000" s="8"/>
    </row>
    <row r="1001">
      <c r="A1001" s="8"/>
      <c r="B1001" s="8"/>
      <c r="C1001" s="8"/>
      <c r="D1001" s="8"/>
      <c r="E1001" s="8"/>
      <c r="F1001" s="8"/>
      <c r="G1001" s="8"/>
      <c r="H1001" s="8"/>
      <c r="I1001" s="8"/>
      <c r="J1001" s="8"/>
      <c r="K1001" s="8"/>
      <c r="L1001" s="8"/>
      <c r="M1001" s="8"/>
      <c r="N1001" s="8"/>
      <c r="O1001" s="8"/>
      <c r="P1001" s="8"/>
      <c r="Q1001" s="8"/>
      <c r="R1001" s="8"/>
      <c r="S1001" s="8"/>
      <c r="T1001" s="8"/>
      <c r="U1001" s="8"/>
      <c r="V1001" s="8"/>
      <c r="W1001" s="8"/>
      <c r="X1001" s="8"/>
      <c r="Y1001" s="8"/>
      <c r="Z1001" s="8"/>
    </row>
  </sheetData>
  <drawing r:id="rId1"/>
  <tableParts count="1">
    <tablePart r:id="rId3"/>
  </tableParts>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AC090"/>
    <pageSetUpPr/>
  </sheetPr>
  <sheetViews>
    <sheetView workbookViewId="0"/>
  </sheetViews>
  <sheetFormatPr customHeight="1" defaultColWidth="12.63" defaultRowHeight="15.0"/>
  <cols>
    <col customWidth="1" min="1" max="1" width="14.38"/>
    <col customWidth="1" min="2" max="7" width="10.63"/>
    <col customWidth="1" min="8" max="8" width="9.0"/>
    <col customWidth="1" min="9" max="9" width="14.13"/>
    <col customWidth="1" min="10" max="10" width="10.63"/>
    <col customWidth="1" min="11" max="11" width="14.13"/>
    <col customWidth="1" min="12" max="13" width="10.63"/>
    <col customWidth="1" min="14" max="14" width="14.0"/>
    <col customWidth="1" min="15" max="26" width="10.63"/>
  </cols>
  <sheetData>
    <row r="1" ht="12.75" customHeight="1">
      <c r="A1" s="55" t="s">
        <v>61</v>
      </c>
      <c r="B1" s="55" t="s">
        <v>62</v>
      </c>
      <c r="C1" s="55" t="s">
        <v>63</v>
      </c>
      <c r="D1" s="55" t="s">
        <v>45</v>
      </c>
      <c r="E1" s="55" t="s">
        <v>46</v>
      </c>
      <c r="F1" s="55" t="s">
        <v>64</v>
      </c>
      <c r="G1" s="56" t="s">
        <v>65</v>
      </c>
      <c r="H1" s="55" t="s">
        <v>66</v>
      </c>
      <c r="I1" s="57" t="s">
        <v>67</v>
      </c>
    </row>
    <row r="2" ht="12.75" customHeight="1">
      <c r="A2" s="58">
        <v>42737.0</v>
      </c>
      <c r="B2" s="59">
        <v>550.0</v>
      </c>
      <c r="C2" s="59">
        <v>82.72</v>
      </c>
      <c r="D2" s="59">
        <v>780.0</v>
      </c>
      <c r="E2" s="59">
        <v>360.0</v>
      </c>
      <c r="F2" s="60">
        <f t="shared" ref="F2:F6" si="1">SUM(B2:E2)</f>
        <v>1772.72</v>
      </c>
      <c r="G2" s="59">
        <v>32.0</v>
      </c>
      <c r="H2" s="59">
        <v>2.0</v>
      </c>
      <c r="I2" s="61">
        <v>360.0</v>
      </c>
    </row>
    <row r="3" ht="24.75" customHeight="1">
      <c r="A3" s="58">
        <f t="shared" ref="A3:A6" si="2">A2+1</f>
        <v>42738</v>
      </c>
      <c r="B3" s="59">
        <v>280.0</v>
      </c>
      <c r="C3" s="59"/>
      <c r="D3" s="59">
        <v>300.0</v>
      </c>
      <c r="E3" s="59">
        <v>120.0</v>
      </c>
      <c r="F3" s="60">
        <f t="shared" si="1"/>
        <v>700</v>
      </c>
      <c r="G3" s="59">
        <v>17.0</v>
      </c>
      <c r="H3" s="62"/>
      <c r="I3" s="61">
        <v>110.0</v>
      </c>
      <c r="K3" s="63" t="s">
        <v>68</v>
      </c>
    </row>
    <row r="4" ht="12.75" customHeight="1">
      <c r="A4" s="58">
        <f t="shared" si="2"/>
        <v>42739</v>
      </c>
      <c r="B4" s="59">
        <v>400.0</v>
      </c>
      <c r="C4" s="59">
        <v>272.3</v>
      </c>
      <c r="D4" s="59">
        <v>180.0</v>
      </c>
      <c r="E4" s="59">
        <v>100.0</v>
      </c>
      <c r="F4" s="60">
        <f t="shared" si="1"/>
        <v>952.3</v>
      </c>
      <c r="G4" s="59">
        <v>24.0</v>
      </c>
      <c r="H4" s="59">
        <v>7.0</v>
      </c>
      <c r="I4" s="61">
        <v>100.0</v>
      </c>
    </row>
    <row r="5" ht="12.75" customHeight="1">
      <c r="A5" s="58">
        <f t="shared" si="2"/>
        <v>42740</v>
      </c>
      <c r="B5" s="59">
        <v>270.0</v>
      </c>
      <c r="C5" s="59">
        <v>164.3</v>
      </c>
      <c r="D5" s="59">
        <v>1310.0</v>
      </c>
      <c r="E5" s="59">
        <v>40.0</v>
      </c>
      <c r="F5" s="60">
        <f t="shared" si="1"/>
        <v>1784.3</v>
      </c>
      <c r="G5" s="59">
        <v>32.0</v>
      </c>
      <c r="H5" s="59">
        <v>2.0</v>
      </c>
      <c r="I5" s="61">
        <v>40.0</v>
      </c>
    </row>
    <row r="6" ht="12.75" customHeight="1">
      <c r="A6" s="58">
        <f t="shared" si="2"/>
        <v>42741</v>
      </c>
      <c r="B6" s="59">
        <v>290.0</v>
      </c>
      <c r="C6" s="59">
        <v>206.1</v>
      </c>
      <c r="D6" s="59">
        <v>820.0</v>
      </c>
      <c r="E6" s="59">
        <v>200.0</v>
      </c>
      <c r="F6" s="60">
        <f t="shared" si="1"/>
        <v>1516.1</v>
      </c>
      <c r="G6" s="59">
        <v>31.0</v>
      </c>
      <c r="H6" s="59">
        <v>5.0</v>
      </c>
      <c r="I6" s="61">
        <v>200.0</v>
      </c>
      <c r="K6" s="64"/>
      <c r="L6" s="65">
        <f>L7+M7</f>
        <v>54</v>
      </c>
      <c r="N6" s="66"/>
    </row>
    <row r="7" ht="12.75" customHeight="1">
      <c r="A7" s="67"/>
      <c r="B7" s="68">
        <f t="shared" ref="B7:I7" si="3">SUM(B2:B6)</f>
        <v>1790</v>
      </c>
      <c r="C7" s="68">
        <f t="shared" si="3"/>
        <v>725.42</v>
      </c>
      <c r="D7" s="68">
        <f t="shared" si="3"/>
        <v>3390</v>
      </c>
      <c r="E7" s="68">
        <f t="shared" si="3"/>
        <v>820</v>
      </c>
      <c r="F7" s="69">
        <f t="shared" si="3"/>
        <v>6725.42</v>
      </c>
      <c r="G7" s="70">
        <f t="shared" si="3"/>
        <v>136</v>
      </c>
      <c r="H7" s="70">
        <f t="shared" si="3"/>
        <v>16</v>
      </c>
      <c r="I7" s="71">
        <f t="shared" si="3"/>
        <v>810</v>
      </c>
      <c r="K7" s="64"/>
      <c r="L7" s="72">
        <f t="shared" ref="L7:N7" si="4">SUM(L9:L13)</f>
        <v>52</v>
      </c>
      <c r="M7" s="72">
        <f t="shared" si="4"/>
        <v>2</v>
      </c>
      <c r="N7" s="73">
        <f t="shared" si="4"/>
        <v>4823.64</v>
      </c>
    </row>
    <row r="8" ht="12.75" customHeight="1">
      <c r="A8" s="74"/>
      <c r="B8" s="75"/>
      <c r="C8" s="75"/>
      <c r="D8" s="75"/>
      <c r="E8" s="75"/>
      <c r="F8" s="76"/>
      <c r="G8" s="76"/>
      <c r="H8" s="76"/>
      <c r="I8" s="77"/>
      <c r="K8" s="78" t="s">
        <v>69</v>
      </c>
      <c r="L8" s="79">
        <v>90.0</v>
      </c>
      <c r="M8" s="79">
        <v>71.82</v>
      </c>
      <c r="N8" s="66"/>
    </row>
    <row r="9" ht="12.75" customHeight="1">
      <c r="A9" s="80">
        <f>A6+3</f>
        <v>42744</v>
      </c>
      <c r="B9" s="59">
        <v>510.0</v>
      </c>
      <c r="C9" s="59">
        <v>40.66</v>
      </c>
      <c r="D9" s="59">
        <v>1050.0</v>
      </c>
      <c r="E9" s="59">
        <v>210.0</v>
      </c>
      <c r="F9" s="60">
        <f t="shared" ref="F9:F13" si="5">SUM(B9:E9)</f>
        <v>1810.66</v>
      </c>
      <c r="G9" s="59">
        <v>33.0</v>
      </c>
      <c r="H9" s="59">
        <v>1.0</v>
      </c>
      <c r="I9" s="61">
        <v>200.0</v>
      </c>
      <c r="K9" s="81" t="s">
        <v>70</v>
      </c>
      <c r="L9" s="81">
        <v>22.0</v>
      </c>
      <c r="M9" s="81">
        <v>0.0</v>
      </c>
      <c r="N9" s="82">
        <f t="shared" ref="N9:N13" si="6">L9*$L$109+M9*$M$109</f>
        <v>1980</v>
      </c>
    </row>
    <row r="10" ht="12.75" customHeight="1">
      <c r="A10" s="58">
        <f t="shared" ref="A10:A13" si="7">A9+1</f>
        <v>42745</v>
      </c>
      <c r="B10" s="81">
        <v>410.0</v>
      </c>
      <c r="C10" s="81">
        <v>162.28</v>
      </c>
      <c r="D10" s="81">
        <v>260.0</v>
      </c>
      <c r="E10" s="81">
        <v>210.0</v>
      </c>
      <c r="F10" s="60">
        <f t="shared" si="5"/>
        <v>1042.28</v>
      </c>
      <c r="G10" s="81">
        <v>23.0</v>
      </c>
      <c r="H10" s="81">
        <v>4.0</v>
      </c>
      <c r="I10" s="83">
        <v>200.0</v>
      </c>
      <c r="K10" s="81" t="s">
        <v>71</v>
      </c>
      <c r="L10" s="81">
        <v>10.0</v>
      </c>
      <c r="M10" s="81">
        <v>0.0</v>
      </c>
      <c r="N10" s="82">
        <f t="shared" si="6"/>
        <v>900</v>
      </c>
    </row>
    <row r="11" ht="12.75" customHeight="1">
      <c r="A11" s="58">
        <f t="shared" si="7"/>
        <v>42746</v>
      </c>
      <c r="B11" s="81">
        <v>360.0</v>
      </c>
      <c r="C11" s="81">
        <v>311.2</v>
      </c>
      <c r="D11" s="81">
        <v>560.0</v>
      </c>
      <c r="E11" s="81">
        <v>40.0</v>
      </c>
      <c r="F11" s="60">
        <f t="shared" si="5"/>
        <v>1271.2</v>
      </c>
      <c r="G11" s="81">
        <v>28.0</v>
      </c>
      <c r="H11" s="81">
        <v>8.0</v>
      </c>
      <c r="I11" s="83">
        <v>40.0</v>
      </c>
      <c r="K11" s="81" t="s">
        <v>72</v>
      </c>
      <c r="L11" s="81">
        <v>20.0</v>
      </c>
      <c r="M11" s="81">
        <v>2.0</v>
      </c>
      <c r="N11" s="82">
        <f t="shared" si="6"/>
        <v>1943.64</v>
      </c>
    </row>
    <row r="12" ht="12.75" customHeight="1">
      <c r="A12" s="58">
        <f t="shared" si="7"/>
        <v>42747</v>
      </c>
      <c r="B12" s="84"/>
      <c r="C12" s="84"/>
      <c r="D12" s="84"/>
      <c r="E12" s="84"/>
      <c r="F12" s="85">
        <f t="shared" si="5"/>
        <v>0</v>
      </c>
      <c r="G12" s="84"/>
      <c r="H12" s="84"/>
      <c r="I12" s="86"/>
      <c r="K12" s="81" t="s">
        <v>73</v>
      </c>
      <c r="L12" s="81"/>
      <c r="M12" s="81"/>
      <c r="N12" s="82">
        <f t="shared" si="6"/>
        <v>0</v>
      </c>
    </row>
    <row r="13" ht="12.75" customHeight="1">
      <c r="A13" s="58">
        <f t="shared" si="7"/>
        <v>42748</v>
      </c>
      <c r="B13" s="87"/>
      <c r="C13" s="87"/>
      <c r="D13" s="87"/>
      <c r="E13" s="87"/>
      <c r="F13" s="85">
        <f t="shared" si="5"/>
        <v>0</v>
      </c>
      <c r="G13" s="87"/>
      <c r="H13" s="87"/>
      <c r="I13" s="88"/>
      <c r="K13" s="81" t="s">
        <v>74</v>
      </c>
      <c r="L13" s="81"/>
      <c r="M13" s="81"/>
      <c r="N13" s="82">
        <f t="shared" si="6"/>
        <v>0</v>
      </c>
    </row>
    <row r="14" ht="12.75" customHeight="1">
      <c r="A14" s="67"/>
      <c r="B14" s="68">
        <f t="shared" ref="B14:I14" si="8">SUM(B9:B13)</f>
        <v>1280</v>
      </c>
      <c r="C14" s="68">
        <f t="shared" si="8"/>
        <v>514.14</v>
      </c>
      <c r="D14" s="68">
        <f t="shared" si="8"/>
        <v>1870</v>
      </c>
      <c r="E14" s="68">
        <f t="shared" si="8"/>
        <v>460</v>
      </c>
      <c r="F14" s="69">
        <f t="shared" si="8"/>
        <v>4124.14</v>
      </c>
      <c r="G14" s="70">
        <f t="shared" si="8"/>
        <v>84</v>
      </c>
      <c r="H14" s="70">
        <f t="shared" si="8"/>
        <v>13</v>
      </c>
      <c r="I14" s="71">
        <f t="shared" si="8"/>
        <v>440</v>
      </c>
    </row>
    <row r="15" ht="12.75" customHeight="1">
      <c r="A15" s="74"/>
      <c r="B15" s="75"/>
      <c r="C15" s="75"/>
      <c r="D15" s="75"/>
      <c r="E15" s="75"/>
      <c r="F15" s="76"/>
      <c r="G15" s="76"/>
      <c r="H15" s="76"/>
      <c r="I15" s="77"/>
      <c r="L15" s="65">
        <f>L16+M16</f>
        <v>98</v>
      </c>
    </row>
    <row r="16" ht="12.75" customHeight="1">
      <c r="A16" s="58">
        <f>A13+3</f>
        <v>42751</v>
      </c>
      <c r="B16" s="59">
        <v>290.0</v>
      </c>
      <c r="C16" s="59">
        <v>243.24</v>
      </c>
      <c r="D16" s="59">
        <v>400.0</v>
      </c>
      <c r="E16" s="59">
        <v>100.0</v>
      </c>
      <c r="F16" s="60">
        <f t="shared" ref="F16:F20" si="10">SUM(B16:E16)</f>
        <v>1033.24</v>
      </c>
      <c r="G16" s="59">
        <v>22.0</v>
      </c>
      <c r="H16" s="59">
        <v>6.0</v>
      </c>
      <c r="I16" s="61">
        <v>100.0</v>
      </c>
      <c r="K16" s="64"/>
      <c r="L16" s="72">
        <f t="shared" ref="L16:N16" si="9">SUM(L18:L22)</f>
        <v>92</v>
      </c>
      <c r="M16" s="72">
        <f t="shared" si="9"/>
        <v>6</v>
      </c>
      <c r="N16" s="73">
        <f t="shared" si="9"/>
        <v>8710.92</v>
      </c>
    </row>
    <row r="17" ht="12.75" customHeight="1">
      <c r="A17" s="58">
        <f t="shared" ref="A17:A20" si="11">A16+1</f>
        <v>42752</v>
      </c>
      <c r="B17" s="81">
        <v>292.2</v>
      </c>
      <c r="C17" s="81">
        <v>220.5</v>
      </c>
      <c r="D17" s="81">
        <v>420.0</v>
      </c>
      <c r="E17" s="81">
        <v>170.0</v>
      </c>
      <c r="F17" s="60">
        <f t="shared" si="10"/>
        <v>1102.7</v>
      </c>
      <c r="G17" s="81">
        <v>23.0</v>
      </c>
      <c r="H17" s="81">
        <v>5.0</v>
      </c>
      <c r="I17" s="83">
        <v>150.0</v>
      </c>
      <c r="K17" s="78" t="s">
        <v>75</v>
      </c>
      <c r="L17" s="79">
        <v>90.0</v>
      </c>
      <c r="M17" s="79">
        <v>71.82</v>
      </c>
      <c r="N17" s="66"/>
    </row>
    <row r="18" ht="12.75" customHeight="1">
      <c r="A18" s="58">
        <f t="shared" si="11"/>
        <v>42753</v>
      </c>
      <c r="B18" s="81">
        <v>260.0</v>
      </c>
      <c r="C18" s="81">
        <v>77.8</v>
      </c>
      <c r="D18" s="81">
        <v>700.0</v>
      </c>
      <c r="E18" s="81">
        <v>140.0</v>
      </c>
      <c r="F18" s="60">
        <f t="shared" si="10"/>
        <v>1177.8</v>
      </c>
      <c r="G18" s="81">
        <v>25.0</v>
      </c>
      <c r="H18" s="81">
        <v>2.0</v>
      </c>
      <c r="I18" s="83">
        <v>140.0</v>
      </c>
      <c r="K18" s="81" t="s">
        <v>70</v>
      </c>
      <c r="L18" s="81">
        <v>20.0</v>
      </c>
      <c r="M18" s="81">
        <v>1.0</v>
      </c>
      <c r="N18" s="82">
        <f t="shared" ref="N18:N21" si="12">L18*$L$109+M18*$M$109</f>
        <v>1871.82</v>
      </c>
    </row>
    <row r="19" ht="12.75" customHeight="1">
      <c r="A19" s="58">
        <f t="shared" si="11"/>
        <v>42754</v>
      </c>
      <c r="B19" s="81">
        <v>450.0</v>
      </c>
      <c r="C19" s="81">
        <v>120.22</v>
      </c>
      <c r="D19" s="81">
        <v>1220.0</v>
      </c>
      <c r="E19" s="81">
        <v>40.0</v>
      </c>
      <c r="F19" s="60">
        <f t="shared" si="10"/>
        <v>1830.22</v>
      </c>
      <c r="G19" s="81">
        <v>35.0</v>
      </c>
      <c r="H19" s="81">
        <v>3.0</v>
      </c>
      <c r="I19" s="83">
        <v>40.0</v>
      </c>
      <c r="K19" s="81" t="s">
        <v>71</v>
      </c>
      <c r="L19" s="81">
        <v>34.0</v>
      </c>
      <c r="M19" s="81">
        <v>1.0</v>
      </c>
      <c r="N19" s="82">
        <f t="shared" si="12"/>
        <v>3131.82</v>
      </c>
    </row>
    <row r="20" ht="12.75" customHeight="1">
      <c r="A20" s="58">
        <f t="shared" si="11"/>
        <v>42755</v>
      </c>
      <c r="B20" s="89">
        <v>310.0</v>
      </c>
      <c r="C20" s="89">
        <v>341.66</v>
      </c>
      <c r="D20" s="89">
        <v>770.0</v>
      </c>
      <c r="E20" s="89">
        <v>130.0</v>
      </c>
      <c r="F20" s="60">
        <f t="shared" si="10"/>
        <v>1551.66</v>
      </c>
      <c r="G20" s="89">
        <v>31.0</v>
      </c>
      <c r="H20" s="89">
        <v>8.0</v>
      </c>
      <c r="I20" s="90">
        <v>140.0</v>
      </c>
      <c r="K20" s="81" t="s">
        <v>72</v>
      </c>
      <c r="L20" s="81">
        <v>15.0</v>
      </c>
      <c r="M20" s="81">
        <v>2.0</v>
      </c>
      <c r="N20" s="82">
        <f t="shared" si="12"/>
        <v>1493.64</v>
      </c>
    </row>
    <row r="21" ht="12.75" customHeight="1">
      <c r="A21" s="67"/>
      <c r="B21" s="68">
        <f t="shared" ref="B21:I21" si="13">SUM(B16:B20)</f>
        <v>1602.2</v>
      </c>
      <c r="C21" s="68">
        <f t="shared" si="13"/>
        <v>1003.42</v>
      </c>
      <c r="D21" s="68">
        <f t="shared" si="13"/>
        <v>3510</v>
      </c>
      <c r="E21" s="68">
        <f t="shared" si="13"/>
        <v>580</v>
      </c>
      <c r="F21" s="68">
        <f t="shared" si="13"/>
        <v>6695.62</v>
      </c>
      <c r="G21" s="70">
        <f t="shared" si="13"/>
        <v>136</v>
      </c>
      <c r="H21" s="70">
        <f t="shared" si="13"/>
        <v>24</v>
      </c>
      <c r="I21" s="91">
        <f t="shared" si="13"/>
        <v>570</v>
      </c>
      <c r="K21" s="81" t="s">
        <v>73</v>
      </c>
      <c r="L21" s="81">
        <v>23.0</v>
      </c>
      <c r="M21" s="81">
        <v>2.0</v>
      </c>
      <c r="N21" s="82">
        <f t="shared" si="12"/>
        <v>2213.64</v>
      </c>
    </row>
    <row r="22" ht="12.75" customHeight="1">
      <c r="A22" s="74"/>
      <c r="B22" s="92"/>
      <c r="C22" s="92"/>
      <c r="D22" s="92"/>
      <c r="E22" s="92"/>
      <c r="F22" s="75"/>
      <c r="G22" s="93"/>
      <c r="H22" s="93"/>
      <c r="I22" s="94"/>
      <c r="K22" s="81"/>
      <c r="L22" s="81"/>
      <c r="M22" s="81"/>
      <c r="N22" s="82"/>
    </row>
    <row r="23" ht="12.75" customHeight="1">
      <c r="A23" s="58">
        <f>A20+3</f>
        <v>42758</v>
      </c>
      <c r="B23" s="81">
        <v>270.0</v>
      </c>
      <c r="C23" s="81">
        <v>269.32</v>
      </c>
      <c r="D23" s="81">
        <v>840.0</v>
      </c>
      <c r="E23" s="81"/>
      <c r="F23" s="60">
        <f t="shared" ref="F23:F27" si="14">SUM(B23:E23)</f>
        <v>1379.32</v>
      </c>
      <c r="G23" s="81">
        <v>33.0</v>
      </c>
      <c r="H23" s="81">
        <v>7.0</v>
      </c>
      <c r="I23" s="81"/>
    </row>
    <row r="24" ht="12.75" customHeight="1">
      <c r="A24" s="58">
        <f t="shared" ref="A24:A27" si="15">A23+1</f>
        <v>42759</v>
      </c>
      <c r="B24" s="59">
        <v>560.0</v>
      </c>
      <c r="C24" s="59">
        <v>121.62</v>
      </c>
      <c r="D24" s="59">
        <v>210.0</v>
      </c>
      <c r="E24" s="59">
        <v>40.0</v>
      </c>
      <c r="F24" s="60">
        <f t="shared" si="14"/>
        <v>931.62</v>
      </c>
      <c r="G24" s="59">
        <v>19.0</v>
      </c>
      <c r="H24" s="59">
        <v>3.0</v>
      </c>
      <c r="I24" s="61">
        <v>40.0</v>
      </c>
      <c r="L24" s="65">
        <f>L25+M25</f>
        <v>86</v>
      </c>
    </row>
    <row r="25" ht="12.75" customHeight="1">
      <c r="A25" s="58">
        <f t="shared" si="15"/>
        <v>42760</v>
      </c>
      <c r="B25" s="81">
        <v>380.0</v>
      </c>
      <c r="C25" s="81">
        <v>395.32</v>
      </c>
      <c r="D25" s="81">
        <v>560.0</v>
      </c>
      <c r="E25" s="81">
        <v>80.0</v>
      </c>
      <c r="F25" s="60">
        <f t="shared" si="14"/>
        <v>1415.32</v>
      </c>
      <c r="G25" s="81">
        <v>32.0</v>
      </c>
      <c r="H25" s="81">
        <v>10.0</v>
      </c>
      <c r="I25" s="83">
        <v>90.0</v>
      </c>
      <c r="K25" s="66"/>
      <c r="L25" s="72">
        <f t="shared" ref="L25:N25" si="16">SUM(L27:L31)</f>
        <v>79</v>
      </c>
      <c r="M25" s="72">
        <f t="shared" si="16"/>
        <v>7</v>
      </c>
      <c r="N25" s="73">
        <f t="shared" si="16"/>
        <v>7612.74</v>
      </c>
    </row>
    <row r="26" ht="12.75" customHeight="1">
      <c r="A26" s="58">
        <f t="shared" si="15"/>
        <v>42761</v>
      </c>
      <c r="B26" s="81">
        <v>330.0</v>
      </c>
      <c r="C26" s="81">
        <v>236.92</v>
      </c>
      <c r="D26" s="81">
        <v>920.0</v>
      </c>
      <c r="E26" s="81">
        <v>370.0</v>
      </c>
      <c r="F26" s="60">
        <f t="shared" si="14"/>
        <v>1856.92</v>
      </c>
      <c r="G26" s="81">
        <v>37.0</v>
      </c>
      <c r="H26" s="81">
        <v>6.0</v>
      </c>
      <c r="I26" s="83">
        <v>370.0</v>
      </c>
      <c r="K26" s="95" t="s">
        <v>76</v>
      </c>
      <c r="L26" s="96">
        <v>90.0</v>
      </c>
      <c r="M26" s="96">
        <v>71.82</v>
      </c>
      <c r="N26" s="66"/>
    </row>
    <row r="27" ht="12.75" customHeight="1">
      <c r="A27" s="58">
        <f t="shared" si="15"/>
        <v>42762</v>
      </c>
      <c r="B27" s="81">
        <v>400.0</v>
      </c>
      <c r="C27" s="81">
        <v>243.86</v>
      </c>
      <c r="D27" s="81">
        <v>770.0</v>
      </c>
      <c r="E27" s="81">
        <v>230.0</v>
      </c>
      <c r="F27" s="60">
        <f t="shared" si="14"/>
        <v>1643.86</v>
      </c>
      <c r="G27" s="81">
        <v>29.0</v>
      </c>
      <c r="H27" s="81">
        <v>4.0</v>
      </c>
      <c r="I27" s="83">
        <v>220.0</v>
      </c>
      <c r="K27" s="81" t="s">
        <v>70</v>
      </c>
      <c r="L27" s="81">
        <v>20.0</v>
      </c>
      <c r="M27" s="81">
        <v>1.0</v>
      </c>
      <c r="N27" s="82">
        <f t="shared" ref="N27:N31" si="18">L27*$L$109+M27*$M$109</f>
        <v>1871.82</v>
      </c>
    </row>
    <row r="28" ht="12.75" customHeight="1">
      <c r="A28" s="67"/>
      <c r="B28" s="68">
        <f t="shared" ref="B28:I28" si="17">SUM(B23:B27)</f>
        <v>1940</v>
      </c>
      <c r="C28" s="68">
        <f t="shared" si="17"/>
        <v>1267.04</v>
      </c>
      <c r="D28" s="68">
        <f t="shared" si="17"/>
        <v>3300</v>
      </c>
      <c r="E28" s="68">
        <f t="shared" si="17"/>
        <v>720</v>
      </c>
      <c r="F28" s="68">
        <f t="shared" si="17"/>
        <v>7227.04</v>
      </c>
      <c r="G28" s="70">
        <f t="shared" si="17"/>
        <v>150</v>
      </c>
      <c r="H28" s="70">
        <f t="shared" si="17"/>
        <v>30</v>
      </c>
      <c r="I28" s="91">
        <f t="shared" si="17"/>
        <v>720</v>
      </c>
      <c r="K28" s="81" t="s">
        <v>71</v>
      </c>
      <c r="L28" s="81">
        <v>21.0</v>
      </c>
      <c r="M28" s="81">
        <v>3.0</v>
      </c>
      <c r="N28" s="82">
        <f t="shared" si="18"/>
        <v>2105.46</v>
      </c>
    </row>
    <row r="29" ht="12.75" customHeight="1">
      <c r="A29" s="74"/>
      <c r="B29" s="75"/>
      <c r="C29" s="75"/>
      <c r="D29" s="75"/>
      <c r="E29" s="75"/>
      <c r="F29" s="75"/>
      <c r="G29" s="76"/>
      <c r="H29" s="76"/>
      <c r="I29" s="74"/>
      <c r="K29" s="81" t="s">
        <v>72</v>
      </c>
      <c r="L29" s="81"/>
      <c r="M29" s="81"/>
      <c r="N29" s="82">
        <f t="shared" si="18"/>
        <v>0</v>
      </c>
    </row>
    <row r="30" ht="12.75" customHeight="1">
      <c r="A30" s="58">
        <f>A27+3</f>
        <v>42765</v>
      </c>
      <c r="B30" s="81">
        <v>540.0</v>
      </c>
      <c r="C30" s="81">
        <v>118.46</v>
      </c>
      <c r="D30" s="81">
        <v>390.0</v>
      </c>
      <c r="E30" s="81">
        <v>160.0</v>
      </c>
      <c r="F30" s="60">
        <f t="shared" ref="F30:F31" si="19">SUM(B30:E30)</f>
        <v>1208.46</v>
      </c>
      <c r="G30" s="81">
        <v>23.0</v>
      </c>
      <c r="H30" s="81">
        <v>3.0</v>
      </c>
      <c r="I30" s="83">
        <v>160.0</v>
      </c>
      <c r="K30" s="81" t="s">
        <v>73</v>
      </c>
      <c r="L30" s="81">
        <v>20.0</v>
      </c>
      <c r="M30" s="81">
        <v>2.0</v>
      </c>
      <c r="N30" s="82">
        <f t="shared" si="18"/>
        <v>1943.64</v>
      </c>
    </row>
    <row r="31" ht="12.75" customHeight="1">
      <c r="A31" s="58">
        <f>A30+1</f>
        <v>42766</v>
      </c>
      <c r="B31" s="81">
        <v>170.0</v>
      </c>
      <c r="C31" s="81">
        <v>232.7</v>
      </c>
      <c r="D31" s="81">
        <v>610.0</v>
      </c>
      <c r="E31" s="81">
        <v>80.0</v>
      </c>
      <c r="F31" s="60">
        <f t="shared" si="19"/>
        <v>1092.7</v>
      </c>
      <c r="G31" s="81">
        <v>24.0</v>
      </c>
      <c r="H31" s="81">
        <v>5.0</v>
      </c>
      <c r="I31" s="83">
        <v>80.0</v>
      </c>
      <c r="K31" s="81" t="s">
        <v>74</v>
      </c>
      <c r="L31" s="81">
        <v>18.0</v>
      </c>
      <c r="M31" s="81">
        <v>1.0</v>
      </c>
      <c r="N31" s="82">
        <f t="shared" si="18"/>
        <v>1691.82</v>
      </c>
    </row>
    <row r="32" ht="12.75" customHeight="1">
      <c r="A32" s="67"/>
      <c r="B32" s="68">
        <f t="shared" ref="B32:I32" si="20">SUM(B30:B31)</f>
        <v>710</v>
      </c>
      <c r="C32" s="68">
        <f t="shared" si="20"/>
        <v>351.16</v>
      </c>
      <c r="D32" s="68">
        <f t="shared" si="20"/>
        <v>1000</v>
      </c>
      <c r="E32" s="68">
        <f t="shared" si="20"/>
        <v>240</v>
      </c>
      <c r="F32" s="68">
        <f t="shared" si="20"/>
        <v>2301.16</v>
      </c>
      <c r="G32" s="70">
        <f t="shared" si="20"/>
        <v>47</v>
      </c>
      <c r="H32" s="70">
        <f t="shared" si="20"/>
        <v>8</v>
      </c>
      <c r="I32" s="91">
        <f t="shared" si="20"/>
        <v>240</v>
      </c>
    </row>
    <row r="33" ht="12.75" customHeight="1">
      <c r="A33" s="74"/>
      <c r="B33" s="75"/>
      <c r="C33" s="75"/>
      <c r="D33" s="75"/>
      <c r="E33" s="75"/>
      <c r="F33" s="75"/>
      <c r="G33" s="76"/>
      <c r="H33" s="76"/>
      <c r="I33" s="74"/>
      <c r="L33" s="65">
        <f>L34+M34</f>
        <v>82</v>
      </c>
    </row>
    <row r="34" ht="12.75" customHeight="1">
      <c r="A34" s="58">
        <v>42767.0</v>
      </c>
      <c r="B34" s="59">
        <v>320.0</v>
      </c>
      <c r="C34" s="59">
        <v>116.7</v>
      </c>
      <c r="D34" s="59">
        <v>348.0</v>
      </c>
      <c r="E34" s="59">
        <v>60.0</v>
      </c>
      <c r="F34" s="60">
        <f t="shared" ref="F34:F36" si="22">SUM(B34:E34)</f>
        <v>844.7</v>
      </c>
      <c r="G34" s="59">
        <v>17.0</v>
      </c>
      <c r="H34" s="59">
        <v>3.0</v>
      </c>
      <c r="I34" s="61">
        <v>60.0</v>
      </c>
      <c r="L34" s="72">
        <f t="shared" ref="L34:N34" si="21">SUM(L36:L40)</f>
        <v>72</v>
      </c>
      <c r="M34" s="72">
        <f t="shared" si="21"/>
        <v>10</v>
      </c>
      <c r="N34" s="73">
        <f t="shared" si="21"/>
        <v>7198.2</v>
      </c>
    </row>
    <row r="35" ht="12.75" customHeight="1">
      <c r="A35" s="58">
        <f t="shared" ref="A35:A36" si="23">A34+1</f>
        <v>42768</v>
      </c>
      <c r="B35" s="59">
        <v>350.0</v>
      </c>
      <c r="C35" s="59">
        <v>243.96</v>
      </c>
      <c r="D35" s="59">
        <v>900.0</v>
      </c>
      <c r="E35" s="59">
        <v>290.0</v>
      </c>
      <c r="F35" s="60">
        <f t="shared" si="22"/>
        <v>1783.96</v>
      </c>
      <c r="G35" s="59">
        <v>36.0</v>
      </c>
      <c r="H35" s="59">
        <v>6.0</v>
      </c>
      <c r="I35" s="61">
        <v>290.0</v>
      </c>
      <c r="K35" s="78" t="s">
        <v>77</v>
      </c>
      <c r="L35" s="79">
        <v>90.0</v>
      </c>
      <c r="M35" s="79">
        <v>71.82</v>
      </c>
      <c r="N35" s="66"/>
    </row>
    <row r="36" ht="12.75" customHeight="1">
      <c r="A36" s="58">
        <f t="shared" si="23"/>
        <v>42769</v>
      </c>
      <c r="B36" s="81">
        <v>370.0</v>
      </c>
      <c r="C36" s="81"/>
      <c r="D36" s="81">
        <v>120.22</v>
      </c>
      <c r="E36" s="81">
        <v>740.0</v>
      </c>
      <c r="F36" s="60">
        <f t="shared" si="22"/>
        <v>1230.22</v>
      </c>
      <c r="G36" s="81">
        <v>26.0</v>
      </c>
      <c r="H36" s="81">
        <v>3.0</v>
      </c>
      <c r="I36" s="83">
        <v>140.0</v>
      </c>
      <c r="K36" s="81" t="s">
        <v>70</v>
      </c>
      <c r="L36" s="81">
        <v>24.0</v>
      </c>
      <c r="M36" s="81">
        <v>4.0</v>
      </c>
      <c r="N36" s="82">
        <f t="shared" ref="N36:N40" si="26">L36*$L$109+M36*$M$109</f>
        <v>2447.28</v>
      </c>
    </row>
    <row r="37" ht="12.75" customHeight="1">
      <c r="A37" s="67"/>
      <c r="B37" s="68">
        <f t="shared" ref="B37:F37" si="24">SUM(B34:B36)</f>
        <v>1040</v>
      </c>
      <c r="C37" s="68">
        <f t="shared" si="24"/>
        <v>360.66</v>
      </c>
      <c r="D37" s="68">
        <f t="shared" si="24"/>
        <v>1368.22</v>
      </c>
      <c r="E37" s="68">
        <f t="shared" si="24"/>
        <v>1090</v>
      </c>
      <c r="F37" s="68">
        <f t="shared" si="24"/>
        <v>3858.88</v>
      </c>
      <c r="G37" s="70">
        <f>SUM(G34:G36)+G34</f>
        <v>96</v>
      </c>
      <c r="H37" s="70">
        <f t="shared" ref="H37:I37" si="25">SUM(H34:H36)</f>
        <v>12</v>
      </c>
      <c r="I37" s="91">
        <f t="shared" si="25"/>
        <v>490</v>
      </c>
      <c r="K37" s="81" t="s">
        <v>71</v>
      </c>
      <c r="L37" s="81">
        <v>19.0</v>
      </c>
      <c r="M37" s="81">
        <v>2.0</v>
      </c>
      <c r="N37" s="82">
        <f t="shared" si="26"/>
        <v>1853.64</v>
      </c>
    </row>
    <row r="38" ht="12.75" customHeight="1">
      <c r="A38" s="74"/>
      <c r="B38" s="75"/>
      <c r="C38" s="75"/>
      <c r="D38" s="75"/>
      <c r="E38" s="75"/>
      <c r="F38" s="75"/>
      <c r="G38" s="76"/>
      <c r="H38" s="76"/>
      <c r="I38" s="74"/>
      <c r="K38" s="81" t="s">
        <v>72</v>
      </c>
      <c r="L38" s="81">
        <v>12.0</v>
      </c>
      <c r="M38" s="81">
        <v>2.0</v>
      </c>
      <c r="N38" s="82">
        <f t="shared" si="26"/>
        <v>1223.64</v>
      </c>
    </row>
    <row r="39" ht="12.75" customHeight="1">
      <c r="A39" s="58">
        <f>A36+3</f>
        <v>42772</v>
      </c>
      <c r="B39" s="59">
        <v>360.0</v>
      </c>
      <c r="C39" s="59">
        <v>314.08</v>
      </c>
      <c r="D39" s="59">
        <v>1250.0</v>
      </c>
      <c r="E39" s="59">
        <v>180.0</v>
      </c>
      <c r="F39" s="60">
        <f t="shared" ref="F39:F43" si="27">SUM(B39:E39)</f>
        <v>2104.08</v>
      </c>
      <c r="G39" s="59">
        <v>34.0</v>
      </c>
      <c r="H39" s="59">
        <v>7.0</v>
      </c>
      <c r="I39" s="61">
        <v>200.0</v>
      </c>
      <c r="K39" s="81" t="s">
        <v>73</v>
      </c>
      <c r="L39" s="81">
        <v>17.0</v>
      </c>
      <c r="M39" s="81">
        <v>2.0</v>
      </c>
      <c r="N39" s="82">
        <f t="shared" si="26"/>
        <v>1673.64</v>
      </c>
    </row>
    <row r="40" ht="12.75" customHeight="1">
      <c r="A40" s="58">
        <f t="shared" ref="A40:A43" si="28">A39+1</f>
        <v>42773</v>
      </c>
      <c r="B40" s="81">
        <v>350.0</v>
      </c>
      <c r="C40" s="81">
        <v>79.56</v>
      </c>
      <c r="D40" s="81">
        <v>630.0</v>
      </c>
      <c r="E40" s="81">
        <v>160.0</v>
      </c>
      <c r="F40" s="60">
        <f t="shared" si="27"/>
        <v>1219.56</v>
      </c>
      <c r="G40" s="81">
        <v>24.0</v>
      </c>
      <c r="H40" s="81">
        <v>2.0</v>
      </c>
      <c r="I40" s="83">
        <v>140.0</v>
      </c>
      <c r="K40" s="81" t="s">
        <v>74</v>
      </c>
      <c r="L40" s="81"/>
      <c r="M40" s="81"/>
      <c r="N40" s="82">
        <f t="shared" si="26"/>
        <v>0</v>
      </c>
    </row>
    <row r="41" ht="12.75" customHeight="1">
      <c r="A41" s="58">
        <f t="shared" si="28"/>
        <v>42774</v>
      </c>
      <c r="B41" s="81">
        <v>160.0</v>
      </c>
      <c r="C41" s="81">
        <v>283.62</v>
      </c>
      <c r="D41" s="81">
        <v>638.9</v>
      </c>
      <c r="E41" s="81">
        <v>120.0</v>
      </c>
      <c r="F41" s="60">
        <f t="shared" si="27"/>
        <v>1202.52</v>
      </c>
      <c r="G41" s="81">
        <v>28.0</v>
      </c>
      <c r="H41" s="81">
        <v>8.0</v>
      </c>
      <c r="I41" s="83">
        <v>120.0</v>
      </c>
    </row>
    <row r="42" ht="12.75" customHeight="1">
      <c r="A42" s="58">
        <f t="shared" si="28"/>
        <v>42775</v>
      </c>
      <c r="B42" s="81">
        <v>630.0</v>
      </c>
      <c r="C42" s="81">
        <v>318.24</v>
      </c>
      <c r="D42" s="81">
        <v>920.0</v>
      </c>
      <c r="E42" s="81">
        <v>260.0</v>
      </c>
      <c r="F42" s="60">
        <f t="shared" si="27"/>
        <v>2128.24</v>
      </c>
      <c r="G42" s="81">
        <v>41.0</v>
      </c>
      <c r="H42" s="81">
        <v>8.0</v>
      </c>
      <c r="I42" s="83">
        <v>260.0</v>
      </c>
      <c r="L42" s="65">
        <f>L43+M43</f>
        <v>68</v>
      </c>
    </row>
    <row r="43" ht="12.75" customHeight="1">
      <c r="A43" s="58">
        <f t="shared" si="28"/>
        <v>42776</v>
      </c>
      <c r="B43" s="81">
        <v>410.0</v>
      </c>
      <c r="C43" s="81">
        <v>82.72</v>
      </c>
      <c r="D43" s="81">
        <v>930.0</v>
      </c>
      <c r="E43" s="81">
        <v>140.0</v>
      </c>
      <c r="F43" s="60">
        <f t="shared" si="27"/>
        <v>1562.72</v>
      </c>
      <c r="G43" s="81">
        <v>29.0</v>
      </c>
      <c r="H43" s="81">
        <v>2.0</v>
      </c>
      <c r="I43" s="83">
        <v>140.0</v>
      </c>
      <c r="K43" s="66"/>
      <c r="L43" s="72">
        <f t="shared" ref="L43:M43" si="29">SUM(L45:L49)</f>
        <v>66</v>
      </c>
      <c r="M43" s="72">
        <f t="shared" si="29"/>
        <v>2</v>
      </c>
      <c r="N43" s="73">
        <f>SUM(N45:N50)</f>
        <v>6083.64</v>
      </c>
    </row>
    <row r="44" ht="12.75" customHeight="1">
      <c r="A44" s="67"/>
      <c r="B44" s="68">
        <f t="shared" ref="B44:I44" si="30">SUM(B39:B43)</f>
        <v>1910</v>
      </c>
      <c r="C44" s="68">
        <f t="shared" si="30"/>
        <v>1078.22</v>
      </c>
      <c r="D44" s="68">
        <f t="shared" si="30"/>
        <v>4368.9</v>
      </c>
      <c r="E44" s="68">
        <f t="shared" si="30"/>
        <v>860</v>
      </c>
      <c r="F44" s="68">
        <f t="shared" si="30"/>
        <v>8217.12</v>
      </c>
      <c r="G44" s="70">
        <f t="shared" si="30"/>
        <v>156</v>
      </c>
      <c r="H44" s="70">
        <f t="shared" si="30"/>
        <v>27</v>
      </c>
      <c r="I44" s="91">
        <f t="shared" si="30"/>
        <v>860</v>
      </c>
      <c r="K44" s="78" t="s">
        <v>78</v>
      </c>
      <c r="L44" s="79">
        <v>90.0</v>
      </c>
      <c r="M44" s="79">
        <v>71.82</v>
      </c>
      <c r="N44" s="66"/>
    </row>
    <row r="45" ht="12.75" customHeight="1">
      <c r="A45" s="74"/>
      <c r="B45" s="92"/>
      <c r="C45" s="92"/>
      <c r="D45" s="92"/>
      <c r="E45" s="92"/>
      <c r="F45" s="92"/>
      <c r="G45" s="93"/>
      <c r="H45" s="93"/>
      <c r="I45" s="94"/>
      <c r="K45" s="81" t="s">
        <v>70</v>
      </c>
      <c r="L45" s="81">
        <v>16.0</v>
      </c>
      <c r="M45" s="81">
        <v>1.0</v>
      </c>
      <c r="N45" s="82">
        <f t="shared" ref="N45:N50" si="31">L45*$L$109+M45*$M$109</f>
        <v>1511.82</v>
      </c>
    </row>
    <row r="46" ht="12.75" customHeight="1">
      <c r="A46" s="97">
        <f>A43+3</f>
        <v>42779</v>
      </c>
      <c r="B46" s="98">
        <v>450.0</v>
      </c>
      <c r="C46" s="99">
        <v>160.52</v>
      </c>
      <c r="D46" s="99">
        <v>470.0</v>
      </c>
      <c r="E46" s="99">
        <v>40.0</v>
      </c>
      <c r="F46" s="100">
        <f t="shared" ref="F46:F50" si="32">SUM(B46:E46)</f>
        <v>1120.52</v>
      </c>
      <c r="G46" s="99">
        <v>25.0</v>
      </c>
      <c r="H46" s="99">
        <v>4.0</v>
      </c>
      <c r="I46" s="101">
        <v>40.0</v>
      </c>
      <c r="K46" s="81" t="s">
        <v>71</v>
      </c>
      <c r="L46" s="81">
        <v>14.0</v>
      </c>
      <c r="M46" s="81"/>
      <c r="N46" s="82">
        <f t="shared" si="31"/>
        <v>1260</v>
      </c>
    </row>
    <row r="47" ht="12.75" customHeight="1">
      <c r="A47" s="102">
        <f t="shared" ref="A47:A50" si="33">A46+1</f>
        <v>42780</v>
      </c>
      <c r="B47" s="103">
        <v>240.0</v>
      </c>
      <c r="C47" s="81">
        <v>82.72</v>
      </c>
      <c r="D47" s="81">
        <v>780.0</v>
      </c>
      <c r="E47" s="81">
        <v>60.0</v>
      </c>
      <c r="F47" s="104">
        <f t="shared" si="32"/>
        <v>1162.72</v>
      </c>
      <c r="G47" s="81">
        <v>22.0</v>
      </c>
      <c r="H47" s="81">
        <v>2.0</v>
      </c>
      <c r="I47" s="83">
        <v>50.0</v>
      </c>
      <c r="K47" s="81" t="s">
        <v>72</v>
      </c>
      <c r="L47" s="81">
        <v>23.0</v>
      </c>
      <c r="M47" s="81">
        <v>1.0</v>
      </c>
      <c r="N47" s="82">
        <f t="shared" si="31"/>
        <v>2141.82</v>
      </c>
    </row>
    <row r="48" ht="12.75" customHeight="1">
      <c r="A48" s="102">
        <f t="shared" si="33"/>
        <v>42781</v>
      </c>
      <c r="B48" s="103">
        <v>100.0</v>
      </c>
      <c r="C48" s="81">
        <v>279.4</v>
      </c>
      <c r="D48" s="81">
        <v>540.0</v>
      </c>
      <c r="E48" s="81">
        <v>120.0</v>
      </c>
      <c r="F48" s="104">
        <f t="shared" si="32"/>
        <v>1039.4</v>
      </c>
      <c r="G48" s="81">
        <v>25.0</v>
      </c>
      <c r="H48" s="81">
        <v>7.0</v>
      </c>
      <c r="I48" s="83">
        <v>120.0</v>
      </c>
      <c r="K48" s="81" t="s">
        <v>73</v>
      </c>
      <c r="L48" s="81">
        <v>4.0</v>
      </c>
      <c r="M48" s="81"/>
      <c r="N48" s="82">
        <f t="shared" si="31"/>
        <v>360</v>
      </c>
    </row>
    <row r="49" ht="12.75" customHeight="1">
      <c r="A49" s="102">
        <f t="shared" si="33"/>
        <v>42782</v>
      </c>
      <c r="B49" s="103">
        <v>370.0</v>
      </c>
      <c r="C49" s="81">
        <v>159.12</v>
      </c>
      <c r="D49" s="81">
        <v>1110.0</v>
      </c>
      <c r="E49" s="81">
        <v>160.0</v>
      </c>
      <c r="F49" s="104">
        <f t="shared" si="32"/>
        <v>1799.12</v>
      </c>
      <c r="G49" s="81">
        <v>32.0</v>
      </c>
      <c r="H49" s="81">
        <v>4.0</v>
      </c>
      <c r="I49" s="83">
        <v>150.0</v>
      </c>
      <c r="K49" s="81" t="s">
        <v>74</v>
      </c>
      <c r="L49" s="81">
        <v>9.0</v>
      </c>
      <c r="M49" s="81"/>
      <c r="N49" s="82">
        <f t="shared" si="31"/>
        <v>810</v>
      </c>
    </row>
    <row r="50" ht="12.75" customHeight="1">
      <c r="A50" s="102">
        <f t="shared" si="33"/>
        <v>42783</v>
      </c>
      <c r="B50" s="105">
        <v>160.0</v>
      </c>
      <c r="C50" s="106">
        <v>302.76</v>
      </c>
      <c r="D50" s="106">
        <v>790.0</v>
      </c>
      <c r="E50" s="106">
        <v>80.0</v>
      </c>
      <c r="F50" s="107">
        <f t="shared" si="32"/>
        <v>1332.76</v>
      </c>
      <c r="G50" s="106">
        <v>26.0</v>
      </c>
      <c r="H50" s="106">
        <v>6.0</v>
      </c>
      <c r="I50" s="108">
        <v>80.0</v>
      </c>
      <c r="K50" s="64"/>
      <c r="L50" s="66"/>
      <c r="M50" s="66"/>
      <c r="N50" s="82">
        <f t="shared" si="31"/>
        <v>0</v>
      </c>
    </row>
    <row r="51" ht="12.75" customHeight="1">
      <c r="A51" s="109"/>
      <c r="B51" s="91">
        <f t="shared" ref="B51:I51" si="34">SUM(B46:B50)</f>
        <v>1320</v>
      </c>
      <c r="C51" s="91">
        <f t="shared" si="34"/>
        <v>984.52</v>
      </c>
      <c r="D51" s="91">
        <f t="shared" si="34"/>
        <v>3690</v>
      </c>
      <c r="E51" s="91">
        <f t="shared" si="34"/>
        <v>460</v>
      </c>
      <c r="F51" s="91">
        <f t="shared" si="34"/>
        <v>6454.52</v>
      </c>
      <c r="G51" s="70">
        <f t="shared" si="34"/>
        <v>130</v>
      </c>
      <c r="H51" s="70">
        <f t="shared" si="34"/>
        <v>23</v>
      </c>
      <c r="I51" s="91">
        <f t="shared" si="34"/>
        <v>440</v>
      </c>
    </row>
    <row r="52" ht="12.75" customHeight="1">
      <c r="A52" s="110"/>
      <c r="B52" s="74"/>
      <c r="C52" s="74"/>
      <c r="D52" s="74"/>
      <c r="E52" s="74"/>
      <c r="F52" s="74"/>
      <c r="G52" s="76"/>
      <c r="H52" s="76"/>
      <c r="I52" s="74"/>
      <c r="L52" s="65">
        <f>L53+M53</f>
        <v>99</v>
      </c>
    </row>
    <row r="53" ht="12.75" customHeight="1">
      <c r="A53" s="111">
        <f>A50+3</f>
        <v>42786</v>
      </c>
      <c r="B53" s="112">
        <v>370.0</v>
      </c>
      <c r="C53" s="112">
        <v>160.52</v>
      </c>
      <c r="D53" s="112">
        <v>950.0</v>
      </c>
      <c r="E53" s="112">
        <v>180.0</v>
      </c>
      <c r="F53" s="107">
        <f t="shared" ref="F53:F57" si="36">SUM(B53:E53)</f>
        <v>1660.52</v>
      </c>
      <c r="G53" s="59">
        <v>34.0</v>
      </c>
      <c r="H53" s="59">
        <v>4.0</v>
      </c>
      <c r="I53" s="61">
        <v>180.0</v>
      </c>
      <c r="K53" s="66"/>
      <c r="L53" s="72">
        <f t="shared" ref="L53:N53" si="35">SUM(L55:L59)</f>
        <v>93</v>
      </c>
      <c r="M53" s="72">
        <f t="shared" si="35"/>
        <v>6</v>
      </c>
      <c r="N53" s="73">
        <f t="shared" si="35"/>
        <v>8800.92</v>
      </c>
    </row>
    <row r="54" ht="12.75" customHeight="1">
      <c r="A54" s="113">
        <f t="shared" ref="A54:A57" si="37">A53+1</f>
        <v>42787</v>
      </c>
      <c r="B54" s="103">
        <v>640.0</v>
      </c>
      <c r="C54" s="103">
        <v>235.86</v>
      </c>
      <c r="D54" s="103">
        <v>930.0</v>
      </c>
      <c r="E54" s="103">
        <v>80.0</v>
      </c>
      <c r="F54" s="107">
        <f t="shared" si="36"/>
        <v>1885.86</v>
      </c>
      <c r="G54" s="81">
        <v>36.0</v>
      </c>
      <c r="H54" s="81">
        <v>5.0</v>
      </c>
      <c r="I54" s="83">
        <v>90.0</v>
      </c>
      <c r="K54" s="78" t="s">
        <v>79</v>
      </c>
      <c r="L54" s="79">
        <v>90.0</v>
      </c>
      <c r="M54" s="79">
        <v>71.82</v>
      </c>
      <c r="N54" s="66"/>
    </row>
    <row r="55" ht="12.75" customHeight="1">
      <c r="A55" s="113">
        <f t="shared" si="37"/>
        <v>42788</v>
      </c>
      <c r="B55" s="103">
        <v>640.0</v>
      </c>
      <c r="C55" s="103">
        <v>194.5</v>
      </c>
      <c r="D55" s="103">
        <v>280.0</v>
      </c>
      <c r="E55" s="103">
        <v>80.0</v>
      </c>
      <c r="F55" s="107">
        <f t="shared" si="36"/>
        <v>1194.5</v>
      </c>
      <c r="G55" s="81">
        <v>29.0</v>
      </c>
      <c r="H55" s="81">
        <v>5.0</v>
      </c>
      <c r="I55" s="83">
        <v>80.0</v>
      </c>
      <c r="K55" s="81" t="s">
        <v>70</v>
      </c>
      <c r="L55" s="81">
        <v>14.0</v>
      </c>
      <c r="M55" s="81">
        <v>2.0</v>
      </c>
      <c r="N55" s="82">
        <f t="shared" ref="N55:N59" si="38">L55*$L$109+M55*$M$109</f>
        <v>1403.64</v>
      </c>
    </row>
    <row r="56" ht="12.75" customHeight="1">
      <c r="A56" s="113">
        <f t="shared" si="37"/>
        <v>42789</v>
      </c>
      <c r="B56" s="103">
        <v>690.0</v>
      </c>
      <c r="C56" s="103">
        <v>159.12</v>
      </c>
      <c r="D56" s="103">
        <v>930.0</v>
      </c>
      <c r="E56" s="103">
        <v>80.0</v>
      </c>
      <c r="F56" s="107">
        <f t="shared" si="36"/>
        <v>1859.12</v>
      </c>
      <c r="G56" s="81">
        <v>36.0</v>
      </c>
      <c r="H56" s="81">
        <v>4.0</v>
      </c>
      <c r="I56" s="83">
        <v>60.0</v>
      </c>
      <c r="K56" s="81" t="s">
        <v>71</v>
      </c>
      <c r="L56" s="81">
        <v>19.0</v>
      </c>
      <c r="M56" s="81">
        <v>1.0</v>
      </c>
      <c r="N56" s="82">
        <f t="shared" si="38"/>
        <v>1781.82</v>
      </c>
    </row>
    <row r="57" ht="12.75" customHeight="1">
      <c r="A57" s="114">
        <f t="shared" si="37"/>
        <v>42790</v>
      </c>
      <c r="B57" s="103">
        <v>490.0</v>
      </c>
      <c r="C57" s="103">
        <v>229.18</v>
      </c>
      <c r="D57" s="103">
        <v>540.0</v>
      </c>
      <c r="E57" s="103">
        <v>40.0</v>
      </c>
      <c r="F57" s="107">
        <f t="shared" si="36"/>
        <v>1299.18</v>
      </c>
      <c r="G57" s="81">
        <v>26.0</v>
      </c>
      <c r="H57" s="81">
        <v>5.0</v>
      </c>
      <c r="I57" s="83">
        <v>50.0</v>
      </c>
      <c r="K57" s="81" t="s">
        <v>72</v>
      </c>
      <c r="L57" s="81">
        <v>27.0</v>
      </c>
      <c r="M57" s="81">
        <v>1.0</v>
      </c>
      <c r="N57" s="82">
        <f t="shared" si="38"/>
        <v>2501.82</v>
      </c>
    </row>
    <row r="58" ht="12.75" customHeight="1">
      <c r="A58" s="115"/>
      <c r="B58" s="91">
        <f t="shared" ref="B58:I58" si="39">SUM(B53:B57)</f>
        <v>2830</v>
      </c>
      <c r="C58" s="91">
        <f t="shared" si="39"/>
        <v>979.18</v>
      </c>
      <c r="D58" s="91">
        <f t="shared" si="39"/>
        <v>3630</v>
      </c>
      <c r="E58" s="91">
        <f t="shared" si="39"/>
        <v>460</v>
      </c>
      <c r="F58" s="91">
        <f t="shared" si="39"/>
        <v>7899.18</v>
      </c>
      <c r="G58" s="70">
        <f t="shared" si="39"/>
        <v>161</v>
      </c>
      <c r="H58" s="70">
        <f t="shared" si="39"/>
        <v>23</v>
      </c>
      <c r="I58" s="91">
        <f t="shared" si="39"/>
        <v>460</v>
      </c>
      <c r="K58" s="81" t="s">
        <v>73</v>
      </c>
      <c r="L58" s="81">
        <v>16.0</v>
      </c>
      <c r="M58" s="81"/>
      <c r="N58" s="82">
        <f t="shared" si="38"/>
        <v>1440</v>
      </c>
    </row>
    <row r="59" ht="12.75" customHeight="1">
      <c r="A59" s="116"/>
      <c r="B59" s="74"/>
      <c r="C59" s="74"/>
      <c r="D59" s="74"/>
      <c r="E59" s="74"/>
      <c r="F59" s="74"/>
      <c r="G59" s="76"/>
      <c r="H59" s="76"/>
      <c r="I59" s="74"/>
      <c r="K59" s="81" t="s">
        <v>74</v>
      </c>
      <c r="L59" s="81">
        <v>17.0</v>
      </c>
      <c r="M59" s="81">
        <v>2.0</v>
      </c>
      <c r="N59" s="82">
        <f t="shared" si="38"/>
        <v>1673.64</v>
      </c>
    </row>
    <row r="60" ht="12.75" customHeight="1">
      <c r="A60" s="113">
        <f>A57+3</f>
        <v>42793</v>
      </c>
      <c r="B60" s="103">
        <v>510.0</v>
      </c>
      <c r="C60" s="103">
        <v>221.03</v>
      </c>
      <c r="D60" s="103">
        <v>920.0</v>
      </c>
      <c r="E60" s="103">
        <v>150.0</v>
      </c>
      <c r="F60" s="107">
        <f t="shared" ref="F60:F61" si="40">SUM(B60:E60)</f>
        <v>1801.03</v>
      </c>
      <c r="G60" s="81">
        <v>36.0</v>
      </c>
      <c r="H60" s="81">
        <v>5.0</v>
      </c>
      <c r="I60" s="83">
        <v>160.0</v>
      </c>
    </row>
    <row r="61" ht="12.75" customHeight="1">
      <c r="A61" s="114">
        <f>A60+1</f>
        <v>42794</v>
      </c>
      <c r="B61" s="103">
        <v>720.0</v>
      </c>
      <c r="C61" s="103">
        <v>240.5</v>
      </c>
      <c r="D61" s="103">
        <v>750.0</v>
      </c>
      <c r="E61" s="103">
        <v>220.0</v>
      </c>
      <c r="F61" s="107">
        <f t="shared" si="40"/>
        <v>1930.5</v>
      </c>
      <c r="G61" s="81">
        <v>41.0</v>
      </c>
      <c r="H61" s="81">
        <v>6.0</v>
      </c>
      <c r="I61" s="83">
        <v>220.0</v>
      </c>
      <c r="L61" s="65">
        <f>L62+M62</f>
        <v>76</v>
      </c>
    </row>
    <row r="62" ht="12.75" customHeight="1">
      <c r="A62" s="115"/>
      <c r="B62" s="91">
        <f t="shared" ref="B62:I62" si="41">SUM(B60:B61)</f>
        <v>1230</v>
      </c>
      <c r="C62" s="91">
        <f t="shared" si="41"/>
        <v>461.53</v>
      </c>
      <c r="D62" s="91">
        <f t="shared" si="41"/>
        <v>1670</v>
      </c>
      <c r="E62" s="91">
        <f t="shared" si="41"/>
        <v>370</v>
      </c>
      <c r="F62" s="91">
        <f t="shared" si="41"/>
        <v>3731.53</v>
      </c>
      <c r="G62" s="70">
        <f t="shared" si="41"/>
        <v>77</v>
      </c>
      <c r="H62" s="70">
        <f t="shared" si="41"/>
        <v>11</v>
      </c>
      <c r="I62" s="91">
        <f t="shared" si="41"/>
        <v>380</v>
      </c>
      <c r="K62" s="66"/>
      <c r="L62" s="72">
        <f t="shared" ref="L62:N62" si="42">SUM(L64:L68)</f>
        <v>71</v>
      </c>
      <c r="M62" s="72">
        <f t="shared" si="42"/>
        <v>5</v>
      </c>
      <c r="N62" s="73">
        <f t="shared" si="42"/>
        <v>6749.1</v>
      </c>
    </row>
    <row r="63" ht="12.75" customHeight="1">
      <c r="A63" s="116"/>
      <c r="B63" s="74"/>
      <c r="C63" s="74"/>
      <c r="D63" s="74"/>
      <c r="E63" s="74"/>
      <c r="F63" s="74"/>
      <c r="G63" s="76"/>
      <c r="H63" s="76"/>
      <c r="I63" s="74"/>
      <c r="K63" s="78" t="s">
        <v>80</v>
      </c>
      <c r="L63" s="79">
        <v>90.0</v>
      </c>
      <c r="M63" s="79">
        <v>71.82</v>
      </c>
      <c r="N63" s="66"/>
    </row>
    <row r="64" ht="12.75" customHeight="1">
      <c r="A64" s="58">
        <v>42795.0</v>
      </c>
      <c r="B64" s="59">
        <v>400.0</v>
      </c>
      <c r="C64" s="59">
        <v>201.6</v>
      </c>
      <c r="D64" s="59">
        <v>620.0</v>
      </c>
      <c r="E64" s="59">
        <v>160.0</v>
      </c>
      <c r="F64" s="60">
        <f t="shared" ref="F64:F66" si="43">SUM(B64:E64)</f>
        <v>1381.6</v>
      </c>
      <c r="G64" s="59">
        <v>27.0</v>
      </c>
      <c r="H64" s="59">
        <v>5.0</v>
      </c>
      <c r="I64" s="61">
        <v>160.0</v>
      </c>
      <c r="K64" s="81" t="s">
        <v>70</v>
      </c>
      <c r="L64" s="81">
        <v>20.0</v>
      </c>
      <c r="M64" s="81">
        <v>1.0</v>
      </c>
      <c r="N64" s="82">
        <f t="shared" ref="N64:N68" si="44">L64*$L$109+M64*$M$109</f>
        <v>1871.82</v>
      </c>
    </row>
    <row r="65" ht="12.75" customHeight="1">
      <c r="A65" s="58">
        <f t="shared" ref="A65:A66" si="45">A64+1</f>
        <v>42796</v>
      </c>
      <c r="B65" s="81">
        <v>540.0</v>
      </c>
      <c r="C65" s="81">
        <v>149.62</v>
      </c>
      <c r="D65" s="81">
        <v>1210.0</v>
      </c>
      <c r="E65" s="81">
        <v>170.0</v>
      </c>
      <c r="F65" s="60">
        <f t="shared" si="43"/>
        <v>2069.62</v>
      </c>
      <c r="G65" s="81">
        <v>38.0</v>
      </c>
      <c r="H65" s="81">
        <v>3.0</v>
      </c>
      <c r="I65" s="83">
        <v>150.0</v>
      </c>
      <c r="K65" s="81" t="s">
        <v>71</v>
      </c>
      <c r="L65" s="81">
        <v>10.0</v>
      </c>
      <c r="M65" s="81">
        <v>2.0</v>
      </c>
      <c r="N65" s="82">
        <f t="shared" si="44"/>
        <v>1043.64</v>
      </c>
    </row>
    <row r="66" ht="12.75" customHeight="1">
      <c r="A66" s="58">
        <f t="shared" si="45"/>
        <v>42797</v>
      </c>
      <c r="B66" s="81">
        <f>360+24.29</f>
        <v>384.29</v>
      </c>
      <c r="C66" s="81">
        <v>373.38</v>
      </c>
      <c r="D66" s="81">
        <v>680.0</v>
      </c>
      <c r="E66" s="81"/>
      <c r="F66" s="60">
        <f t="shared" si="43"/>
        <v>1437.67</v>
      </c>
      <c r="G66" s="81">
        <v>29.0</v>
      </c>
      <c r="H66" s="81">
        <v>10.0</v>
      </c>
      <c r="I66" s="83"/>
      <c r="K66" s="81" t="s">
        <v>72</v>
      </c>
      <c r="L66" s="81">
        <v>18.0</v>
      </c>
      <c r="M66" s="81"/>
      <c r="N66" s="82">
        <f t="shared" si="44"/>
        <v>1620</v>
      </c>
    </row>
    <row r="67" ht="12.75" customHeight="1">
      <c r="A67" s="67"/>
      <c r="B67" s="68">
        <f t="shared" ref="B67:I67" si="46">SUM(B64:B66)</f>
        <v>1324.29</v>
      </c>
      <c r="C67" s="68">
        <f t="shared" si="46"/>
        <v>724.6</v>
      </c>
      <c r="D67" s="68">
        <f t="shared" si="46"/>
        <v>2510</v>
      </c>
      <c r="E67" s="68">
        <f t="shared" si="46"/>
        <v>330</v>
      </c>
      <c r="F67" s="68">
        <f t="shared" si="46"/>
        <v>4888.89</v>
      </c>
      <c r="G67" s="70">
        <f t="shared" si="46"/>
        <v>94</v>
      </c>
      <c r="H67" s="70">
        <f t="shared" si="46"/>
        <v>18</v>
      </c>
      <c r="I67" s="71">
        <f t="shared" si="46"/>
        <v>310</v>
      </c>
      <c r="K67" s="81" t="s">
        <v>73</v>
      </c>
      <c r="L67" s="81">
        <v>20.0</v>
      </c>
      <c r="M67" s="81">
        <v>2.0</v>
      </c>
      <c r="N67" s="82">
        <f t="shared" si="44"/>
        <v>1943.64</v>
      </c>
    </row>
    <row r="68" ht="12.75" customHeight="1">
      <c r="A68" s="74"/>
      <c r="B68" s="75"/>
      <c r="C68" s="75"/>
      <c r="D68" s="75"/>
      <c r="E68" s="75"/>
      <c r="F68" s="75"/>
      <c r="G68" s="76"/>
      <c r="H68" s="76"/>
      <c r="I68" s="77"/>
      <c r="K68" s="81" t="s">
        <v>74</v>
      </c>
      <c r="L68" s="81">
        <v>3.0</v>
      </c>
      <c r="M68" s="81"/>
      <c r="N68" s="82">
        <f t="shared" si="44"/>
        <v>270</v>
      </c>
    </row>
    <row r="69" ht="12.75" customHeight="1">
      <c r="A69" s="58">
        <f>A66+3</f>
        <v>42800</v>
      </c>
      <c r="B69" s="81">
        <v>490.0</v>
      </c>
      <c r="C69" s="81">
        <v>306.28</v>
      </c>
      <c r="D69" s="81">
        <v>740.0</v>
      </c>
      <c r="E69" s="81">
        <v>220.0</v>
      </c>
      <c r="F69" s="60">
        <f t="shared" ref="F69:F73" si="47">SUM(B69:E69)</f>
        <v>1756.28</v>
      </c>
      <c r="G69" s="81">
        <v>33.0</v>
      </c>
      <c r="H69" s="81">
        <v>6.0</v>
      </c>
      <c r="I69" s="83">
        <v>180.0</v>
      </c>
    </row>
    <row r="70" ht="12.75" customHeight="1">
      <c r="A70" s="58">
        <f t="shared" ref="A70:A73" si="48">A69+1</f>
        <v>42801</v>
      </c>
      <c r="B70" s="81">
        <v>270.0</v>
      </c>
      <c r="C70" s="81">
        <v>153.14</v>
      </c>
      <c r="D70" s="81">
        <v>620.0</v>
      </c>
      <c r="E70" s="81">
        <v>170.0</v>
      </c>
      <c r="F70" s="60">
        <f t="shared" si="47"/>
        <v>1213.14</v>
      </c>
      <c r="G70" s="81">
        <v>24.0</v>
      </c>
      <c r="H70" s="81">
        <v>3.0</v>
      </c>
      <c r="I70" s="81">
        <v>160.0</v>
      </c>
      <c r="L70" s="65">
        <f>L71+M71</f>
        <v>23</v>
      </c>
    </row>
    <row r="71" ht="12.75" customHeight="1">
      <c r="A71" s="58">
        <f t="shared" si="48"/>
        <v>42802</v>
      </c>
      <c r="B71" s="81">
        <v>140.0</v>
      </c>
      <c r="C71" s="81">
        <v>194.5</v>
      </c>
      <c r="D71" s="81">
        <v>780.0</v>
      </c>
      <c r="E71" s="81">
        <v>140.0</v>
      </c>
      <c r="F71" s="60">
        <f t="shared" si="47"/>
        <v>1254.5</v>
      </c>
      <c r="G71" s="81">
        <v>28.0</v>
      </c>
      <c r="H71" s="81">
        <v>5.0</v>
      </c>
      <c r="I71" s="81">
        <v>140.0</v>
      </c>
      <c r="K71" s="64"/>
      <c r="L71" s="72">
        <f t="shared" ref="L71:N71" si="49">SUM(L73:L77)</f>
        <v>21</v>
      </c>
      <c r="M71" s="72">
        <f t="shared" si="49"/>
        <v>2</v>
      </c>
      <c r="N71" s="73">
        <f t="shared" si="49"/>
        <v>2033.64</v>
      </c>
    </row>
    <row r="72" ht="12.75" customHeight="1">
      <c r="A72" s="58">
        <f t="shared" si="48"/>
        <v>42803</v>
      </c>
      <c r="B72" s="81">
        <v>230.0</v>
      </c>
      <c r="C72" s="81">
        <v>159.12</v>
      </c>
      <c r="D72" s="81">
        <v>1180.0</v>
      </c>
      <c r="E72" s="81">
        <v>270.0</v>
      </c>
      <c r="F72" s="60">
        <f t="shared" si="47"/>
        <v>1839.12</v>
      </c>
      <c r="G72" s="81">
        <v>37.0</v>
      </c>
      <c r="H72" s="81">
        <v>4.0</v>
      </c>
      <c r="I72" s="81">
        <v>260.0</v>
      </c>
      <c r="K72" s="117" t="s">
        <v>81</v>
      </c>
      <c r="L72" s="79">
        <v>85.0</v>
      </c>
      <c r="M72" s="79">
        <v>71.82</v>
      </c>
      <c r="N72" s="66"/>
    </row>
    <row r="73" ht="12.75" customHeight="1">
      <c r="A73" s="58">
        <f t="shared" si="48"/>
        <v>42804</v>
      </c>
      <c r="B73" s="59">
        <v>220.0</v>
      </c>
      <c r="C73" s="59">
        <v>121.98</v>
      </c>
      <c r="D73" s="59">
        <v>990.0</v>
      </c>
      <c r="E73" s="59">
        <v>40.0</v>
      </c>
      <c r="F73" s="60">
        <f t="shared" si="47"/>
        <v>1371.98</v>
      </c>
      <c r="G73" s="59">
        <v>27.0</v>
      </c>
      <c r="H73" s="59">
        <v>2.0</v>
      </c>
      <c r="I73" s="61">
        <v>40.0</v>
      </c>
      <c r="K73" s="81" t="s">
        <v>70</v>
      </c>
      <c r="L73" s="118">
        <v>21.0</v>
      </c>
      <c r="M73" s="118">
        <v>2.0</v>
      </c>
      <c r="N73" s="82">
        <f>L73*$L$109+M73*$M$109</f>
        <v>2033.64</v>
      </c>
    </row>
    <row r="74" ht="12.75" customHeight="1">
      <c r="A74" s="67"/>
      <c r="B74" s="68">
        <f t="shared" ref="B74:I74" si="50">SUM(B69:B73)</f>
        <v>1350</v>
      </c>
      <c r="C74" s="68">
        <f t="shared" si="50"/>
        <v>935.02</v>
      </c>
      <c r="D74" s="68">
        <f t="shared" si="50"/>
        <v>4310</v>
      </c>
      <c r="E74" s="68">
        <f t="shared" si="50"/>
        <v>840</v>
      </c>
      <c r="F74" s="68">
        <f t="shared" si="50"/>
        <v>7435.02</v>
      </c>
      <c r="G74" s="70">
        <f t="shared" si="50"/>
        <v>149</v>
      </c>
      <c r="H74" s="70">
        <f t="shared" si="50"/>
        <v>20</v>
      </c>
      <c r="I74" s="91">
        <f t="shared" si="50"/>
        <v>780</v>
      </c>
      <c r="K74" s="59" t="s">
        <v>71</v>
      </c>
      <c r="L74" s="119"/>
      <c r="M74" s="119"/>
      <c r="N74" s="120">
        <f t="shared" ref="N74:N77" si="51">L74*$D$48+M74*$E$48</f>
        <v>0</v>
      </c>
    </row>
    <row r="75" ht="12.75" customHeight="1">
      <c r="A75" s="74"/>
      <c r="B75" s="92"/>
      <c r="C75" s="92"/>
      <c r="D75" s="92"/>
      <c r="E75" s="92"/>
      <c r="F75" s="75"/>
      <c r="G75" s="93"/>
      <c r="H75" s="93"/>
      <c r="I75" s="94"/>
      <c r="K75" s="59" t="s">
        <v>72</v>
      </c>
      <c r="L75" s="119"/>
      <c r="M75" s="119"/>
      <c r="N75" s="120">
        <f t="shared" si="51"/>
        <v>0</v>
      </c>
    </row>
    <row r="76" ht="12.75" customHeight="1">
      <c r="A76" s="97">
        <f>A73+3</f>
        <v>42807</v>
      </c>
      <c r="B76" s="98">
        <v>200.0</v>
      </c>
      <c r="C76" s="99">
        <v>21.98</v>
      </c>
      <c r="D76" s="99">
        <v>700.0</v>
      </c>
      <c r="E76" s="99">
        <v>130.0</v>
      </c>
      <c r="F76" s="60">
        <f t="shared" ref="F76:F80" si="52">SUM(B76:E76)</f>
        <v>1051.98</v>
      </c>
      <c r="G76" s="99">
        <v>23.0</v>
      </c>
      <c r="H76" s="99">
        <v>3.0</v>
      </c>
      <c r="I76" s="101">
        <v>140.0</v>
      </c>
      <c r="K76" s="59" t="s">
        <v>73</v>
      </c>
      <c r="L76" s="119"/>
      <c r="M76" s="119"/>
      <c r="N76" s="120">
        <f t="shared" si="51"/>
        <v>0</v>
      </c>
    </row>
    <row r="77" ht="12.75" customHeight="1">
      <c r="A77" s="102">
        <f t="shared" ref="A77:A80" si="53">A76+1</f>
        <v>42808</v>
      </c>
      <c r="B77" s="103">
        <v>190.0</v>
      </c>
      <c r="C77" s="81">
        <v>120.22</v>
      </c>
      <c r="D77" s="81">
        <v>810.0</v>
      </c>
      <c r="E77" s="81">
        <v>130.0</v>
      </c>
      <c r="F77" s="60">
        <f t="shared" si="52"/>
        <v>1250.22</v>
      </c>
      <c r="G77" s="81">
        <v>23.0</v>
      </c>
      <c r="H77" s="81">
        <v>3.0</v>
      </c>
      <c r="I77" s="83">
        <v>140.0</v>
      </c>
      <c r="K77" s="59" t="s">
        <v>74</v>
      </c>
      <c r="L77" s="119"/>
      <c r="M77" s="119"/>
      <c r="N77" s="120">
        <f t="shared" si="51"/>
        <v>0</v>
      </c>
    </row>
    <row r="78" ht="12.75" customHeight="1">
      <c r="A78" s="102">
        <f t="shared" si="53"/>
        <v>42809</v>
      </c>
      <c r="B78" s="103">
        <v>200.0</v>
      </c>
      <c r="C78" s="81">
        <v>155.6</v>
      </c>
      <c r="D78" s="81">
        <v>340.0</v>
      </c>
      <c r="E78" s="81">
        <v>220.0</v>
      </c>
      <c r="F78" s="60">
        <f t="shared" si="52"/>
        <v>915.6</v>
      </c>
      <c r="G78" s="81">
        <v>21.0</v>
      </c>
      <c r="H78" s="81">
        <v>4.0</v>
      </c>
      <c r="I78" s="83">
        <v>230.0</v>
      </c>
    </row>
    <row r="79" ht="12.75" customHeight="1">
      <c r="A79" s="102">
        <f t="shared" si="53"/>
        <v>42810</v>
      </c>
      <c r="B79" s="103">
        <v>340.0</v>
      </c>
      <c r="C79" s="81">
        <v>206.88</v>
      </c>
      <c r="D79" s="81">
        <v>1130.0</v>
      </c>
      <c r="E79" s="81">
        <v>180.0</v>
      </c>
      <c r="F79" s="60">
        <f t="shared" si="52"/>
        <v>1856.88</v>
      </c>
      <c r="G79" s="81">
        <v>35.0</v>
      </c>
      <c r="H79" s="81">
        <v>5.0</v>
      </c>
      <c r="I79" s="83">
        <v>200.0</v>
      </c>
      <c r="L79" s="65">
        <f>L80+M80</f>
        <v>88</v>
      </c>
    </row>
    <row r="80" ht="12.75" customHeight="1">
      <c r="A80" s="102">
        <f t="shared" si="53"/>
        <v>42811</v>
      </c>
      <c r="B80" s="105">
        <v>520.0</v>
      </c>
      <c r="C80" s="106">
        <v>243.24</v>
      </c>
      <c r="D80" s="106">
        <v>390.0</v>
      </c>
      <c r="E80" s="106">
        <v>300.0</v>
      </c>
      <c r="F80" s="60">
        <f t="shared" si="52"/>
        <v>1453.24</v>
      </c>
      <c r="G80" s="106">
        <v>30.0</v>
      </c>
      <c r="H80" s="106">
        <v>6.0</v>
      </c>
      <c r="I80" s="108">
        <v>300.0</v>
      </c>
      <c r="K80" s="64"/>
      <c r="L80" s="72">
        <f t="shared" ref="L80:M80" si="54">SUM(L82:L86)</f>
        <v>82</v>
      </c>
      <c r="M80" s="72">
        <f t="shared" si="54"/>
        <v>6</v>
      </c>
      <c r="N80" s="73">
        <v>7400.92</v>
      </c>
    </row>
    <row r="81" ht="12.75" customHeight="1">
      <c r="A81" s="67"/>
      <c r="B81" s="121">
        <f t="shared" ref="B81:I81" si="55">SUM(B76:B80)</f>
        <v>1450</v>
      </c>
      <c r="C81" s="121">
        <f t="shared" si="55"/>
        <v>747.92</v>
      </c>
      <c r="D81" s="121">
        <f t="shared" si="55"/>
        <v>3370</v>
      </c>
      <c r="E81" s="121">
        <f t="shared" si="55"/>
        <v>960</v>
      </c>
      <c r="F81" s="121">
        <f t="shared" si="55"/>
        <v>6527.92</v>
      </c>
      <c r="G81" s="122">
        <f t="shared" si="55"/>
        <v>132</v>
      </c>
      <c r="H81" s="122">
        <f t="shared" si="55"/>
        <v>21</v>
      </c>
      <c r="I81" s="121">
        <f t="shared" si="55"/>
        <v>1010</v>
      </c>
      <c r="K81" s="117" t="s">
        <v>82</v>
      </c>
      <c r="L81" s="79">
        <v>85.0</v>
      </c>
      <c r="M81" s="79">
        <v>71.82</v>
      </c>
      <c r="N81" s="66"/>
    </row>
    <row r="82" ht="12.75" customHeight="1">
      <c r="A82" s="94"/>
      <c r="B82" s="75"/>
      <c r="C82" s="75"/>
      <c r="D82" s="75"/>
      <c r="E82" s="75"/>
      <c r="F82" s="75"/>
      <c r="G82" s="75"/>
      <c r="H82" s="75"/>
      <c r="I82" s="75"/>
      <c r="K82" s="81" t="s">
        <v>70</v>
      </c>
      <c r="L82" s="118">
        <v>31.0</v>
      </c>
      <c r="M82" s="118">
        <v>1.0</v>
      </c>
      <c r="N82" s="82">
        <f t="shared" ref="N82:N86" si="56">L82*$L$109+M82*$M$109</f>
        <v>2861.82</v>
      </c>
    </row>
    <row r="83" ht="12.75" customHeight="1">
      <c r="A83" s="123">
        <f>A80+3</f>
        <v>42814</v>
      </c>
      <c r="B83" s="98">
        <v>590.0</v>
      </c>
      <c r="C83" s="99">
        <v>429.66</v>
      </c>
      <c r="D83" s="99">
        <v>640.0</v>
      </c>
      <c r="E83" s="99">
        <v>90.0</v>
      </c>
      <c r="F83" s="100">
        <f t="shared" ref="F83:F87" si="57">SUM(B83:E83)</f>
        <v>1749.66</v>
      </c>
      <c r="G83" s="99">
        <v>31.0</v>
      </c>
      <c r="H83" s="99">
        <v>9.0</v>
      </c>
      <c r="I83" s="101">
        <v>80.0</v>
      </c>
      <c r="K83" s="59" t="s">
        <v>71</v>
      </c>
      <c r="L83" s="124">
        <v>19.0</v>
      </c>
      <c r="M83" s="124">
        <v>3.0</v>
      </c>
      <c r="N83" s="82">
        <f t="shared" si="56"/>
        <v>1925.46</v>
      </c>
    </row>
    <row r="84" ht="12.75" customHeight="1">
      <c r="A84" s="123">
        <f t="shared" ref="A84:A87" si="58">A83+1</f>
        <v>42815</v>
      </c>
      <c r="B84" s="112">
        <v>140.0</v>
      </c>
      <c r="C84" s="59">
        <v>157.36</v>
      </c>
      <c r="D84" s="59">
        <v>410.0</v>
      </c>
      <c r="E84" s="59">
        <v>230.0</v>
      </c>
      <c r="F84" s="60">
        <f t="shared" si="57"/>
        <v>937.36</v>
      </c>
      <c r="G84" s="81">
        <v>21.0</v>
      </c>
      <c r="H84" s="81">
        <v>4.0</v>
      </c>
      <c r="I84" s="83">
        <v>220.0</v>
      </c>
      <c r="K84" s="59" t="s">
        <v>72</v>
      </c>
      <c r="L84" s="124">
        <v>7.0</v>
      </c>
      <c r="M84" s="124">
        <v>1.0</v>
      </c>
      <c r="N84" s="82">
        <f t="shared" si="56"/>
        <v>701.82</v>
      </c>
    </row>
    <row r="85" ht="12.75" customHeight="1">
      <c r="A85" s="123">
        <f t="shared" si="58"/>
        <v>42816</v>
      </c>
      <c r="B85" s="112">
        <v>360.0</v>
      </c>
      <c r="C85" s="59">
        <v>272.3</v>
      </c>
      <c r="D85" s="59">
        <v>618.9</v>
      </c>
      <c r="E85" s="59">
        <v>180.0</v>
      </c>
      <c r="F85" s="60">
        <f t="shared" si="57"/>
        <v>1431.2</v>
      </c>
      <c r="G85" s="81">
        <v>30.0</v>
      </c>
      <c r="H85" s="81">
        <v>7.0</v>
      </c>
      <c r="I85" s="83">
        <v>170.0</v>
      </c>
      <c r="K85" s="59" t="s">
        <v>73</v>
      </c>
      <c r="L85" s="124">
        <v>25.0</v>
      </c>
      <c r="M85" s="124">
        <v>1.0</v>
      </c>
      <c r="N85" s="82">
        <f t="shared" si="56"/>
        <v>2321.82</v>
      </c>
    </row>
    <row r="86" ht="12.75" customHeight="1">
      <c r="A86" s="123">
        <f t="shared" si="58"/>
        <v>42817</v>
      </c>
      <c r="B86" s="112">
        <v>540.0</v>
      </c>
      <c r="C86" s="59">
        <v>38.9</v>
      </c>
      <c r="D86" s="59">
        <v>1090.0</v>
      </c>
      <c r="E86" s="59">
        <v>180.0</v>
      </c>
      <c r="F86" s="60">
        <f t="shared" si="57"/>
        <v>1848.9</v>
      </c>
      <c r="G86" s="81">
        <v>35.0</v>
      </c>
      <c r="H86" s="81">
        <v>1.0</v>
      </c>
      <c r="I86" s="83">
        <v>180.0</v>
      </c>
      <c r="K86" s="59" t="s">
        <v>74</v>
      </c>
      <c r="L86" s="124"/>
      <c r="M86" s="124"/>
      <c r="N86" s="82">
        <f t="shared" si="56"/>
        <v>0</v>
      </c>
    </row>
    <row r="87" ht="12.75" customHeight="1">
      <c r="A87" s="123">
        <f t="shared" si="58"/>
        <v>42818</v>
      </c>
      <c r="B87" s="125">
        <v>270.0</v>
      </c>
      <c r="C87" s="126">
        <v>165.44</v>
      </c>
      <c r="D87" s="126">
        <v>260.0</v>
      </c>
      <c r="E87" s="126">
        <v>40.0</v>
      </c>
      <c r="F87" s="127">
        <f t="shared" si="57"/>
        <v>735.44</v>
      </c>
      <c r="G87" s="106">
        <v>15.0</v>
      </c>
      <c r="H87" s="106">
        <v>4.0</v>
      </c>
      <c r="I87" s="108">
        <v>50.0</v>
      </c>
    </row>
    <row r="88" ht="12.75" customHeight="1">
      <c r="A88" s="67"/>
      <c r="B88" s="121">
        <f t="shared" ref="B88:I88" si="59">SUM(B83:B87)</f>
        <v>1900</v>
      </c>
      <c r="C88" s="121">
        <f t="shared" si="59"/>
        <v>1063.66</v>
      </c>
      <c r="D88" s="121">
        <f t="shared" si="59"/>
        <v>3018.9</v>
      </c>
      <c r="E88" s="121">
        <f t="shared" si="59"/>
        <v>720</v>
      </c>
      <c r="F88" s="121">
        <f t="shared" si="59"/>
        <v>6702.56</v>
      </c>
      <c r="G88" s="128">
        <f t="shared" si="59"/>
        <v>132</v>
      </c>
      <c r="H88" s="128">
        <f t="shared" si="59"/>
        <v>25</v>
      </c>
      <c r="I88" s="121">
        <f t="shared" si="59"/>
        <v>700</v>
      </c>
      <c r="L88" s="65">
        <f>L89+M89</f>
        <v>107</v>
      </c>
    </row>
    <row r="89" ht="12.75" customHeight="1">
      <c r="A89" s="94"/>
      <c r="B89" s="92"/>
      <c r="C89" s="92"/>
      <c r="D89" s="92"/>
      <c r="E89" s="92"/>
      <c r="F89" s="92"/>
      <c r="G89" s="92"/>
      <c r="H89" s="92"/>
      <c r="I89" s="92"/>
      <c r="K89" s="64"/>
      <c r="L89" s="72">
        <f t="shared" ref="L89:N89" si="60">SUM(L91:L95)</f>
        <v>101</v>
      </c>
      <c r="M89" s="72">
        <f t="shared" si="60"/>
        <v>6</v>
      </c>
      <c r="N89" s="73">
        <f t="shared" si="60"/>
        <v>9520.92</v>
      </c>
    </row>
    <row r="90" ht="12.75" customHeight="1">
      <c r="A90" s="129">
        <f>A87+3</f>
        <v>42821</v>
      </c>
      <c r="B90" s="81">
        <v>280.0</v>
      </c>
      <c r="C90" s="81">
        <v>160.52</v>
      </c>
      <c r="D90" s="81">
        <v>490.0</v>
      </c>
      <c r="E90" s="81">
        <v>40.0</v>
      </c>
      <c r="F90" s="82">
        <f t="shared" ref="F90:F94" si="61">SUM(B90:E90)</f>
        <v>970.52</v>
      </c>
      <c r="G90" s="81">
        <v>19.0</v>
      </c>
      <c r="H90" s="81">
        <v>4.0</v>
      </c>
      <c r="I90" s="81">
        <v>40.0</v>
      </c>
      <c r="K90" s="95" t="s">
        <v>83</v>
      </c>
      <c r="L90" s="79">
        <v>85.0</v>
      </c>
      <c r="M90" s="79">
        <v>71.82</v>
      </c>
      <c r="N90" s="66"/>
    </row>
    <row r="91" ht="12.75" customHeight="1">
      <c r="A91" s="129">
        <f t="shared" ref="A91:A93" si="62">A90+1</f>
        <v>42822</v>
      </c>
      <c r="B91" s="81">
        <v>290.0</v>
      </c>
      <c r="C91" s="81">
        <v>164.04</v>
      </c>
      <c r="D91" s="81">
        <v>410.0</v>
      </c>
      <c r="E91" s="81">
        <v>40.0</v>
      </c>
      <c r="F91" s="82">
        <f t="shared" si="61"/>
        <v>904.04</v>
      </c>
      <c r="G91" s="81">
        <v>21.0</v>
      </c>
      <c r="H91" s="81">
        <v>4.0</v>
      </c>
      <c r="I91" s="81">
        <v>50.0</v>
      </c>
      <c r="K91" s="81" t="s">
        <v>70</v>
      </c>
      <c r="L91" s="81">
        <v>29.0</v>
      </c>
      <c r="M91" s="81">
        <v>1.0</v>
      </c>
      <c r="N91" s="82">
        <f t="shared" ref="N91:N95" si="63">L91*$L$109+M91*$M$109</f>
        <v>2681.82</v>
      </c>
    </row>
    <row r="92" ht="12.75" customHeight="1">
      <c r="A92" s="129">
        <f t="shared" si="62"/>
        <v>42823</v>
      </c>
      <c r="B92" s="124">
        <v>220.0</v>
      </c>
      <c r="C92" s="124">
        <v>233.4</v>
      </c>
      <c r="D92" s="124">
        <v>380.0</v>
      </c>
      <c r="E92" s="124">
        <v>100.0</v>
      </c>
      <c r="F92" s="82">
        <f t="shared" si="61"/>
        <v>933.4</v>
      </c>
      <c r="G92" s="124">
        <v>22.0</v>
      </c>
      <c r="H92" s="124">
        <v>6.0</v>
      </c>
      <c r="I92" s="124">
        <v>100.0</v>
      </c>
      <c r="K92" s="81" t="s">
        <v>71</v>
      </c>
      <c r="L92" s="81">
        <v>20.0</v>
      </c>
      <c r="M92" s="81">
        <v>2.0</v>
      </c>
      <c r="N92" s="82">
        <f t="shared" si="63"/>
        <v>1943.64</v>
      </c>
    </row>
    <row r="93" ht="12.75" customHeight="1">
      <c r="A93" s="129">
        <f t="shared" si="62"/>
        <v>42824</v>
      </c>
      <c r="B93" s="124">
        <v>410.0</v>
      </c>
      <c r="C93" s="124">
        <v>202.94</v>
      </c>
      <c r="D93" s="124">
        <v>700.0</v>
      </c>
      <c r="E93" s="124">
        <v>120.0</v>
      </c>
      <c r="F93" s="82">
        <f t="shared" si="61"/>
        <v>1432.94</v>
      </c>
      <c r="G93" s="124">
        <v>27.0</v>
      </c>
      <c r="H93" s="124">
        <v>5.0</v>
      </c>
      <c r="I93" s="124">
        <v>120.0</v>
      </c>
      <c r="K93" s="81" t="s">
        <v>72</v>
      </c>
      <c r="L93" s="81">
        <v>29.0</v>
      </c>
      <c r="M93" s="81">
        <v>2.0</v>
      </c>
      <c r="N93" s="82">
        <f t="shared" si="63"/>
        <v>2753.64</v>
      </c>
    </row>
    <row r="94" ht="12.75" customHeight="1">
      <c r="A94" s="129">
        <f>A91+3</f>
        <v>42825</v>
      </c>
      <c r="B94" s="130">
        <v>360.0</v>
      </c>
      <c r="C94" s="130">
        <v>317.18</v>
      </c>
      <c r="D94" s="130">
        <v>890.0</v>
      </c>
      <c r="E94" s="130">
        <v>40.0</v>
      </c>
      <c r="F94" s="82">
        <f t="shared" si="61"/>
        <v>1607.18</v>
      </c>
      <c r="G94" s="130">
        <v>32.0</v>
      </c>
      <c r="H94" s="130">
        <v>7.0</v>
      </c>
      <c r="I94" s="130">
        <v>50.0</v>
      </c>
      <c r="K94" s="81" t="s">
        <v>73</v>
      </c>
      <c r="L94" s="81">
        <v>18.0</v>
      </c>
      <c r="M94" s="81">
        <v>1.0</v>
      </c>
      <c r="N94" s="82">
        <f t="shared" si="63"/>
        <v>1691.82</v>
      </c>
    </row>
    <row r="95" ht="12.75" customHeight="1">
      <c r="A95" s="131"/>
      <c r="B95" s="68">
        <f t="shared" ref="B95:I95" si="64">SUM(B90:B94)</f>
        <v>1560</v>
      </c>
      <c r="C95" s="132">
        <f t="shared" si="64"/>
        <v>1078.08</v>
      </c>
      <c r="D95" s="132">
        <f t="shared" si="64"/>
        <v>2870</v>
      </c>
      <c r="E95" s="132">
        <f t="shared" si="64"/>
        <v>340</v>
      </c>
      <c r="F95" s="132">
        <f t="shared" si="64"/>
        <v>5848.08</v>
      </c>
      <c r="G95" s="133">
        <f t="shared" si="64"/>
        <v>121</v>
      </c>
      <c r="H95" s="133">
        <f t="shared" si="64"/>
        <v>26</v>
      </c>
      <c r="I95" s="134">
        <f t="shared" si="64"/>
        <v>360</v>
      </c>
      <c r="K95" s="81" t="s">
        <v>74</v>
      </c>
      <c r="L95" s="81">
        <v>5.0</v>
      </c>
      <c r="M95" s="81"/>
      <c r="N95" s="82">
        <f t="shared" si="63"/>
        <v>450</v>
      </c>
    </row>
    <row r="96" ht="12.75" customHeight="1">
      <c r="A96" s="135"/>
      <c r="B96" s="75"/>
      <c r="C96" s="136"/>
      <c r="D96" s="136"/>
      <c r="E96" s="136"/>
      <c r="F96" s="136"/>
      <c r="G96" s="136"/>
      <c r="H96" s="136"/>
      <c r="I96" s="137"/>
    </row>
    <row r="97" ht="12.75" customHeight="1">
      <c r="A97" s="58">
        <v>42828.0</v>
      </c>
      <c r="B97" s="81">
        <v>830.0</v>
      </c>
      <c r="C97" s="81">
        <v>106.79</v>
      </c>
      <c r="D97" s="81">
        <v>690.0</v>
      </c>
      <c r="E97" s="81">
        <v>150.0</v>
      </c>
      <c r="F97" s="60">
        <f t="shared" ref="F97:F101" si="65">SUM(B97:E97)</f>
        <v>1776.79</v>
      </c>
      <c r="G97" s="81">
        <v>29.0</v>
      </c>
      <c r="H97" s="81">
        <v>3.0</v>
      </c>
      <c r="I97" s="83">
        <v>140.0</v>
      </c>
    </row>
    <row r="98" ht="12.75" customHeight="1">
      <c r="A98" s="58">
        <f t="shared" ref="A98:A101" si="66">A97+1</f>
        <v>42829</v>
      </c>
      <c r="B98" s="81">
        <v>160.0</v>
      </c>
      <c r="C98" s="81">
        <v>257.0</v>
      </c>
      <c r="D98" s="81">
        <v>480.0</v>
      </c>
      <c r="E98" s="81">
        <v>140.0</v>
      </c>
      <c r="F98" s="60">
        <f t="shared" si="65"/>
        <v>1037</v>
      </c>
      <c r="G98" s="81">
        <v>22.0</v>
      </c>
      <c r="H98" s="81">
        <v>5.0</v>
      </c>
      <c r="I98" s="83">
        <v>140.0</v>
      </c>
      <c r="K98" s="64"/>
      <c r="L98" s="65">
        <f>L99+M99</f>
        <v>64</v>
      </c>
      <c r="N98" s="66"/>
    </row>
    <row r="99" ht="12.75" customHeight="1">
      <c r="A99" s="58">
        <f t="shared" si="66"/>
        <v>42830</v>
      </c>
      <c r="B99" s="81">
        <v>440.0</v>
      </c>
      <c r="C99" s="81">
        <v>233.4</v>
      </c>
      <c r="D99" s="81">
        <v>720.0</v>
      </c>
      <c r="E99" s="81">
        <v>40.0</v>
      </c>
      <c r="F99" s="60">
        <f t="shared" si="65"/>
        <v>1433.4</v>
      </c>
      <c r="G99" s="81">
        <v>31.0</v>
      </c>
      <c r="H99" s="81">
        <v>6.0</v>
      </c>
      <c r="I99" s="83">
        <v>50.0</v>
      </c>
      <c r="K99" s="64"/>
      <c r="L99" s="72">
        <f t="shared" ref="L99:N99" si="67">SUM(L101:L105)</f>
        <v>55</v>
      </c>
      <c r="M99" s="72">
        <f t="shared" si="67"/>
        <v>9</v>
      </c>
      <c r="N99" s="73">
        <f t="shared" si="67"/>
        <v>5596.38</v>
      </c>
    </row>
    <row r="100" ht="12.75" customHeight="1">
      <c r="A100" s="58">
        <f t="shared" si="66"/>
        <v>42831</v>
      </c>
      <c r="B100" s="81">
        <v>530.0</v>
      </c>
      <c r="C100" s="81">
        <v>262.1</v>
      </c>
      <c r="D100" s="81">
        <v>720.0</v>
      </c>
      <c r="E100" s="81">
        <v>210.0</v>
      </c>
      <c r="F100" s="60">
        <f t="shared" si="65"/>
        <v>1722.1</v>
      </c>
      <c r="G100" s="81">
        <v>35.0</v>
      </c>
      <c r="H100" s="81">
        <v>5.0</v>
      </c>
      <c r="I100" s="83">
        <v>200.0</v>
      </c>
      <c r="K100" s="95" t="s">
        <v>84</v>
      </c>
      <c r="L100" s="79">
        <v>90.0</v>
      </c>
      <c r="M100" s="79">
        <v>71.82</v>
      </c>
      <c r="N100" s="66"/>
    </row>
    <row r="101" ht="12.75" customHeight="1">
      <c r="A101" s="58">
        <f t="shared" si="66"/>
        <v>42832</v>
      </c>
      <c r="B101" s="89">
        <v>400.0</v>
      </c>
      <c r="C101" s="89">
        <v>164.04</v>
      </c>
      <c r="D101" s="89">
        <v>690.0</v>
      </c>
      <c r="E101" s="89">
        <v>180.0</v>
      </c>
      <c r="F101" s="60">
        <f t="shared" si="65"/>
        <v>1434.04</v>
      </c>
      <c r="G101" s="89">
        <v>28.0</v>
      </c>
      <c r="H101" s="89">
        <v>4.0</v>
      </c>
      <c r="I101" s="90">
        <v>170.0</v>
      </c>
      <c r="K101" s="81" t="s">
        <v>70</v>
      </c>
      <c r="L101" s="81">
        <v>24.0</v>
      </c>
      <c r="M101" s="81">
        <v>1.0</v>
      </c>
      <c r="N101" s="82">
        <f t="shared" ref="N101:N105" si="69">L101*$L$109+M101*$M$109</f>
        <v>2231.82</v>
      </c>
    </row>
    <row r="102" ht="12.75" customHeight="1">
      <c r="A102" s="67"/>
      <c r="B102" s="68">
        <f t="shared" ref="B102:I102" si="68">SUM(B97:B101)</f>
        <v>2360</v>
      </c>
      <c r="C102" s="68">
        <f t="shared" si="68"/>
        <v>1023.33</v>
      </c>
      <c r="D102" s="68">
        <f t="shared" si="68"/>
        <v>3300</v>
      </c>
      <c r="E102" s="68">
        <f t="shared" si="68"/>
        <v>720</v>
      </c>
      <c r="F102" s="68">
        <f t="shared" si="68"/>
        <v>7403.33</v>
      </c>
      <c r="G102" s="70">
        <f t="shared" si="68"/>
        <v>145</v>
      </c>
      <c r="H102" s="70">
        <f t="shared" si="68"/>
        <v>23</v>
      </c>
      <c r="I102" s="91">
        <f t="shared" si="68"/>
        <v>700</v>
      </c>
      <c r="K102" s="81" t="s">
        <v>71</v>
      </c>
      <c r="L102" s="81">
        <v>5.0</v>
      </c>
      <c r="M102" s="81">
        <v>0.0</v>
      </c>
      <c r="N102" s="82">
        <f t="shared" si="69"/>
        <v>450</v>
      </c>
    </row>
    <row r="103" ht="12.75" customHeight="1">
      <c r="A103" s="74"/>
      <c r="B103" s="75"/>
      <c r="C103" s="75"/>
      <c r="D103" s="75"/>
      <c r="E103" s="75"/>
      <c r="F103" s="75"/>
      <c r="G103" s="76"/>
      <c r="H103" s="76"/>
      <c r="I103" s="74"/>
      <c r="K103" s="81" t="s">
        <v>72</v>
      </c>
      <c r="L103" s="81">
        <v>10.0</v>
      </c>
      <c r="M103" s="81">
        <v>6.0</v>
      </c>
      <c r="N103" s="82">
        <f t="shared" si="69"/>
        <v>1330.92</v>
      </c>
    </row>
    <row r="104" ht="12.75" customHeight="1">
      <c r="A104" s="58">
        <f>A101+3</f>
        <v>42835</v>
      </c>
      <c r="B104" s="59">
        <f>120+12.2</f>
        <v>132.2</v>
      </c>
      <c r="C104" s="59">
        <v>251.66</v>
      </c>
      <c r="D104" s="59">
        <v>630.0</v>
      </c>
      <c r="E104" s="59">
        <v>90.0</v>
      </c>
      <c r="F104" s="60">
        <f t="shared" ref="F104:F108" si="70">SUM(B104:E104)</f>
        <v>1103.86</v>
      </c>
      <c r="G104" s="59">
        <v>20.0</v>
      </c>
      <c r="H104" s="59">
        <v>5.0</v>
      </c>
      <c r="I104" s="61">
        <v>70.0</v>
      </c>
      <c r="K104" s="81" t="s">
        <v>73</v>
      </c>
      <c r="L104" s="81">
        <v>16.0</v>
      </c>
      <c r="M104" s="81">
        <v>2.0</v>
      </c>
      <c r="N104" s="82">
        <f t="shared" si="69"/>
        <v>1583.64</v>
      </c>
    </row>
    <row r="105" ht="12.75" customHeight="1">
      <c r="A105" s="58">
        <f t="shared" ref="A105:A108" si="71">A104+1</f>
        <v>42836</v>
      </c>
      <c r="B105" s="81">
        <v>290.0</v>
      </c>
      <c r="C105" s="81">
        <v>202.94</v>
      </c>
      <c r="D105" s="81">
        <v>570.0</v>
      </c>
      <c r="E105" s="81">
        <v>80.0</v>
      </c>
      <c r="F105" s="60">
        <f t="shared" si="70"/>
        <v>1142.94</v>
      </c>
      <c r="G105" s="81">
        <v>24.0</v>
      </c>
      <c r="H105" s="81">
        <v>5.0</v>
      </c>
      <c r="I105" s="83">
        <v>90.0</v>
      </c>
      <c r="K105" s="81" t="s">
        <v>74</v>
      </c>
      <c r="L105" s="81"/>
      <c r="M105" s="81"/>
      <c r="N105" s="82">
        <f t="shared" si="69"/>
        <v>0</v>
      </c>
    </row>
    <row r="106" ht="12.75" customHeight="1">
      <c r="A106" s="58">
        <f t="shared" si="71"/>
        <v>42837</v>
      </c>
      <c r="B106" s="81">
        <v>280.0</v>
      </c>
      <c r="C106" s="81">
        <v>314.36</v>
      </c>
      <c r="D106" s="81">
        <v>500.0</v>
      </c>
      <c r="E106" s="81">
        <v>40.0</v>
      </c>
      <c r="F106" s="60">
        <f t="shared" si="70"/>
        <v>1134.36</v>
      </c>
      <c r="G106" s="81">
        <v>27.0</v>
      </c>
      <c r="H106" s="81">
        <v>8.0</v>
      </c>
      <c r="I106" s="83">
        <v>50.0</v>
      </c>
    </row>
    <row r="107" ht="12.75" customHeight="1">
      <c r="A107" s="58">
        <f t="shared" si="71"/>
        <v>42838</v>
      </c>
      <c r="B107" s="81">
        <v>390.0</v>
      </c>
      <c r="C107" s="81">
        <v>121.98</v>
      </c>
      <c r="D107" s="81">
        <v>1160.0</v>
      </c>
      <c r="E107" s="81">
        <v>160.0</v>
      </c>
      <c r="F107" s="60">
        <f t="shared" si="70"/>
        <v>1831.98</v>
      </c>
      <c r="G107" s="81">
        <v>33.0</v>
      </c>
      <c r="H107" s="81">
        <v>3.0</v>
      </c>
      <c r="I107" s="83">
        <v>160.0</v>
      </c>
      <c r="L107" s="65">
        <f>L108+M108</f>
        <v>21</v>
      </c>
    </row>
    <row r="108" ht="12.75" customHeight="1">
      <c r="A108" s="58">
        <f t="shared" si="71"/>
        <v>42839</v>
      </c>
      <c r="B108" s="89">
        <v>200.0</v>
      </c>
      <c r="C108" s="89">
        <v>81.32</v>
      </c>
      <c r="D108" s="89">
        <v>810.0</v>
      </c>
      <c r="E108" s="89">
        <v>80.0</v>
      </c>
      <c r="F108" s="60">
        <f t="shared" si="70"/>
        <v>1171.32</v>
      </c>
      <c r="G108" s="89">
        <v>23.0</v>
      </c>
      <c r="H108" s="89">
        <v>2.0</v>
      </c>
      <c r="I108" s="90">
        <v>90.0</v>
      </c>
      <c r="K108" s="64"/>
      <c r="L108" s="72">
        <f t="shared" ref="L108:N108" si="72">SUM(L110:L114)</f>
        <v>19</v>
      </c>
      <c r="M108" s="72">
        <f t="shared" si="72"/>
        <v>2</v>
      </c>
      <c r="N108" s="73">
        <f t="shared" si="72"/>
        <v>1853.64</v>
      </c>
    </row>
    <row r="109" ht="12.75" customHeight="1">
      <c r="A109" s="67"/>
      <c r="B109" s="68">
        <f t="shared" ref="B109:I109" si="73">SUM(B104:B108)</f>
        <v>1292.2</v>
      </c>
      <c r="C109" s="68">
        <f t="shared" si="73"/>
        <v>972.26</v>
      </c>
      <c r="D109" s="68">
        <f t="shared" si="73"/>
        <v>3670</v>
      </c>
      <c r="E109" s="68">
        <f t="shared" si="73"/>
        <v>450</v>
      </c>
      <c r="F109" s="68">
        <f t="shared" si="73"/>
        <v>6384.46</v>
      </c>
      <c r="G109" s="70">
        <f t="shared" si="73"/>
        <v>127</v>
      </c>
      <c r="H109" s="70">
        <f t="shared" si="73"/>
        <v>23</v>
      </c>
      <c r="I109" s="71">
        <f t="shared" si="73"/>
        <v>460</v>
      </c>
      <c r="K109" s="78" t="s">
        <v>85</v>
      </c>
      <c r="L109" s="79">
        <v>90.0</v>
      </c>
      <c r="M109" s="79">
        <v>71.82</v>
      </c>
      <c r="N109" s="66"/>
    </row>
    <row r="110" ht="12.75" customHeight="1">
      <c r="A110" s="74"/>
      <c r="B110" s="75"/>
      <c r="C110" s="75"/>
      <c r="D110" s="75"/>
      <c r="E110" s="75"/>
      <c r="F110" s="75"/>
      <c r="G110" s="76"/>
      <c r="H110" s="76"/>
      <c r="I110" s="77"/>
      <c r="K110" s="81" t="s">
        <v>70</v>
      </c>
      <c r="L110" s="81">
        <v>2.0</v>
      </c>
      <c r="M110" s="81"/>
      <c r="N110" s="82">
        <f t="shared" ref="N110:N114" si="74">L110*$L$109+M110*$M$109</f>
        <v>180</v>
      </c>
    </row>
    <row r="111" ht="12.75" customHeight="1">
      <c r="A111" s="97">
        <f>A108+3</f>
        <v>42842</v>
      </c>
      <c r="B111" s="138"/>
      <c r="C111" s="138"/>
      <c r="D111" s="138"/>
      <c r="E111" s="138"/>
      <c r="F111" s="85">
        <f t="shared" ref="F111:F115" si="75">SUM(B111:E111)</f>
        <v>0</v>
      </c>
      <c r="G111" s="138"/>
      <c r="H111" s="138"/>
      <c r="I111" s="138"/>
      <c r="K111" s="81" t="s">
        <v>71</v>
      </c>
      <c r="L111" s="81">
        <v>7.0</v>
      </c>
      <c r="M111" s="81"/>
      <c r="N111" s="82">
        <f t="shared" si="74"/>
        <v>630</v>
      </c>
    </row>
    <row r="112" ht="12.75" customHeight="1">
      <c r="A112" s="97">
        <f t="shared" ref="A112:A115" si="76">A111+1</f>
        <v>42843</v>
      </c>
      <c r="B112" s="81">
        <v>740.0</v>
      </c>
      <c r="C112" s="81">
        <v>304.52</v>
      </c>
      <c r="D112" s="81">
        <v>760.0</v>
      </c>
      <c r="E112" s="81"/>
      <c r="F112" s="104">
        <f t="shared" si="75"/>
        <v>1804.52</v>
      </c>
      <c r="G112" s="81">
        <v>37.0</v>
      </c>
      <c r="H112" s="81">
        <v>6.0</v>
      </c>
      <c r="I112" s="81"/>
      <c r="K112" s="81" t="s">
        <v>72</v>
      </c>
      <c r="L112" s="81">
        <v>8.0</v>
      </c>
      <c r="M112" s="81">
        <v>1.0</v>
      </c>
      <c r="N112" s="82">
        <f t="shared" si="74"/>
        <v>791.82</v>
      </c>
    </row>
    <row r="113" ht="12.75" customHeight="1">
      <c r="A113" s="97">
        <f t="shared" si="76"/>
        <v>42844</v>
      </c>
      <c r="B113" s="81">
        <v>180.0</v>
      </c>
      <c r="C113" s="81">
        <v>233.4</v>
      </c>
      <c r="D113" s="81">
        <v>740.0</v>
      </c>
      <c r="E113" s="81">
        <v>150.0</v>
      </c>
      <c r="F113" s="104">
        <f t="shared" si="75"/>
        <v>1303.4</v>
      </c>
      <c r="G113" s="81">
        <v>28.0</v>
      </c>
      <c r="H113" s="81">
        <v>6.0</v>
      </c>
      <c r="I113" s="81">
        <v>150.0</v>
      </c>
      <c r="K113" s="81" t="s">
        <v>73</v>
      </c>
      <c r="L113" s="81">
        <v>2.0</v>
      </c>
      <c r="M113" s="81">
        <v>1.0</v>
      </c>
      <c r="N113" s="82">
        <f t="shared" si="74"/>
        <v>251.82</v>
      </c>
    </row>
    <row r="114" ht="12.75" customHeight="1">
      <c r="A114" s="97">
        <f t="shared" si="76"/>
        <v>42845</v>
      </c>
      <c r="B114" s="81">
        <v>510.0</v>
      </c>
      <c r="C114" s="81">
        <v>206.1</v>
      </c>
      <c r="D114" s="81">
        <v>920.0</v>
      </c>
      <c r="E114" s="81">
        <v>430.0</v>
      </c>
      <c r="F114" s="139">
        <f t="shared" si="75"/>
        <v>2066.1</v>
      </c>
      <c r="G114" s="81">
        <v>43.0</v>
      </c>
      <c r="H114" s="81">
        <v>5.0</v>
      </c>
      <c r="I114" s="81">
        <v>430.0</v>
      </c>
      <c r="K114" s="81" t="s">
        <v>74</v>
      </c>
      <c r="L114" s="81"/>
      <c r="M114" s="81"/>
      <c r="N114" s="82">
        <f t="shared" si="74"/>
        <v>0</v>
      </c>
    </row>
    <row r="115" ht="12.75" customHeight="1">
      <c r="A115" s="97">
        <f t="shared" si="76"/>
        <v>42846</v>
      </c>
      <c r="B115" s="89">
        <v>330.0</v>
      </c>
      <c r="C115" s="89">
        <v>393.58</v>
      </c>
      <c r="D115" s="89">
        <v>530.0</v>
      </c>
      <c r="E115" s="89">
        <v>120.0</v>
      </c>
      <c r="F115" s="139">
        <f t="shared" si="75"/>
        <v>1373.58</v>
      </c>
      <c r="G115" s="89">
        <v>30.0</v>
      </c>
      <c r="H115" s="89">
        <v>10.0</v>
      </c>
      <c r="I115" s="89">
        <v>150.0</v>
      </c>
    </row>
    <row r="116" ht="12.75" customHeight="1">
      <c r="A116" s="67"/>
      <c r="B116" s="91">
        <f t="shared" ref="B116:I116" si="77">SUM(B111:B115)</f>
        <v>1760</v>
      </c>
      <c r="C116" s="91">
        <f t="shared" si="77"/>
        <v>1137.6</v>
      </c>
      <c r="D116" s="91">
        <f t="shared" si="77"/>
        <v>2950</v>
      </c>
      <c r="E116" s="91">
        <f t="shared" si="77"/>
        <v>700</v>
      </c>
      <c r="F116" s="68">
        <f t="shared" si="77"/>
        <v>6547.6</v>
      </c>
      <c r="G116" s="140">
        <f t="shared" si="77"/>
        <v>138</v>
      </c>
      <c r="H116" s="70">
        <f t="shared" si="77"/>
        <v>27</v>
      </c>
      <c r="I116" s="91">
        <f t="shared" si="77"/>
        <v>730</v>
      </c>
    </row>
    <row r="117" ht="12.75" customHeight="1">
      <c r="A117" s="74"/>
      <c r="B117" s="74"/>
      <c r="C117" s="74"/>
      <c r="D117" s="74"/>
      <c r="E117" s="74"/>
      <c r="F117" s="75"/>
      <c r="G117" s="75"/>
      <c r="H117" s="76"/>
      <c r="I117" s="74"/>
    </row>
    <row r="118" ht="12.75" customHeight="1">
      <c r="A118" s="97">
        <f>A115+3</f>
        <v>42849</v>
      </c>
      <c r="B118" s="59">
        <v>480.0</v>
      </c>
      <c r="C118" s="59">
        <v>221.8</v>
      </c>
      <c r="D118" s="59">
        <v>1190.0</v>
      </c>
      <c r="E118" s="59">
        <v>260.0</v>
      </c>
      <c r="F118" s="141">
        <f t="shared" ref="F118:F122" si="78">SUM(B118:E118)</f>
        <v>2151.8</v>
      </c>
      <c r="G118" s="59">
        <v>36.0</v>
      </c>
      <c r="H118" s="59">
        <v>5.0</v>
      </c>
      <c r="I118" s="61">
        <v>250.0</v>
      </c>
    </row>
    <row r="119" ht="12.75" customHeight="1">
      <c r="A119" s="102">
        <f t="shared" ref="A119:A122" si="79">A118+1</f>
        <v>42850</v>
      </c>
      <c r="B119" s="81">
        <v>500.0</v>
      </c>
      <c r="C119" s="81">
        <v>233.44</v>
      </c>
      <c r="D119" s="81">
        <v>670.0</v>
      </c>
      <c r="E119" s="81">
        <v>160.0</v>
      </c>
      <c r="F119" s="142">
        <f t="shared" si="78"/>
        <v>1563.44</v>
      </c>
      <c r="G119" s="81">
        <v>36.0</v>
      </c>
      <c r="H119" s="81">
        <v>5.0</v>
      </c>
      <c r="I119" s="81">
        <v>150.0</v>
      </c>
    </row>
    <row r="120" ht="12.75" customHeight="1">
      <c r="A120" s="102">
        <f t="shared" si="79"/>
        <v>42851</v>
      </c>
      <c r="B120" s="81">
        <v>370.0</v>
      </c>
      <c r="C120" s="81">
        <v>241.84</v>
      </c>
      <c r="D120" s="81">
        <v>160.0</v>
      </c>
      <c r="E120" s="81">
        <v>80.0</v>
      </c>
      <c r="F120" s="141">
        <f t="shared" si="78"/>
        <v>851.84</v>
      </c>
      <c r="G120" s="124">
        <v>22.0</v>
      </c>
      <c r="H120" s="124">
        <v>6.0</v>
      </c>
      <c r="I120" s="143">
        <v>80.0</v>
      </c>
    </row>
    <row r="121" ht="12.75" customHeight="1">
      <c r="A121" s="102">
        <f t="shared" si="79"/>
        <v>42852</v>
      </c>
      <c r="B121" s="89">
        <v>210.0</v>
      </c>
      <c r="C121" s="89">
        <v>36.36</v>
      </c>
      <c r="D121" s="89">
        <v>270.0</v>
      </c>
      <c r="E121" s="89">
        <v>160.0</v>
      </c>
      <c r="F121" s="144">
        <f t="shared" si="78"/>
        <v>676.36</v>
      </c>
      <c r="G121" s="89">
        <v>13.0</v>
      </c>
      <c r="H121" s="89">
        <v>1.0</v>
      </c>
      <c r="I121" s="90">
        <v>150.0</v>
      </c>
    </row>
    <row r="122" ht="12.75" customHeight="1">
      <c r="A122" s="102">
        <f t="shared" si="79"/>
        <v>42853</v>
      </c>
      <c r="B122" s="84"/>
      <c r="C122" s="84"/>
      <c r="D122" s="84"/>
      <c r="E122" s="84"/>
      <c r="F122" s="120">
        <f t="shared" si="78"/>
        <v>0</v>
      </c>
      <c r="G122" s="84"/>
      <c r="H122" s="84"/>
      <c r="I122" s="84"/>
    </row>
    <row r="123" ht="12.75" customHeight="1">
      <c r="A123" s="67"/>
      <c r="B123" s="145">
        <f t="shared" ref="B123:I123" si="80">SUM(B118:B122)</f>
        <v>1560</v>
      </c>
      <c r="C123" s="145">
        <f t="shared" si="80"/>
        <v>733.44</v>
      </c>
      <c r="D123" s="145">
        <f t="shared" si="80"/>
        <v>2290</v>
      </c>
      <c r="E123" s="145">
        <f t="shared" si="80"/>
        <v>660</v>
      </c>
      <c r="F123" s="145">
        <f t="shared" si="80"/>
        <v>5243.44</v>
      </c>
      <c r="G123" s="140">
        <f t="shared" si="80"/>
        <v>107</v>
      </c>
      <c r="H123" s="140">
        <f t="shared" si="80"/>
        <v>17</v>
      </c>
      <c r="I123" s="145">
        <f t="shared" si="80"/>
        <v>630</v>
      </c>
    </row>
    <row r="124" ht="12.75" customHeight="1">
      <c r="A124" s="74"/>
      <c r="B124" s="74"/>
      <c r="C124" s="74"/>
      <c r="D124" s="74"/>
      <c r="E124" s="74"/>
      <c r="F124" s="74"/>
      <c r="G124" s="75"/>
      <c r="H124" s="75"/>
      <c r="I124" s="74"/>
    </row>
    <row r="125" ht="12.75" customHeight="1">
      <c r="A125" s="102">
        <f>A122+3</f>
        <v>42856</v>
      </c>
      <c r="B125" s="84"/>
      <c r="C125" s="84"/>
      <c r="D125" s="84"/>
      <c r="E125" s="84"/>
      <c r="F125" s="120">
        <f t="shared" ref="F125:F129" si="81">SUM(B125:E125)</f>
        <v>0</v>
      </c>
      <c r="G125" s="84"/>
      <c r="H125" s="84"/>
      <c r="I125" s="84"/>
    </row>
    <row r="126" ht="12.75" customHeight="1">
      <c r="A126" s="58">
        <v>42857.0</v>
      </c>
      <c r="B126" s="81">
        <v>270.0</v>
      </c>
      <c r="C126" s="81">
        <v>241.84</v>
      </c>
      <c r="D126" s="81">
        <v>690.0</v>
      </c>
      <c r="E126" s="81">
        <v>40.0</v>
      </c>
      <c r="F126" s="60">
        <f t="shared" si="81"/>
        <v>1241.84</v>
      </c>
      <c r="G126" s="81">
        <v>24.0</v>
      </c>
      <c r="H126" s="81">
        <v>6.0</v>
      </c>
      <c r="I126" s="83">
        <v>40.0</v>
      </c>
    </row>
    <row r="127" ht="12.75" customHeight="1">
      <c r="A127" s="58">
        <f t="shared" ref="A127:A129" si="82">A126+1</f>
        <v>42858</v>
      </c>
      <c r="B127" s="81">
        <v>160.0</v>
      </c>
      <c r="C127" s="81">
        <v>376.1</v>
      </c>
      <c r="D127" s="81">
        <v>540.0</v>
      </c>
      <c r="E127" s="81">
        <v>220.0</v>
      </c>
      <c r="F127" s="60">
        <f t="shared" si="81"/>
        <v>1296.1</v>
      </c>
      <c r="G127" s="81">
        <v>32.0</v>
      </c>
      <c r="H127" s="81">
        <v>10.0</v>
      </c>
      <c r="I127" s="83">
        <v>210.0</v>
      </c>
    </row>
    <row r="128" ht="12.75" customHeight="1">
      <c r="A128" s="58">
        <f t="shared" si="82"/>
        <v>42859</v>
      </c>
      <c r="B128" s="81">
        <v>430.0</v>
      </c>
      <c r="C128" s="81">
        <v>150.44</v>
      </c>
      <c r="D128" s="81">
        <v>1170.0</v>
      </c>
      <c r="E128" s="81">
        <v>60.0</v>
      </c>
      <c r="F128" s="60">
        <f t="shared" si="81"/>
        <v>1810.44</v>
      </c>
      <c r="G128" s="81">
        <v>34.0</v>
      </c>
      <c r="H128" s="81">
        <v>4.0</v>
      </c>
      <c r="I128" s="83">
        <v>50.0</v>
      </c>
    </row>
    <row r="129" ht="12.75" customHeight="1">
      <c r="A129" s="58">
        <f t="shared" si="82"/>
        <v>42860</v>
      </c>
      <c r="B129" s="81">
        <v>230.0</v>
      </c>
      <c r="C129" s="81">
        <v>368.0</v>
      </c>
      <c r="D129" s="81">
        <v>650.0</v>
      </c>
      <c r="E129" s="81">
        <v>80.0</v>
      </c>
      <c r="F129" s="60">
        <f t="shared" si="81"/>
        <v>1328</v>
      </c>
      <c r="G129" s="81">
        <v>27.0</v>
      </c>
      <c r="H129" s="81">
        <v>6.0</v>
      </c>
      <c r="I129" s="83">
        <v>90.0</v>
      </c>
    </row>
    <row r="130" ht="12.75" customHeight="1">
      <c r="A130" s="67"/>
      <c r="B130" s="68">
        <f t="shared" ref="B130:I130" si="83">SUM(B126:B129)</f>
        <v>1090</v>
      </c>
      <c r="C130" s="68">
        <f t="shared" si="83"/>
        <v>1136.38</v>
      </c>
      <c r="D130" s="68">
        <f t="shared" si="83"/>
        <v>3050</v>
      </c>
      <c r="E130" s="68">
        <f t="shared" si="83"/>
        <v>400</v>
      </c>
      <c r="F130" s="68">
        <f t="shared" si="83"/>
        <v>5676.38</v>
      </c>
      <c r="G130" s="70">
        <f t="shared" si="83"/>
        <v>117</v>
      </c>
      <c r="H130" s="70">
        <f t="shared" si="83"/>
        <v>26</v>
      </c>
      <c r="I130" s="91">
        <f t="shared" si="83"/>
        <v>390</v>
      </c>
    </row>
    <row r="131" ht="12.75" customHeight="1">
      <c r="A131" s="74"/>
      <c r="B131" s="75"/>
      <c r="C131" s="75"/>
      <c r="D131" s="75"/>
      <c r="E131" s="75"/>
      <c r="F131" s="75"/>
      <c r="G131" s="76"/>
      <c r="H131" s="76"/>
      <c r="I131" s="74"/>
    </row>
    <row r="132" ht="12.75" customHeight="1">
      <c r="A132" s="58">
        <f>A129+3</f>
        <v>42863</v>
      </c>
      <c r="B132" s="138"/>
      <c r="C132" s="138"/>
      <c r="D132" s="138"/>
      <c r="E132" s="138"/>
      <c r="F132" s="85">
        <f t="shared" ref="F132:F136" si="84">SUM(B132:E132)</f>
        <v>0</v>
      </c>
      <c r="G132" s="138"/>
      <c r="H132" s="138"/>
      <c r="I132" s="146"/>
    </row>
    <row r="133" ht="12.75" customHeight="1">
      <c r="A133" s="58">
        <f t="shared" ref="A133:A136" si="85">A132+1</f>
        <v>42864</v>
      </c>
      <c r="B133" s="59">
        <v>120.0</v>
      </c>
      <c r="C133" s="59">
        <v>79.56</v>
      </c>
      <c r="D133" s="59">
        <v>500.0</v>
      </c>
      <c r="E133" s="59">
        <v>80.0</v>
      </c>
      <c r="F133" s="60">
        <f t="shared" si="84"/>
        <v>779.56</v>
      </c>
      <c r="G133" s="81">
        <v>17.0</v>
      </c>
      <c r="H133" s="81">
        <v>2.0</v>
      </c>
      <c r="I133" s="83">
        <v>90.0</v>
      </c>
    </row>
    <row r="134" ht="12.75" customHeight="1">
      <c r="A134" s="58">
        <f t="shared" si="85"/>
        <v>42865</v>
      </c>
      <c r="B134" s="81">
        <v>280.0</v>
      </c>
      <c r="C134" s="81">
        <v>314.36</v>
      </c>
      <c r="D134" s="81">
        <v>320.0</v>
      </c>
      <c r="E134" s="81">
        <v>130.0</v>
      </c>
      <c r="F134" s="60">
        <f t="shared" si="84"/>
        <v>1044.36</v>
      </c>
      <c r="G134" s="81">
        <v>25.0</v>
      </c>
      <c r="H134" s="81">
        <v>8.0</v>
      </c>
      <c r="I134" s="83">
        <v>110.0</v>
      </c>
    </row>
    <row r="135" ht="12.75" customHeight="1">
      <c r="A135" s="58">
        <f t="shared" si="85"/>
        <v>42866</v>
      </c>
      <c r="B135" s="81">
        <v>870.0</v>
      </c>
      <c r="C135" s="81">
        <v>81.32</v>
      </c>
      <c r="D135" s="81">
        <v>850.0</v>
      </c>
      <c r="E135" s="81">
        <v>180.0</v>
      </c>
      <c r="F135" s="60">
        <f t="shared" si="84"/>
        <v>1981.32</v>
      </c>
      <c r="G135" s="59">
        <v>36.0</v>
      </c>
      <c r="H135" s="59">
        <v>2.0</v>
      </c>
      <c r="I135" s="61">
        <v>180.0</v>
      </c>
    </row>
    <row r="136" ht="12.75" customHeight="1">
      <c r="A136" s="58">
        <f t="shared" si="85"/>
        <v>42867</v>
      </c>
      <c r="B136" s="81">
        <v>300.0</v>
      </c>
      <c r="C136" s="81">
        <v>287.06</v>
      </c>
      <c r="D136" s="81">
        <v>550.0</v>
      </c>
      <c r="E136" s="81">
        <v>130.0</v>
      </c>
      <c r="F136" s="60">
        <f t="shared" si="84"/>
        <v>1267.06</v>
      </c>
      <c r="G136" s="81">
        <v>26.0</v>
      </c>
      <c r="H136" s="81">
        <v>7.0</v>
      </c>
      <c r="I136" s="83">
        <v>130.0</v>
      </c>
    </row>
    <row r="137" ht="12.75" customHeight="1">
      <c r="A137" s="67"/>
      <c r="B137" s="68">
        <f t="shared" ref="B137:I137" si="86">SUM(B132:B136)</f>
        <v>1570</v>
      </c>
      <c r="C137" s="68">
        <f t="shared" si="86"/>
        <v>762.3</v>
      </c>
      <c r="D137" s="68">
        <f t="shared" si="86"/>
        <v>2220</v>
      </c>
      <c r="E137" s="91">
        <f t="shared" si="86"/>
        <v>520</v>
      </c>
      <c r="F137" s="68">
        <f t="shared" si="86"/>
        <v>5072.3</v>
      </c>
      <c r="G137" s="70">
        <f t="shared" si="86"/>
        <v>104</v>
      </c>
      <c r="H137" s="70">
        <f t="shared" si="86"/>
        <v>19</v>
      </c>
      <c r="I137" s="91">
        <f t="shared" si="86"/>
        <v>510</v>
      </c>
    </row>
    <row r="138" ht="12.75" customHeight="1">
      <c r="A138" s="74"/>
      <c r="B138" s="75"/>
      <c r="C138" s="75"/>
      <c r="D138" s="75"/>
      <c r="E138" s="74"/>
      <c r="F138" s="75"/>
      <c r="G138" s="76"/>
      <c r="H138" s="76"/>
      <c r="I138" s="74"/>
    </row>
    <row r="139" ht="12.75" customHeight="1">
      <c r="A139" s="97">
        <f>A136+3</f>
        <v>42870</v>
      </c>
      <c r="B139" s="59">
        <v>420.0</v>
      </c>
      <c r="C139" s="59">
        <v>153.14</v>
      </c>
      <c r="D139" s="59">
        <v>1300.0</v>
      </c>
      <c r="E139" s="59">
        <v>40.0</v>
      </c>
      <c r="F139" s="60">
        <f t="shared" ref="F139:F143" si="87">SUM(B139:E139)</f>
        <v>1913.14</v>
      </c>
      <c r="G139" s="59">
        <v>32.0</v>
      </c>
      <c r="H139" s="59">
        <v>3.0</v>
      </c>
      <c r="I139" s="61">
        <v>40.0</v>
      </c>
    </row>
    <row r="140" ht="12.75" customHeight="1">
      <c r="A140" s="97">
        <f t="shared" ref="A140:A142" si="88">A139+1</f>
        <v>42871</v>
      </c>
      <c r="B140" s="81">
        <v>130.0</v>
      </c>
      <c r="C140" s="81">
        <v>160.88</v>
      </c>
      <c r="D140" s="81">
        <v>740.0</v>
      </c>
      <c r="E140" s="81">
        <v>40.0</v>
      </c>
      <c r="F140" s="60">
        <f t="shared" si="87"/>
        <v>1070.88</v>
      </c>
      <c r="G140" s="81">
        <v>21.0</v>
      </c>
      <c r="H140" s="81">
        <v>4.0</v>
      </c>
      <c r="I140" s="83">
        <v>40.0</v>
      </c>
    </row>
    <row r="141" ht="12.75" customHeight="1">
      <c r="A141" s="97">
        <f t="shared" si="88"/>
        <v>42872</v>
      </c>
      <c r="B141" s="81">
        <v>500.0</v>
      </c>
      <c r="C141" s="81">
        <v>350.0</v>
      </c>
      <c r="D141" s="81">
        <v>320.0</v>
      </c>
      <c r="E141" s="81">
        <v>40.0</v>
      </c>
      <c r="F141" s="60">
        <f t="shared" si="87"/>
        <v>1210</v>
      </c>
      <c r="G141" s="81">
        <v>28.0</v>
      </c>
      <c r="H141" s="81">
        <v>9.0</v>
      </c>
      <c r="I141" s="83">
        <v>40.0</v>
      </c>
    </row>
    <row r="142" ht="12.75" customHeight="1">
      <c r="A142" s="97">
        <f t="shared" si="88"/>
        <v>42873</v>
      </c>
      <c r="B142" s="81">
        <v>530.0</v>
      </c>
      <c r="C142" s="81">
        <v>348.0</v>
      </c>
      <c r="D142" s="81">
        <v>810.0</v>
      </c>
      <c r="E142" s="81">
        <v>120.0</v>
      </c>
      <c r="F142" s="60">
        <f t="shared" si="87"/>
        <v>1808</v>
      </c>
      <c r="G142" s="59">
        <v>36.0</v>
      </c>
      <c r="H142" s="59">
        <v>9.0</v>
      </c>
      <c r="I142" s="61">
        <v>130.0</v>
      </c>
    </row>
    <row r="143" ht="12.75" customHeight="1">
      <c r="A143" s="97">
        <f>A140+3</f>
        <v>42874</v>
      </c>
      <c r="B143" s="81">
        <v>160.0</v>
      </c>
      <c r="C143" s="81">
        <v>167.98</v>
      </c>
      <c r="D143" s="81">
        <v>700.0</v>
      </c>
      <c r="E143" s="81">
        <v>316.0</v>
      </c>
      <c r="F143" s="60">
        <f t="shared" si="87"/>
        <v>1343.98</v>
      </c>
      <c r="G143" s="81">
        <v>26.0</v>
      </c>
      <c r="H143" s="81">
        <v>4.0</v>
      </c>
      <c r="I143" s="83">
        <v>310.0</v>
      </c>
    </row>
    <row r="144" ht="12.75" customHeight="1">
      <c r="A144" s="131"/>
      <c r="B144" s="68">
        <f t="shared" ref="B144:I144" si="89">SUM(B139:B143)</f>
        <v>1740</v>
      </c>
      <c r="C144" s="68">
        <f t="shared" si="89"/>
        <v>1180</v>
      </c>
      <c r="D144" s="68">
        <f t="shared" si="89"/>
        <v>3870</v>
      </c>
      <c r="E144" s="68">
        <f t="shared" si="89"/>
        <v>556</v>
      </c>
      <c r="F144" s="68">
        <f t="shared" si="89"/>
        <v>7346</v>
      </c>
      <c r="G144" s="147">
        <f t="shared" si="89"/>
        <v>143</v>
      </c>
      <c r="H144" s="147">
        <f t="shared" si="89"/>
        <v>29</v>
      </c>
      <c r="I144" s="91">
        <f t="shared" si="89"/>
        <v>560</v>
      </c>
    </row>
    <row r="145" ht="12.75" customHeight="1">
      <c r="A145" s="148"/>
      <c r="B145" s="75"/>
      <c r="C145" s="75"/>
      <c r="D145" s="75"/>
      <c r="E145" s="75"/>
      <c r="F145" s="75"/>
      <c r="G145" s="75"/>
      <c r="H145" s="75"/>
      <c r="I145" s="74"/>
    </row>
    <row r="146" ht="12.75" customHeight="1">
      <c r="A146" s="97">
        <f>A143+3</f>
        <v>42877</v>
      </c>
      <c r="B146" s="112">
        <v>480.0</v>
      </c>
      <c r="C146" s="59">
        <v>159.12</v>
      </c>
      <c r="D146" s="59">
        <v>240.0</v>
      </c>
      <c r="E146" s="59">
        <v>80.0</v>
      </c>
      <c r="F146" s="141">
        <f t="shared" ref="F146:F150" si="90">SUM(B146:E146)</f>
        <v>959.12</v>
      </c>
      <c r="G146" s="124">
        <v>24.0</v>
      </c>
      <c r="H146" s="124">
        <v>4.0</v>
      </c>
      <c r="I146" s="149">
        <v>90.0</v>
      </c>
    </row>
    <row r="147" ht="12.75" customHeight="1">
      <c r="A147" s="97">
        <f t="shared" ref="A147:A150" si="91">A146+1</f>
        <v>42878</v>
      </c>
      <c r="B147" s="112">
        <v>170.0</v>
      </c>
      <c r="C147" s="59">
        <v>79.56</v>
      </c>
      <c r="D147" s="59">
        <v>470.0</v>
      </c>
      <c r="E147" s="59">
        <v>40.0</v>
      </c>
      <c r="F147" s="141">
        <f t="shared" si="90"/>
        <v>759.56</v>
      </c>
      <c r="G147" s="124">
        <v>17.0</v>
      </c>
      <c r="H147" s="124">
        <v>2.0</v>
      </c>
      <c r="I147" s="149">
        <v>40.0</v>
      </c>
    </row>
    <row r="148" ht="12.75" customHeight="1">
      <c r="A148" s="97">
        <f t="shared" si="91"/>
        <v>42879</v>
      </c>
      <c r="B148" s="112">
        <v>200.0</v>
      </c>
      <c r="C148" s="59">
        <v>275.46</v>
      </c>
      <c r="D148" s="59">
        <v>460.0</v>
      </c>
      <c r="E148" s="59">
        <v>40.0</v>
      </c>
      <c r="F148" s="141">
        <f t="shared" si="90"/>
        <v>975.46</v>
      </c>
      <c r="G148" s="124">
        <v>28.0</v>
      </c>
      <c r="H148" s="124">
        <v>7.0</v>
      </c>
      <c r="I148" s="149">
        <v>40.0</v>
      </c>
    </row>
    <row r="149" ht="12.75" customHeight="1">
      <c r="A149" s="97">
        <f t="shared" si="91"/>
        <v>42880</v>
      </c>
      <c r="B149" s="150"/>
      <c r="C149" s="138"/>
      <c r="D149" s="138"/>
      <c r="E149" s="138"/>
      <c r="F149" s="151">
        <f t="shared" si="90"/>
        <v>0</v>
      </c>
      <c r="G149" s="119"/>
      <c r="H149" s="119"/>
      <c r="I149" s="152"/>
    </row>
    <row r="150" ht="12.75" customHeight="1">
      <c r="A150" s="97">
        <f t="shared" si="91"/>
        <v>42881</v>
      </c>
      <c r="B150" s="112">
        <v>380.0</v>
      </c>
      <c r="C150" s="59">
        <v>70.52</v>
      </c>
      <c r="D150" s="59">
        <v>250.0</v>
      </c>
      <c r="E150" s="59">
        <v>200.0</v>
      </c>
      <c r="F150" s="141">
        <f t="shared" si="90"/>
        <v>900.52</v>
      </c>
      <c r="G150" s="124">
        <v>16.0</v>
      </c>
      <c r="H150" s="124">
        <v>2.0</v>
      </c>
      <c r="I150" s="149">
        <v>190.0</v>
      </c>
    </row>
    <row r="151" ht="12.75" customHeight="1">
      <c r="A151" s="131"/>
      <c r="B151" s="68">
        <f t="shared" ref="B151:I151" si="92">SUM(B146:B150)</f>
        <v>1230</v>
      </c>
      <c r="C151" s="68">
        <f t="shared" si="92"/>
        <v>584.66</v>
      </c>
      <c r="D151" s="68">
        <f t="shared" si="92"/>
        <v>1420</v>
      </c>
      <c r="E151" s="68">
        <f t="shared" si="92"/>
        <v>360</v>
      </c>
      <c r="F151" s="68">
        <f t="shared" si="92"/>
        <v>3594.66</v>
      </c>
      <c r="G151" s="147">
        <f t="shared" si="92"/>
        <v>85</v>
      </c>
      <c r="H151" s="147">
        <f t="shared" si="92"/>
        <v>15</v>
      </c>
      <c r="I151" s="91">
        <f t="shared" si="92"/>
        <v>360</v>
      </c>
    </row>
    <row r="152" ht="12.75" customHeight="1">
      <c r="A152" s="148"/>
      <c r="B152" s="75"/>
      <c r="C152" s="75"/>
      <c r="D152" s="75"/>
      <c r="E152" s="75"/>
      <c r="F152" s="75"/>
      <c r="G152" s="75"/>
      <c r="H152" s="75"/>
      <c r="I152" s="74"/>
    </row>
    <row r="153" ht="12.75" customHeight="1">
      <c r="A153" s="97">
        <f>A150+3</f>
        <v>42884</v>
      </c>
      <c r="B153" s="112">
        <v>560.0</v>
      </c>
      <c r="C153" s="59">
        <v>120.22</v>
      </c>
      <c r="D153" s="59">
        <v>410.0</v>
      </c>
      <c r="E153" s="59">
        <v>220.0</v>
      </c>
      <c r="F153" s="141">
        <f t="shared" ref="F153:F155" si="93">SUM(B153:E153)</f>
        <v>1310.22</v>
      </c>
      <c r="G153" s="124">
        <v>27.0</v>
      </c>
      <c r="H153" s="124">
        <v>3.0</v>
      </c>
      <c r="I153" s="149">
        <v>250.0</v>
      </c>
    </row>
    <row r="154" ht="12.75" customHeight="1">
      <c r="A154" s="97">
        <f t="shared" ref="A154:A155" si="94">A153+1</f>
        <v>42885</v>
      </c>
      <c r="B154" s="112">
        <v>500.0</v>
      </c>
      <c r="C154" s="59">
        <v>40.66</v>
      </c>
      <c r="D154" s="59">
        <v>510.0</v>
      </c>
      <c r="E154" s="59"/>
      <c r="F154" s="141">
        <f t="shared" si="93"/>
        <v>1050.66</v>
      </c>
      <c r="G154" s="124">
        <v>20.0</v>
      </c>
      <c r="H154" s="124">
        <v>1.0</v>
      </c>
      <c r="I154" s="149"/>
    </row>
    <row r="155" ht="12.75" customHeight="1">
      <c r="A155" s="97">
        <f t="shared" si="94"/>
        <v>42886</v>
      </c>
      <c r="B155" s="112">
        <v>380.0</v>
      </c>
      <c r="C155" s="59">
        <v>233.4</v>
      </c>
      <c r="D155" s="59">
        <v>500.0</v>
      </c>
      <c r="E155" s="59">
        <v>120.0</v>
      </c>
      <c r="F155" s="141">
        <f t="shared" si="93"/>
        <v>1233.4</v>
      </c>
      <c r="G155" s="124">
        <v>27.0</v>
      </c>
      <c r="H155" s="124">
        <v>6.0</v>
      </c>
      <c r="I155" s="149">
        <v>120.0</v>
      </c>
    </row>
    <row r="156" ht="12.75" customHeight="1">
      <c r="A156" s="131"/>
      <c r="B156" s="68">
        <f t="shared" ref="B156:I156" si="95">SUM(B153:B155)</f>
        <v>1440</v>
      </c>
      <c r="C156" s="68">
        <f t="shared" si="95"/>
        <v>394.28</v>
      </c>
      <c r="D156" s="68">
        <f t="shared" si="95"/>
        <v>1420</v>
      </c>
      <c r="E156" s="68">
        <f t="shared" si="95"/>
        <v>340</v>
      </c>
      <c r="F156" s="68">
        <f t="shared" si="95"/>
        <v>3594.28</v>
      </c>
      <c r="G156" s="147">
        <f t="shared" si="95"/>
        <v>74</v>
      </c>
      <c r="H156" s="147">
        <f t="shared" si="95"/>
        <v>10</v>
      </c>
      <c r="I156" s="91">
        <f t="shared" si="95"/>
        <v>370</v>
      </c>
    </row>
    <row r="157" ht="12.75" customHeight="1">
      <c r="A157" s="148"/>
      <c r="B157" s="75"/>
      <c r="C157" s="75"/>
      <c r="D157" s="75"/>
      <c r="E157" s="75"/>
      <c r="F157" s="75"/>
      <c r="G157" s="75"/>
      <c r="H157" s="75"/>
      <c r="I157" s="74"/>
    </row>
    <row r="158" ht="12.75" customHeight="1">
      <c r="A158" s="80">
        <v>42887.0</v>
      </c>
      <c r="B158" s="59">
        <v>510.0</v>
      </c>
      <c r="C158" s="59">
        <v>275.12</v>
      </c>
      <c r="D158" s="59">
        <v>1210.0</v>
      </c>
      <c r="E158" s="59">
        <v>160.0</v>
      </c>
      <c r="F158" s="60">
        <f t="shared" ref="F158:F159" si="96">SUM(B158:E158)</f>
        <v>2155.12</v>
      </c>
      <c r="G158" s="59">
        <v>39.0</v>
      </c>
      <c r="H158" s="59">
        <v>6.0</v>
      </c>
      <c r="I158" s="61">
        <v>150.0</v>
      </c>
    </row>
    <row r="159" ht="12.75" customHeight="1">
      <c r="A159" s="80">
        <f>A158+1</f>
        <v>42888</v>
      </c>
      <c r="B159" s="59">
        <v>270.0</v>
      </c>
      <c r="C159" s="59">
        <v>195.2</v>
      </c>
      <c r="D159" s="59">
        <v>740.0</v>
      </c>
      <c r="E159" s="59">
        <v>80.0</v>
      </c>
      <c r="F159" s="60">
        <f t="shared" si="96"/>
        <v>1285.2</v>
      </c>
      <c r="G159" s="59">
        <v>24.0</v>
      </c>
      <c r="H159" s="59">
        <v>4.0</v>
      </c>
      <c r="I159" s="153">
        <v>80.0</v>
      </c>
    </row>
    <row r="160" ht="12.75" customHeight="1">
      <c r="A160" s="67"/>
      <c r="B160" s="68">
        <f t="shared" ref="B160:I160" si="97">SUM(B158:B159)</f>
        <v>780</v>
      </c>
      <c r="C160" s="69">
        <f t="shared" si="97"/>
        <v>470.32</v>
      </c>
      <c r="D160" s="69">
        <f t="shared" si="97"/>
        <v>1950</v>
      </c>
      <c r="E160" s="69">
        <f t="shared" si="97"/>
        <v>240</v>
      </c>
      <c r="F160" s="69">
        <f t="shared" si="97"/>
        <v>3440.32</v>
      </c>
      <c r="G160" s="70">
        <f t="shared" si="97"/>
        <v>63</v>
      </c>
      <c r="H160" s="70">
        <f t="shared" si="97"/>
        <v>10</v>
      </c>
      <c r="I160" s="71">
        <f t="shared" si="97"/>
        <v>230</v>
      </c>
    </row>
    <row r="161" ht="12.75" customHeight="1">
      <c r="A161" s="74"/>
      <c r="B161" s="75"/>
      <c r="C161" s="76"/>
      <c r="D161" s="76"/>
      <c r="E161" s="76"/>
      <c r="F161" s="76"/>
      <c r="G161" s="76"/>
      <c r="H161" s="76"/>
      <c r="I161" s="77"/>
    </row>
    <row r="162" ht="12.75" customHeight="1">
      <c r="A162" s="58">
        <f>A159+3</f>
        <v>42891</v>
      </c>
      <c r="B162" s="154"/>
      <c r="C162" s="154"/>
      <c r="D162" s="154"/>
      <c r="E162" s="154"/>
      <c r="F162" s="85">
        <f t="shared" ref="F162:F166" si="98">SUM(B162:E162)</f>
        <v>0</v>
      </c>
      <c r="G162" s="154"/>
      <c r="H162" s="154"/>
      <c r="I162" s="154"/>
    </row>
    <row r="163" ht="12.75" customHeight="1">
      <c r="A163" s="58">
        <f t="shared" ref="A163:A166" si="99">A162+1</f>
        <v>42892</v>
      </c>
      <c r="B163" s="59">
        <v>330.0</v>
      </c>
      <c r="C163" s="59">
        <v>86.66</v>
      </c>
      <c r="D163" s="59">
        <v>700.0</v>
      </c>
      <c r="E163" s="59"/>
      <c r="F163" s="60">
        <f t="shared" si="98"/>
        <v>1116.66</v>
      </c>
      <c r="G163" s="59">
        <v>21.0</v>
      </c>
      <c r="H163" s="59">
        <v>2.0</v>
      </c>
      <c r="I163" s="153"/>
    </row>
    <row r="164" ht="12.75" customHeight="1">
      <c r="A164" s="58">
        <f t="shared" si="99"/>
        <v>42893</v>
      </c>
      <c r="B164" s="59">
        <v>180.0</v>
      </c>
      <c r="C164" s="59">
        <v>260.63</v>
      </c>
      <c r="D164" s="66">
        <v>520.0</v>
      </c>
      <c r="E164" s="59">
        <v>90.0</v>
      </c>
      <c r="F164" s="60">
        <f t="shared" si="98"/>
        <v>1050.63</v>
      </c>
      <c r="G164" s="59">
        <v>23.0</v>
      </c>
      <c r="H164" s="59">
        <v>7.0</v>
      </c>
      <c r="I164" s="153">
        <v>90.0</v>
      </c>
    </row>
    <row r="165" ht="12.75" customHeight="1">
      <c r="A165" s="58">
        <f t="shared" si="99"/>
        <v>42894</v>
      </c>
      <c r="B165" s="59">
        <v>830.0</v>
      </c>
      <c r="C165" s="59">
        <v>151.38</v>
      </c>
      <c r="D165" s="59">
        <v>660.0</v>
      </c>
      <c r="E165" s="59">
        <v>190.0</v>
      </c>
      <c r="F165" s="60">
        <f t="shared" si="98"/>
        <v>1831.38</v>
      </c>
      <c r="G165" s="59">
        <v>34.0</v>
      </c>
      <c r="H165" s="59">
        <v>3.0</v>
      </c>
      <c r="I165" s="153">
        <v>190.0</v>
      </c>
    </row>
    <row r="166" ht="12.75" customHeight="1">
      <c r="A166" s="58">
        <f t="shared" si="99"/>
        <v>42895</v>
      </c>
      <c r="B166" s="59">
        <v>280.0</v>
      </c>
      <c r="C166" s="59">
        <v>121.98</v>
      </c>
      <c r="D166" s="59">
        <v>620.0</v>
      </c>
      <c r="E166" s="59">
        <v>220.0</v>
      </c>
      <c r="F166" s="60">
        <f t="shared" si="98"/>
        <v>1241.98</v>
      </c>
      <c r="G166" s="59">
        <v>22.0</v>
      </c>
      <c r="H166" s="59">
        <v>3.0</v>
      </c>
      <c r="I166" s="153">
        <v>220.0</v>
      </c>
    </row>
    <row r="167" ht="12.75" customHeight="1">
      <c r="A167" s="67"/>
      <c r="B167" s="68">
        <f t="shared" ref="B167:I167" si="100">SUM(B162:B166)</f>
        <v>1620</v>
      </c>
      <c r="C167" s="68">
        <f t="shared" si="100"/>
        <v>620.65</v>
      </c>
      <c r="D167" s="68">
        <f t="shared" si="100"/>
        <v>2500</v>
      </c>
      <c r="E167" s="68">
        <f t="shared" si="100"/>
        <v>500</v>
      </c>
      <c r="F167" s="68">
        <f t="shared" si="100"/>
        <v>5240.65</v>
      </c>
      <c r="G167" s="70">
        <f t="shared" si="100"/>
        <v>100</v>
      </c>
      <c r="H167" s="70">
        <f t="shared" si="100"/>
        <v>15</v>
      </c>
      <c r="I167" s="91">
        <f t="shared" si="100"/>
        <v>500</v>
      </c>
    </row>
    <row r="168" ht="12.75" customHeight="1">
      <c r="A168" s="74"/>
      <c r="B168" s="75"/>
      <c r="C168" s="75"/>
      <c r="D168" s="75"/>
      <c r="E168" s="75"/>
      <c r="F168" s="75"/>
      <c r="G168" s="76"/>
      <c r="H168" s="76"/>
      <c r="I168" s="74"/>
    </row>
    <row r="169" ht="12.75" customHeight="1">
      <c r="A169" s="58">
        <f>A166+3</f>
        <v>42898</v>
      </c>
      <c r="B169" s="81">
        <v>770.0</v>
      </c>
      <c r="C169" s="81">
        <v>118.46</v>
      </c>
      <c r="D169" s="81">
        <v>1000.0</v>
      </c>
      <c r="E169" s="81">
        <v>110.0</v>
      </c>
      <c r="F169" s="60">
        <f t="shared" ref="F169:F173" si="101">SUM(B169:E169)</f>
        <v>1998.46</v>
      </c>
      <c r="G169" s="81">
        <v>33.0</v>
      </c>
      <c r="H169" s="81">
        <v>3.0</v>
      </c>
      <c r="I169" s="81">
        <v>110.0</v>
      </c>
    </row>
    <row r="170" ht="12.75" customHeight="1">
      <c r="A170" s="58">
        <f t="shared" ref="A170:A173" si="102">A169+1</f>
        <v>42899</v>
      </c>
      <c r="B170" s="81">
        <v>250.0</v>
      </c>
      <c r="C170" s="81">
        <v>199.14</v>
      </c>
      <c r="D170" s="81">
        <v>390.0</v>
      </c>
      <c r="E170" s="81">
        <v>40.0</v>
      </c>
      <c r="F170" s="60">
        <f t="shared" si="101"/>
        <v>879.14</v>
      </c>
      <c r="G170" s="81">
        <v>18.0</v>
      </c>
      <c r="H170" s="81">
        <v>4.0</v>
      </c>
      <c r="I170" s="83">
        <v>40.0</v>
      </c>
    </row>
    <row r="171" ht="12.75" customHeight="1">
      <c r="A171" s="58">
        <f t="shared" si="102"/>
        <v>42900</v>
      </c>
      <c r="B171" s="81">
        <v>320.0</v>
      </c>
      <c r="C171" s="81">
        <v>77.8</v>
      </c>
      <c r="D171" s="81">
        <v>540.0</v>
      </c>
      <c r="E171" s="81">
        <v>160.0</v>
      </c>
      <c r="F171" s="60">
        <f t="shared" si="101"/>
        <v>1097.8</v>
      </c>
      <c r="G171" s="81">
        <v>26.0</v>
      </c>
      <c r="H171" s="81">
        <v>3.0</v>
      </c>
      <c r="I171" s="83">
        <v>160.0</v>
      </c>
    </row>
    <row r="172" ht="12.75" customHeight="1">
      <c r="A172" s="58">
        <f t="shared" si="102"/>
        <v>42901</v>
      </c>
      <c r="B172" s="81">
        <v>512.62</v>
      </c>
      <c r="C172" s="81">
        <v>82.72</v>
      </c>
      <c r="D172" s="81">
        <v>1120.0</v>
      </c>
      <c r="E172" s="81">
        <v>100.0</v>
      </c>
      <c r="F172" s="60">
        <f t="shared" si="101"/>
        <v>1815.34</v>
      </c>
      <c r="G172" s="81">
        <v>34.0</v>
      </c>
      <c r="H172" s="81">
        <v>3.0</v>
      </c>
      <c r="I172" s="83">
        <v>110.0</v>
      </c>
    </row>
    <row r="173" ht="12.75" customHeight="1">
      <c r="A173" s="58">
        <f t="shared" si="102"/>
        <v>42902</v>
      </c>
      <c r="B173" s="81">
        <v>120.0</v>
      </c>
      <c r="C173" s="81">
        <v>81.32</v>
      </c>
      <c r="D173" s="81">
        <v>740.0</v>
      </c>
      <c r="E173" s="81">
        <v>130.0</v>
      </c>
      <c r="F173" s="60">
        <f t="shared" si="101"/>
        <v>1071.32</v>
      </c>
      <c r="G173" s="81">
        <v>19.0</v>
      </c>
      <c r="H173" s="81">
        <v>2.0</v>
      </c>
      <c r="I173" s="83">
        <v>140.0</v>
      </c>
    </row>
    <row r="174" ht="12.75" customHeight="1">
      <c r="A174" s="67"/>
      <c r="B174" s="68">
        <f t="shared" ref="B174:I174" si="103">SUM(B169:B173)</f>
        <v>1972.62</v>
      </c>
      <c r="C174" s="68">
        <f t="shared" si="103"/>
        <v>559.44</v>
      </c>
      <c r="D174" s="68">
        <f t="shared" si="103"/>
        <v>3790</v>
      </c>
      <c r="E174" s="68">
        <f t="shared" si="103"/>
        <v>540</v>
      </c>
      <c r="F174" s="68">
        <f t="shared" si="103"/>
        <v>6862.06</v>
      </c>
      <c r="G174" s="70">
        <f t="shared" si="103"/>
        <v>130</v>
      </c>
      <c r="H174" s="70">
        <f t="shared" si="103"/>
        <v>15</v>
      </c>
      <c r="I174" s="91">
        <f t="shared" si="103"/>
        <v>560</v>
      </c>
    </row>
    <row r="175" ht="12.75" customHeight="1">
      <c r="A175" s="74"/>
      <c r="B175" s="92"/>
      <c r="C175" s="92"/>
      <c r="D175" s="92"/>
      <c r="E175" s="92"/>
      <c r="F175" s="75"/>
      <c r="G175" s="93"/>
      <c r="H175" s="93"/>
      <c r="I175" s="94"/>
    </row>
    <row r="176" ht="12.75" customHeight="1">
      <c r="A176" s="97">
        <f>A173+3</f>
        <v>42905</v>
      </c>
      <c r="B176" s="81">
        <v>120.0</v>
      </c>
      <c r="C176" s="81">
        <v>121.98</v>
      </c>
      <c r="D176" s="81">
        <v>620.0</v>
      </c>
      <c r="E176" s="81">
        <v>40.0</v>
      </c>
      <c r="F176" s="60">
        <f t="shared" ref="F176:F180" si="104">SUM(B176:E176)</f>
        <v>901.98</v>
      </c>
      <c r="G176" s="81">
        <v>19.0</v>
      </c>
      <c r="H176" s="81">
        <v>3.0</v>
      </c>
      <c r="I176" s="81">
        <v>40.0</v>
      </c>
    </row>
    <row r="177" ht="12.75" customHeight="1">
      <c r="A177" s="97">
        <f t="shared" ref="A177:A180" si="105">A176+1</f>
        <v>42906</v>
      </c>
      <c r="B177" s="81">
        <v>290.0</v>
      </c>
      <c r="C177" s="81">
        <v>40.66</v>
      </c>
      <c r="D177" s="81">
        <v>630.0</v>
      </c>
      <c r="E177" s="81">
        <v>90.0</v>
      </c>
      <c r="F177" s="60">
        <f t="shared" si="104"/>
        <v>1050.66</v>
      </c>
      <c r="G177" s="81">
        <v>20.0</v>
      </c>
      <c r="H177" s="81">
        <v>1.0</v>
      </c>
      <c r="I177" s="83">
        <v>90.0</v>
      </c>
    </row>
    <row r="178" ht="12.75" customHeight="1">
      <c r="A178" s="97">
        <f t="shared" si="105"/>
        <v>42907</v>
      </c>
      <c r="B178" s="81">
        <v>400.0</v>
      </c>
      <c r="C178" s="81">
        <v>201.6</v>
      </c>
      <c r="D178" s="81">
        <v>440.0</v>
      </c>
      <c r="E178" s="81">
        <v>60.0</v>
      </c>
      <c r="F178" s="60">
        <f t="shared" si="104"/>
        <v>1101.6</v>
      </c>
      <c r="G178" s="81">
        <v>24.0</v>
      </c>
      <c r="H178" s="81">
        <v>5.0</v>
      </c>
      <c r="I178" s="83">
        <v>60.0</v>
      </c>
    </row>
    <row r="179" ht="12.75" customHeight="1">
      <c r="A179" s="97">
        <f t="shared" si="105"/>
        <v>42908</v>
      </c>
      <c r="B179" s="81">
        <v>290.0</v>
      </c>
      <c r="C179" s="81">
        <v>79.56</v>
      </c>
      <c r="D179" s="81">
        <v>1240.0</v>
      </c>
      <c r="E179" s="81">
        <v>40.0</v>
      </c>
      <c r="F179" s="60">
        <f t="shared" si="104"/>
        <v>1649.56</v>
      </c>
      <c r="G179" s="81">
        <v>31.0</v>
      </c>
      <c r="H179" s="81">
        <v>2.0</v>
      </c>
      <c r="I179" s="83">
        <v>40.0</v>
      </c>
    </row>
    <row r="180" ht="12.75" customHeight="1">
      <c r="A180" s="97">
        <f t="shared" si="105"/>
        <v>42909</v>
      </c>
      <c r="B180" s="84"/>
      <c r="C180" s="84"/>
      <c r="D180" s="84"/>
      <c r="E180" s="84"/>
      <c r="F180" s="85">
        <f t="shared" si="104"/>
        <v>0</v>
      </c>
      <c r="G180" s="84"/>
      <c r="H180" s="84"/>
      <c r="I180" s="86"/>
    </row>
    <row r="181" ht="12.75" customHeight="1">
      <c r="A181" s="131"/>
      <c r="B181" s="68">
        <f t="shared" ref="B181:I181" si="106">SUM(B176:B180)</f>
        <v>1100</v>
      </c>
      <c r="C181" s="132">
        <f t="shared" si="106"/>
        <v>443.8</v>
      </c>
      <c r="D181" s="132">
        <f t="shared" si="106"/>
        <v>2930</v>
      </c>
      <c r="E181" s="132">
        <f t="shared" si="106"/>
        <v>230</v>
      </c>
      <c r="F181" s="132">
        <f t="shared" si="106"/>
        <v>4703.8</v>
      </c>
      <c r="G181" s="155">
        <f t="shared" si="106"/>
        <v>94</v>
      </c>
      <c r="H181" s="155">
        <f t="shared" si="106"/>
        <v>11</v>
      </c>
      <c r="I181" s="134">
        <f t="shared" si="106"/>
        <v>230</v>
      </c>
    </row>
    <row r="182" ht="12.75" customHeight="1">
      <c r="A182" s="148"/>
      <c r="B182" s="75"/>
      <c r="C182" s="136"/>
      <c r="D182" s="136"/>
      <c r="E182" s="136"/>
      <c r="F182" s="136"/>
      <c r="G182" s="136"/>
      <c r="H182" s="136"/>
      <c r="I182" s="137"/>
    </row>
    <row r="183" ht="12.75" customHeight="1">
      <c r="A183" s="97">
        <f>A180+3</f>
        <v>42912</v>
      </c>
      <c r="B183" s="81">
        <v>80.0</v>
      </c>
      <c r="C183" s="81">
        <v>79.55</v>
      </c>
      <c r="D183" s="81">
        <v>300.0</v>
      </c>
      <c r="E183" s="81">
        <v>80.0</v>
      </c>
      <c r="F183" s="60">
        <f t="shared" ref="F183:F192" si="107">SUM(B183:E183)</f>
        <v>539.55</v>
      </c>
      <c r="G183" s="81">
        <v>13.0</v>
      </c>
      <c r="H183" s="81">
        <v>2.0</v>
      </c>
      <c r="I183" s="81">
        <v>100.0</v>
      </c>
    </row>
    <row r="184" ht="12.75" customHeight="1">
      <c r="A184" s="97">
        <f t="shared" ref="A184:A187" si="108">A183+1</f>
        <v>42913</v>
      </c>
      <c r="B184" s="81">
        <v>300.0</v>
      </c>
      <c r="C184" s="81">
        <v>192.04</v>
      </c>
      <c r="D184" s="81">
        <v>720.0</v>
      </c>
      <c r="E184" s="81">
        <v>90.0</v>
      </c>
      <c r="F184" s="60">
        <f t="shared" si="107"/>
        <v>1302.04</v>
      </c>
      <c r="G184" s="81">
        <v>22.0</v>
      </c>
      <c r="H184" s="81">
        <v>4.0</v>
      </c>
      <c r="I184" s="81">
        <v>100.0</v>
      </c>
    </row>
    <row r="185" ht="12.75" customHeight="1">
      <c r="A185" s="97">
        <f t="shared" si="108"/>
        <v>42914</v>
      </c>
      <c r="B185" s="81">
        <v>480.0</v>
      </c>
      <c r="C185" s="81">
        <v>194.5</v>
      </c>
      <c r="D185" s="81">
        <v>500.0</v>
      </c>
      <c r="E185" s="81">
        <v>80.0</v>
      </c>
      <c r="F185" s="60">
        <f t="shared" si="107"/>
        <v>1254.5</v>
      </c>
      <c r="G185" s="81">
        <v>27.0</v>
      </c>
      <c r="H185" s="81">
        <v>5.0</v>
      </c>
      <c r="I185" s="81">
        <v>80.0</v>
      </c>
    </row>
    <row r="186" ht="12.75" customHeight="1">
      <c r="A186" s="97">
        <f t="shared" si="108"/>
        <v>42915</v>
      </c>
      <c r="B186" s="81">
        <v>550.0</v>
      </c>
      <c r="C186" s="81">
        <v>242.2</v>
      </c>
      <c r="D186" s="81">
        <v>850.0</v>
      </c>
      <c r="E186" s="81">
        <v>220.0</v>
      </c>
      <c r="F186" s="60">
        <f t="shared" si="107"/>
        <v>1862.2</v>
      </c>
      <c r="G186" s="81">
        <v>34.0</v>
      </c>
      <c r="H186" s="81">
        <v>6.0</v>
      </c>
      <c r="I186" s="81">
        <v>220.0</v>
      </c>
    </row>
    <row r="187" ht="12.75" customHeight="1">
      <c r="A187" s="97">
        <f t="shared" si="108"/>
        <v>42916</v>
      </c>
      <c r="B187" s="81">
        <v>300.0</v>
      </c>
      <c r="C187" s="81">
        <v>281.86</v>
      </c>
      <c r="D187" s="81">
        <v>550.0</v>
      </c>
      <c r="E187" s="81">
        <v>90.0</v>
      </c>
      <c r="F187" s="60">
        <f t="shared" si="107"/>
        <v>1221.86</v>
      </c>
      <c r="G187" s="81">
        <v>25.0</v>
      </c>
      <c r="H187" s="81">
        <v>7.0</v>
      </c>
      <c r="I187" s="81">
        <v>100.0</v>
      </c>
    </row>
    <row r="188" ht="12.75" customHeight="1">
      <c r="A188" s="58">
        <v>42919.0</v>
      </c>
      <c r="B188" s="59">
        <v>190.0</v>
      </c>
      <c r="C188" s="59">
        <v>81.32</v>
      </c>
      <c r="D188" s="59">
        <v>510.0</v>
      </c>
      <c r="E188" s="59">
        <v>160.0</v>
      </c>
      <c r="F188" s="156">
        <f t="shared" si="107"/>
        <v>941.32</v>
      </c>
      <c r="G188" s="59">
        <v>20.0</v>
      </c>
      <c r="H188" s="59">
        <v>2.0</v>
      </c>
      <c r="I188" s="59">
        <v>140.0</v>
      </c>
    </row>
    <row r="189" ht="12.75" customHeight="1">
      <c r="A189" s="58">
        <f t="shared" ref="A189:A192" si="109">A188+1</f>
        <v>42920</v>
      </c>
      <c r="B189" s="59">
        <v>300.0</v>
      </c>
      <c r="C189" s="59">
        <v>34.45</v>
      </c>
      <c r="D189" s="59">
        <v>580.0</v>
      </c>
      <c r="E189" s="59">
        <v>100.0</v>
      </c>
      <c r="F189" s="156">
        <f t="shared" si="107"/>
        <v>1014.45</v>
      </c>
      <c r="G189" s="59">
        <v>20.0</v>
      </c>
      <c r="H189" s="59">
        <v>7.0</v>
      </c>
      <c r="I189" s="59">
        <v>100.0</v>
      </c>
    </row>
    <row r="190" ht="12.75" customHeight="1">
      <c r="A190" s="58">
        <f t="shared" si="109"/>
        <v>42921</v>
      </c>
      <c r="B190" s="59">
        <v>140.0</v>
      </c>
      <c r="C190" s="59">
        <v>194.5</v>
      </c>
      <c r="D190" s="59">
        <v>680.0</v>
      </c>
      <c r="E190" s="59"/>
      <c r="F190" s="156">
        <f t="shared" si="107"/>
        <v>1014.5</v>
      </c>
      <c r="G190" s="59">
        <v>22.0</v>
      </c>
      <c r="H190" s="59">
        <v>5.0</v>
      </c>
      <c r="I190" s="59"/>
    </row>
    <row r="191" ht="12.75" customHeight="1">
      <c r="A191" s="58">
        <f t="shared" si="109"/>
        <v>42922</v>
      </c>
      <c r="B191" s="59">
        <v>610.0</v>
      </c>
      <c r="C191" s="59">
        <v>153.14</v>
      </c>
      <c r="D191" s="59">
        <v>1080.0</v>
      </c>
      <c r="E191" s="59">
        <v>130.0</v>
      </c>
      <c r="F191" s="156">
        <f t="shared" si="107"/>
        <v>1973.14</v>
      </c>
      <c r="G191" s="59">
        <v>32.0</v>
      </c>
      <c r="H191" s="59">
        <v>3.0</v>
      </c>
      <c r="I191" s="59">
        <v>120.0</v>
      </c>
    </row>
    <row r="192" ht="12.75" customHeight="1">
      <c r="A192" s="58">
        <f t="shared" si="109"/>
        <v>42923</v>
      </c>
      <c r="B192" s="59">
        <v>540.0</v>
      </c>
      <c r="C192" s="59">
        <v>121.98</v>
      </c>
      <c r="D192" s="59">
        <v>730.0</v>
      </c>
      <c r="E192" s="59">
        <v>90.0</v>
      </c>
      <c r="F192" s="156">
        <f t="shared" si="107"/>
        <v>1481.98</v>
      </c>
      <c r="G192" s="59">
        <v>30.0</v>
      </c>
      <c r="H192" s="59">
        <v>3.0</v>
      </c>
      <c r="I192" s="59">
        <v>100.0</v>
      </c>
    </row>
    <row r="193" ht="12.75" customHeight="1">
      <c r="A193" s="67"/>
      <c r="B193" s="68">
        <f t="shared" ref="B193:I193" si="110">SUM(B188:B192)</f>
        <v>1780</v>
      </c>
      <c r="C193" s="68">
        <f t="shared" si="110"/>
        <v>585.39</v>
      </c>
      <c r="D193" s="68">
        <f t="shared" si="110"/>
        <v>3580</v>
      </c>
      <c r="E193" s="68">
        <f t="shared" si="110"/>
        <v>480</v>
      </c>
      <c r="F193" s="157">
        <f t="shared" si="110"/>
        <v>6425.39</v>
      </c>
      <c r="G193" s="70">
        <f t="shared" si="110"/>
        <v>124</v>
      </c>
      <c r="H193" s="70">
        <f t="shared" si="110"/>
        <v>20</v>
      </c>
      <c r="I193" s="91">
        <f t="shared" si="110"/>
        <v>460</v>
      </c>
    </row>
    <row r="194" ht="12.75" customHeight="1">
      <c r="A194" s="74"/>
      <c r="B194" s="92"/>
      <c r="C194" s="92"/>
      <c r="D194" s="92"/>
      <c r="E194" s="92"/>
      <c r="F194" s="75"/>
      <c r="G194" s="93"/>
      <c r="H194" s="93"/>
      <c r="I194" s="94"/>
    </row>
    <row r="195" ht="12.75" customHeight="1">
      <c r="A195" s="97">
        <f>A192+3</f>
        <v>42926</v>
      </c>
      <c r="B195" s="98">
        <v>220.0</v>
      </c>
      <c r="C195" s="99">
        <v>319.0</v>
      </c>
      <c r="D195" s="99">
        <v>950.0</v>
      </c>
      <c r="E195" s="99"/>
      <c r="F195" s="158">
        <f t="shared" ref="F195:F198" si="111">SUM(B195:E195)</f>
        <v>1489</v>
      </c>
      <c r="G195" s="99">
        <v>33.0</v>
      </c>
      <c r="H195" s="99">
        <v>7.0</v>
      </c>
      <c r="I195" s="99"/>
    </row>
    <row r="196" ht="12.75" customHeight="1">
      <c r="A196" s="97">
        <f t="shared" ref="A196:A199" si="112">A195+1</f>
        <v>42927</v>
      </c>
      <c r="B196" s="112">
        <v>400.0</v>
      </c>
      <c r="C196" s="124">
        <v>40.66</v>
      </c>
      <c r="D196" s="124">
        <v>640.0</v>
      </c>
      <c r="E196" s="124"/>
      <c r="F196" s="158">
        <f t="shared" si="111"/>
        <v>1080.66</v>
      </c>
      <c r="G196" s="124">
        <v>24.0</v>
      </c>
      <c r="H196" s="124">
        <v>1.0</v>
      </c>
      <c r="I196" s="124"/>
    </row>
    <row r="197" ht="12.75" customHeight="1">
      <c r="A197" s="97">
        <f t="shared" si="112"/>
        <v>42928</v>
      </c>
      <c r="B197" s="112">
        <v>500.0</v>
      </c>
      <c r="C197" s="124">
        <v>233.4</v>
      </c>
      <c r="D197" s="124">
        <v>300.0</v>
      </c>
      <c r="E197" s="124">
        <v>60.0</v>
      </c>
      <c r="F197" s="158">
        <f t="shared" si="111"/>
        <v>1093.4</v>
      </c>
      <c r="G197" s="124">
        <v>23.0</v>
      </c>
      <c r="H197" s="124">
        <v>6.0</v>
      </c>
      <c r="I197" s="124">
        <v>70.0</v>
      </c>
    </row>
    <row r="198" ht="12.75" customHeight="1">
      <c r="A198" s="97">
        <f t="shared" si="112"/>
        <v>42929</v>
      </c>
      <c r="B198" s="112">
        <v>460.0</v>
      </c>
      <c r="C198" s="124">
        <v>153.14</v>
      </c>
      <c r="D198" s="124">
        <v>780.0</v>
      </c>
      <c r="E198" s="124">
        <v>170.0</v>
      </c>
      <c r="F198" s="158">
        <f t="shared" si="111"/>
        <v>1563.14</v>
      </c>
      <c r="G198" s="124">
        <v>35.0</v>
      </c>
      <c r="H198" s="124">
        <v>3.0</v>
      </c>
      <c r="I198" s="124">
        <v>170.0</v>
      </c>
    </row>
    <row r="199" ht="12.75" customHeight="1">
      <c r="A199" s="97">
        <f t="shared" si="112"/>
        <v>42930</v>
      </c>
      <c r="B199" s="150"/>
      <c r="C199" s="119"/>
      <c r="D199" s="119"/>
      <c r="E199" s="119"/>
      <c r="F199" s="159"/>
      <c r="G199" s="119"/>
      <c r="H199" s="119"/>
      <c r="I199" s="119"/>
    </row>
    <row r="200" ht="12.75" customHeight="1">
      <c r="A200" s="67"/>
      <c r="B200" s="121">
        <f t="shared" ref="B200:I200" si="113">SUM(B195:B199)</f>
        <v>1580</v>
      </c>
      <c r="C200" s="121">
        <f t="shared" si="113"/>
        <v>746.2</v>
      </c>
      <c r="D200" s="121">
        <f t="shared" si="113"/>
        <v>2670</v>
      </c>
      <c r="E200" s="121">
        <f t="shared" si="113"/>
        <v>230</v>
      </c>
      <c r="F200" s="160">
        <f t="shared" si="113"/>
        <v>5226.2</v>
      </c>
      <c r="G200" s="70">
        <f t="shared" si="113"/>
        <v>115</v>
      </c>
      <c r="H200" s="70">
        <f t="shared" si="113"/>
        <v>17</v>
      </c>
      <c r="I200" s="91">
        <f t="shared" si="113"/>
        <v>240</v>
      </c>
    </row>
    <row r="201" ht="12.75" customHeight="1">
      <c r="A201" s="74"/>
      <c r="B201" s="75"/>
      <c r="C201" s="75"/>
      <c r="D201" s="75"/>
      <c r="E201" s="75"/>
      <c r="F201" s="75"/>
      <c r="G201" s="76"/>
      <c r="H201" s="76"/>
      <c r="I201" s="74"/>
    </row>
    <row r="202" ht="12.75" customHeight="1">
      <c r="A202" s="161">
        <f>A199+3</f>
        <v>42933</v>
      </c>
      <c r="B202" s="112">
        <v>340.0</v>
      </c>
      <c r="C202" s="112">
        <v>82.72</v>
      </c>
      <c r="D202" s="112">
        <v>420.0</v>
      </c>
      <c r="E202" s="112">
        <v>40.0</v>
      </c>
      <c r="F202" s="158">
        <f t="shared" ref="F202:F206" si="114">SUM(B202:E202)</f>
        <v>882.72</v>
      </c>
      <c r="G202" s="112">
        <v>18.0</v>
      </c>
      <c r="H202" s="112">
        <v>2.0</v>
      </c>
      <c r="I202" s="112">
        <v>40.0</v>
      </c>
    </row>
    <row r="203" ht="12.75" customHeight="1">
      <c r="A203" s="162">
        <f t="shared" ref="A203:A206" si="115">A202+1</f>
        <v>42934</v>
      </c>
      <c r="B203" s="112">
        <v>180.0</v>
      </c>
      <c r="C203" s="112">
        <v>40.66</v>
      </c>
      <c r="D203" s="112">
        <v>460.0</v>
      </c>
      <c r="E203" s="112">
        <v>180.0</v>
      </c>
      <c r="F203" s="158">
        <f t="shared" si="114"/>
        <v>860.66</v>
      </c>
      <c r="G203" s="112">
        <v>18.0</v>
      </c>
      <c r="H203" s="112">
        <v>1.0</v>
      </c>
      <c r="I203" s="112">
        <v>170.0</v>
      </c>
    </row>
    <row r="204" ht="12.75" customHeight="1">
      <c r="A204" s="162">
        <f t="shared" si="115"/>
        <v>42935</v>
      </c>
      <c r="B204" s="66">
        <v>420.0</v>
      </c>
      <c r="C204" s="112"/>
      <c r="D204" s="112">
        <v>260.0</v>
      </c>
      <c r="E204" s="112">
        <v>40.0</v>
      </c>
      <c r="F204" s="158">
        <f t="shared" si="114"/>
        <v>720</v>
      </c>
      <c r="G204" s="112">
        <v>15.0</v>
      </c>
      <c r="H204" s="112"/>
      <c r="I204" s="112">
        <v>40.0</v>
      </c>
    </row>
    <row r="205" ht="12.75" customHeight="1">
      <c r="A205" s="162">
        <f t="shared" si="115"/>
        <v>42936</v>
      </c>
      <c r="B205" s="112">
        <v>210.0</v>
      </c>
      <c r="C205" s="112">
        <v>121.98</v>
      </c>
      <c r="D205" s="112">
        <v>1230.0</v>
      </c>
      <c r="E205" s="112">
        <v>160.0</v>
      </c>
      <c r="F205" s="158">
        <f t="shared" si="114"/>
        <v>1721.98</v>
      </c>
      <c r="G205" s="112">
        <v>32.0</v>
      </c>
      <c r="H205" s="112">
        <v>3.0</v>
      </c>
      <c r="I205" s="112">
        <v>130.0</v>
      </c>
    </row>
    <row r="206" ht="12.75" customHeight="1">
      <c r="A206" s="163">
        <f t="shared" si="115"/>
        <v>42937</v>
      </c>
      <c r="B206" s="112">
        <v>670.0</v>
      </c>
      <c r="C206" s="112">
        <v>121.62</v>
      </c>
      <c r="D206" s="112">
        <v>610.0</v>
      </c>
      <c r="E206" s="112">
        <v>100.0</v>
      </c>
      <c r="F206" s="158">
        <f t="shared" si="114"/>
        <v>1501.62</v>
      </c>
      <c r="G206" s="112">
        <v>27.0</v>
      </c>
      <c r="H206" s="112">
        <v>3.0</v>
      </c>
      <c r="I206" s="112">
        <v>80.0</v>
      </c>
    </row>
    <row r="207" ht="12.75" customHeight="1">
      <c r="A207" s="67"/>
      <c r="B207" s="68">
        <f t="shared" ref="B207:I207" si="116">SUM(B202:B206)</f>
        <v>1820</v>
      </c>
      <c r="C207" s="68">
        <f t="shared" si="116"/>
        <v>366.98</v>
      </c>
      <c r="D207" s="68">
        <f t="shared" si="116"/>
        <v>2980</v>
      </c>
      <c r="E207" s="68">
        <f t="shared" si="116"/>
        <v>520</v>
      </c>
      <c r="F207" s="157">
        <f t="shared" si="116"/>
        <v>5686.98</v>
      </c>
      <c r="G207" s="70">
        <f t="shared" si="116"/>
        <v>110</v>
      </c>
      <c r="H207" s="70">
        <f t="shared" si="116"/>
        <v>9</v>
      </c>
      <c r="I207" s="71">
        <f t="shared" si="116"/>
        <v>460</v>
      </c>
    </row>
    <row r="208" ht="12.75" customHeight="1">
      <c r="A208" s="74"/>
      <c r="B208" s="75"/>
      <c r="C208" s="75"/>
      <c r="D208" s="75"/>
      <c r="E208" s="75"/>
      <c r="F208" s="75"/>
      <c r="G208" s="76"/>
      <c r="H208" s="76"/>
      <c r="I208" s="77"/>
    </row>
    <row r="209" ht="12.75" customHeight="1">
      <c r="A209" s="162">
        <f>A206+3</f>
        <v>42940</v>
      </c>
      <c r="B209" s="112">
        <v>250.0</v>
      </c>
      <c r="C209" s="112">
        <v>305.92</v>
      </c>
      <c r="D209" s="112">
        <v>730.0</v>
      </c>
      <c r="E209" s="112">
        <v>80.0</v>
      </c>
      <c r="F209" s="164">
        <f t="shared" ref="F209:F213" si="117">SUM(B209:E209)</f>
        <v>1365.92</v>
      </c>
      <c r="G209" s="124">
        <v>28.0</v>
      </c>
      <c r="H209" s="124">
        <v>6.0</v>
      </c>
      <c r="I209" s="112">
        <v>80.0</v>
      </c>
    </row>
    <row r="210" ht="12.75" customHeight="1">
      <c r="A210" s="162">
        <f t="shared" ref="A210:A213" si="118">A209+1</f>
        <v>42941</v>
      </c>
      <c r="B210" s="112">
        <v>460.0</v>
      </c>
      <c r="C210" s="112">
        <v>81.32</v>
      </c>
      <c r="D210" s="112">
        <v>330.0</v>
      </c>
      <c r="E210" s="112">
        <v>80.0</v>
      </c>
      <c r="F210" s="164">
        <f t="shared" si="117"/>
        <v>951.32</v>
      </c>
      <c r="G210" s="124">
        <v>18.0</v>
      </c>
      <c r="H210" s="124">
        <v>2.0</v>
      </c>
      <c r="I210" s="112">
        <v>70.0</v>
      </c>
    </row>
    <row r="211" ht="12.75" customHeight="1">
      <c r="A211" s="162">
        <f t="shared" si="118"/>
        <v>42942</v>
      </c>
      <c r="B211" s="112">
        <v>100.0</v>
      </c>
      <c r="C211" s="112">
        <v>168.24</v>
      </c>
      <c r="D211" s="112">
        <v>660.0</v>
      </c>
      <c r="E211" s="112">
        <v>180.0</v>
      </c>
      <c r="F211" s="164">
        <f t="shared" si="117"/>
        <v>1108.24</v>
      </c>
      <c r="G211" s="124">
        <v>21.0</v>
      </c>
      <c r="H211" s="124">
        <v>4.0</v>
      </c>
      <c r="I211" s="112">
        <v>180.0</v>
      </c>
    </row>
    <row r="212" ht="12.75" customHeight="1">
      <c r="A212" s="162">
        <f t="shared" si="118"/>
        <v>42943</v>
      </c>
      <c r="B212" s="112">
        <v>260.0</v>
      </c>
      <c r="C212" s="112">
        <v>321.1</v>
      </c>
      <c r="D212" s="112">
        <v>840.0</v>
      </c>
      <c r="E212" s="112">
        <v>160.0</v>
      </c>
      <c r="F212" s="164">
        <f t="shared" si="117"/>
        <v>1581.1</v>
      </c>
      <c r="G212" s="124">
        <v>31.0</v>
      </c>
      <c r="H212" s="124">
        <v>8.0</v>
      </c>
      <c r="I212" s="112">
        <v>140.0</v>
      </c>
    </row>
    <row r="213" ht="12.75" customHeight="1">
      <c r="A213" s="162">
        <f t="shared" si="118"/>
        <v>42944</v>
      </c>
      <c r="B213" s="112">
        <v>460.0</v>
      </c>
      <c r="C213" s="112">
        <v>160.22</v>
      </c>
      <c r="D213" s="112">
        <v>290.0</v>
      </c>
      <c r="E213" s="112">
        <v>340.0</v>
      </c>
      <c r="F213" s="164">
        <f t="shared" si="117"/>
        <v>1250.22</v>
      </c>
      <c r="G213" s="124">
        <v>24.0</v>
      </c>
      <c r="H213" s="124">
        <v>4.0</v>
      </c>
      <c r="I213" s="112">
        <v>340.0</v>
      </c>
    </row>
    <row r="214" ht="12.75" customHeight="1">
      <c r="A214" s="67"/>
      <c r="B214" s="68">
        <f t="shared" ref="B214:I214" si="119">SUM(B209:B213)</f>
        <v>1530</v>
      </c>
      <c r="C214" s="68">
        <f t="shared" si="119"/>
        <v>1036.8</v>
      </c>
      <c r="D214" s="68">
        <f t="shared" si="119"/>
        <v>2850</v>
      </c>
      <c r="E214" s="68">
        <f t="shared" si="119"/>
        <v>840</v>
      </c>
      <c r="F214" s="157">
        <f t="shared" si="119"/>
        <v>6256.8</v>
      </c>
      <c r="G214" s="70">
        <f t="shared" si="119"/>
        <v>122</v>
      </c>
      <c r="H214" s="70">
        <f t="shared" si="119"/>
        <v>24</v>
      </c>
      <c r="I214" s="91">
        <f t="shared" si="119"/>
        <v>810</v>
      </c>
    </row>
    <row r="215" ht="12.75" customHeight="1">
      <c r="A215" s="74"/>
      <c r="B215" s="75"/>
      <c r="C215" s="75"/>
      <c r="D215" s="75"/>
      <c r="E215" s="75"/>
      <c r="F215" s="75"/>
      <c r="G215" s="76"/>
      <c r="H215" s="76"/>
      <c r="I215" s="74"/>
    </row>
    <row r="216" ht="12.75" customHeight="1">
      <c r="A216" s="162">
        <f>A213+3</f>
        <v>42947</v>
      </c>
      <c r="B216" s="112">
        <v>190.0</v>
      </c>
      <c r="C216" s="112">
        <v>40.66</v>
      </c>
      <c r="D216" s="112">
        <v>620.0</v>
      </c>
      <c r="E216" s="112">
        <v>80.0</v>
      </c>
      <c r="F216" s="164">
        <f>SUM(B216:E216)</f>
        <v>930.66</v>
      </c>
      <c r="G216" s="124">
        <v>20.0</v>
      </c>
      <c r="H216" s="124">
        <v>1.0</v>
      </c>
      <c r="I216" s="112">
        <v>90.0</v>
      </c>
    </row>
    <row r="217" ht="12.75" customHeight="1">
      <c r="A217" s="67"/>
      <c r="B217" s="68">
        <f t="shared" ref="B217:I217" si="120">SUM(B216)</f>
        <v>190</v>
      </c>
      <c r="C217" s="68">
        <f t="shared" si="120"/>
        <v>40.66</v>
      </c>
      <c r="D217" s="68">
        <f t="shared" si="120"/>
        <v>620</v>
      </c>
      <c r="E217" s="68">
        <f t="shared" si="120"/>
        <v>80</v>
      </c>
      <c r="F217" s="157">
        <f t="shared" si="120"/>
        <v>930.66</v>
      </c>
      <c r="G217" s="70">
        <f t="shared" si="120"/>
        <v>20</v>
      </c>
      <c r="H217" s="70">
        <f t="shared" si="120"/>
        <v>1</v>
      </c>
      <c r="I217" s="69">
        <f t="shared" si="120"/>
        <v>90</v>
      </c>
    </row>
    <row r="218" ht="12.75" customHeight="1">
      <c r="A218" s="74"/>
      <c r="B218" s="92"/>
      <c r="C218" s="92"/>
      <c r="D218" s="92"/>
      <c r="E218" s="92"/>
      <c r="F218" s="92"/>
      <c r="G218" s="76"/>
      <c r="H218" s="76"/>
      <c r="I218" s="76"/>
    </row>
    <row r="219" ht="12.75" customHeight="1">
      <c r="A219" s="58">
        <v>42948.0</v>
      </c>
      <c r="B219" s="98">
        <v>380.0</v>
      </c>
      <c r="C219" s="99">
        <v>238.32</v>
      </c>
      <c r="D219" s="99">
        <v>570.0</v>
      </c>
      <c r="E219" s="99">
        <v>310.0</v>
      </c>
      <c r="F219" s="165">
        <f t="shared" ref="F219:F222" si="121">SUM(B219:E219)</f>
        <v>1498.32</v>
      </c>
      <c r="G219" s="99">
        <v>29.0</v>
      </c>
      <c r="H219" s="99">
        <v>6.0</v>
      </c>
      <c r="I219" s="101">
        <v>300.0</v>
      </c>
    </row>
    <row r="220" ht="12.75" customHeight="1">
      <c r="A220" s="58">
        <v>42949.0</v>
      </c>
      <c r="B220" s="112">
        <v>180.0</v>
      </c>
      <c r="C220" s="124">
        <v>314.36</v>
      </c>
      <c r="D220" s="124">
        <v>500.0</v>
      </c>
      <c r="E220" s="124">
        <v>60.0</v>
      </c>
      <c r="F220" s="165">
        <f t="shared" si="121"/>
        <v>1054.36</v>
      </c>
      <c r="G220" s="59">
        <v>21.0</v>
      </c>
      <c r="H220" s="59">
        <v>8.0</v>
      </c>
      <c r="I220" s="61">
        <v>60.0</v>
      </c>
    </row>
    <row r="221" ht="12.75" customHeight="1">
      <c r="A221" s="58">
        <v>42950.0</v>
      </c>
      <c r="B221" s="112">
        <v>640.0</v>
      </c>
      <c r="C221" s="124">
        <v>391.82</v>
      </c>
      <c r="D221" s="124">
        <v>600.0</v>
      </c>
      <c r="E221" s="124">
        <v>170.0</v>
      </c>
      <c r="F221" s="165">
        <f t="shared" si="121"/>
        <v>1801.82</v>
      </c>
      <c r="G221" s="81">
        <v>31.0</v>
      </c>
      <c r="H221" s="81">
        <v>9.0</v>
      </c>
      <c r="I221" s="83">
        <v>180.0</v>
      </c>
    </row>
    <row r="222" ht="12.75" customHeight="1">
      <c r="A222" s="58">
        <v>42951.0</v>
      </c>
      <c r="B222" s="166">
        <v>120.0</v>
      </c>
      <c r="C222" s="130">
        <v>280.46</v>
      </c>
      <c r="D222" s="130">
        <v>700.0</v>
      </c>
      <c r="E222" s="130">
        <v>40.0</v>
      </c>
      <c r="F222" s="167">
        <f t="shared" si="121"/>
        <v>1140.46</v>
      </c>
      <c r="G222" s="89">
        <v>21.0</v>
      </c>
      <c r="H222" s="89">
        <v>6.0</v>
      </c>
      <c r="I222" s="90">
        <v>50.0</v>
      </c>
    </row>
    <row r="223" ht="12.75" customHeight="1">
      <c r="A223" s="67"/>
      <c r="B223" s="91">
        <f t="shared" ref="B223:I223" si="122">SUM(B219:B222)</f>
        <v>1320</v>
      </c>
      <c r="C223" s="91">
        <f t="shared" si="122"/>
        <v>1224.96</v>
      </c>
      <c r="D223" s="91">
        <f t="shared" si="122"/>
        <v>2370</v>
      </c>
      <c r="E223" s="91">
        <f t="shared" si="122"/>
        <v>580</v>
      </c>
      <c r="F223" s="157">
        <f t="shared" si="122"/>
        <v>5494.96</v>
      </c>
      <c r="G223" s="70">
        <f t="shared" si="122"/>
        <v>102</v>
      </c>
      <c r="H223" s="70">
        <f t="shared" si="122"/>
        <v>29</v>
      </c>
      <c r="I223" s="168">
        <f t="shared" si="122"/>
        <v>590</v>
      </c>
    </row>
    <row r="224" ht="12.75" customHeight="1">
      <c r="A224" s="74"/>
      <c r="B224" s="74"/>
      <c r="C224" s="74"/>
      <c r="D224" s="74"/>
      <c r="E224" s="74"/>
      <c r="F224" s="75"/>
      <c r="G224" s="76"/>
      <c r="H224" s="76"/>
      <c r="I224" s="74"/>
    </row>
    <row r="225" ht="12.75" customHeight="1">
      <c r="A225" s="97">
        <f>A222+3</f>
        <v>42954</v>
      </c>
      <c r="B225" s="98">
        <v>600.0</v>
      </c>
      <c r="C225" s="99">
        <v>218.28</v>
      </c>
      <c r="D225" s="99">
        <v>470.0</v>
      </c>
      <c r="E225" s="99">
        <v>60.0</v>
      </c>
      <c r="F225" s="165">
        <f t="shared" ref="F225:F229" si="123">SUM(B225:E225)</f>
        <v>1348.28</v>
      </c>
      <c r="G225" s="99">
        <v>24.0</v>
      </c>
      <c r="H225" s="99">
        <v>5.0</v>
      </c>
      <c r="I225" s="101">
        <v>60.0</v>
      </c>
    </row>
    <row r="226" ht="12.75" customHeight="1">
      <c r="A226" s="97">
        <f t="shared" ref="A226:A229" si="124">A225+1</f>
        <v>42955</v>
      </c>
      <c r="B226" s="112">
        <v>390.0</v>
      </c>
      <c r="C226" s="124">
        <v>532.17</v>
      </c>
      <c r="D226" s="124">
        <v>720.0</v>
      </c>
      <c r="E226" s="124">
        <v>80.0</v>
      </c>
      <c r="F226" s="165">
        <f t="shared" si="123"/>
        <v>1722.17</v>
      </c>
      <c r="G226" s="81">
        <v>30.0</v>
      </c>
      <c r="H226" s="81">
        <v>10.0</v>
      </c>
      <c r="I226" s="83">
        <v>80.0</v>
      </c>
    </row>
    <row r="227" ht="12.75" customHeight="1">
      <c r="A227" s="97">
        <f t="shared" si="124"/>
        <v>42956</v>
      </c>
      <c r="B227" s="112">
        <v>220.0</v>
      </c>
      <c r="C227" s="124">
        <v>230.82</v>
      </c>
      <c r="D227" s="124">
        <v>460.0</v>
      </c>
      <c r="E227" s="124">
        <v>60.0</v>
      </c>
      <c r="F227" s="165">
        <f t="shared" si="123"/>
        <v>970.82</v>
      </c>
      <c r="G227" s="81">
        <v>20.0</v>
      </c>
      <c r="H227" s="81">
        <v>6.0</v>
      </c>
      <c r="I227" s="83">
        <v>60.0</v>
      </c>
    </row>
    <row r="228" ht="12.75" customHeight="1">
      <c r="A228" s="97">
        <f t="shared" si="124"/>
        <v>42957</v>
      </c>
      <c r="B228" s="112">
        <v>120.0</v>
      </c>
      <c r="C228" s="124">
        <v>252.96</v>
      </c>
      <c r="D228" s="124">
        <v>520.0</v>
      </c>
      <c r="E228" s="124">
        <v>80.0</v>
      </c>
      <c r="F228" s="165">
        <f t="shared" si="123"/>
        <v>972.96</v>
      </c>
      <c r="G228" s="81">
        <v>16.0</v>
      </c>
      <c r="H228" s="81">
        <v>5.0</v>
      </c>
      <c r="I228" s="83">
        <v>70.0</v>
      </c>
    </row>
    <row r="229" ht="12.75" customHeight="1">
      <c r="A229" s="97">
        <f t="shared" si="124"/>
        <v>42958</v>
      </c>
      <c r="B229" s="169"/>
      <c r="C229" s="170"/>
      <c r="D229" s="170"/>
      <c r="E229" s="170"/>
      <c r="F229" s="171">
        <f t="shared" si="123"/>
        <v>0</v>
      </c>
      <c r="G229" s="172"/>
      <c r="H229" s="172"/>
      <c r="I229" s="173"/>
    </row>
    <row r="230" ht="12.75" customHeight="1">
      <c r="A230" s="67"/>
      <c r="B230" s="145">
        <f t="shared" ref="B230:I230" si="125">SUM(B225:B229)</f>
        <v>1330</v>
      </c>
      <c r="C230" s="145">
        <f t="shared" si="125"/>
        <v>1234.23</v>
      </c>
      <c r="D230" s="145">
        <f t="shared" si="125"/>
        <v>2170</v>
      </c>
      <c r="E230" s="145">
        <f t="shared" si="125"/>
        <v>280</v>
      </c>
      <c r="F230" s="160">
        <f t="shared" si="125"/>
        <v>5014.23</v>
      </c>
      <c r="G230" s="174">
        <f t="shared" si="125"/>
        <v>90</v>
      </c>
      <c r="H230" s="174">
        <f t="shared" si="125"/>
        <v>26</v>
      </c>
      <c r="I230" s="145">
        <f t="shared" si="125"/>
        <v>270</v>
      </c>
    </row>
    <row r="231" ht="12.75" customHeight="1">
      <c r="A231" s="74"/>
      <c r="B231" s="74"/>
      <c r="C231" s="74"/>
      <c r="D231" s="74"/>
      <c r="E231" s="74"/>
      <c r="F231" s="75"/>
      <c r="G231" s="74"/>
      <c r="H231" s="74"/>
      <c r="I231" s="74"/>
    </row>
    <row r="232" ht="12.75" customHeight="1">
      <c r="A232" s="161">
        <f>A229+3</f>
        <v>42961</v>
      </c>
      <c r="B232" s="175"/>
      <c r="C232" s="176"/>
      <c r="D232" s="176"/>
      <c r="E232" s="176"/>
      <c r="F232" s="177">
        <f t="shared" ref="F232:F236" si="126">SUM(B232:E232)</f>
        <v>0</v>
      </c>
      <c r="G232" s="176"/>
      <c r="H232" s="176"/>
      <c r="I232" s="178"/>
    </row>
    <row r="233" ht="12.75" customHeight="1">
      <c r="A233" s="162">
        <f t="shared" ref="A233:A236" si="127">A232+1</f>
        <v>42962</v>
      </c>
      <c r="B233" s="150"/>
      <c r="C233" s="119"/>
      <c r="D233" s="119"/>
      <c r="E233" s="119"/>
      <c r="F233" s="151">
        <f t="shared" si="126"/>
        <v>0</v>
      </c>
      <c r="G233" s="84"/>
      <c r="H233" s="84"/>
      <c r="I233" s="86"/>
    </row>
    <row r="234" ht="12.75" customHeight="1">
      <c r="A234" s="162">
        <f t="shared" si="127"/>
        <v>42963</v>
      </c>
      <c r="B234" s="150"/>
      <c r="C234" s="119"/>
      <c r="D234" s="119"/>
      <c r="E234" s="119"/>
      <c r="F234" s="151">
        <f t="shared" si="126"/>
        <v>0</v>
      </c>
      <c r="G234" s="84"/>
      <c r="H234" s="84"/>
      <c r="I234" s="86"/>
    </row>
    <row r="235" ht="12.75" customHeight="1">
      <c r="A235" s="162">
        <f t="shared" si="127"/>
        <v>42964</v>
      </c>
      <c r="B235" s="150"/>
      <c r="C235" s="119"/>
      <c r="D235" s="119"/>
      <c r="E235" s="119"/>
      <c r="F235" s="151">
        <f t="shared" si="126"/>
        <v>0</v>
      </c>
      <c r="G235" s="84"/>
      <c r="H235" s="84"/>
      <c r="I235" s="86"/>
    </row>
    <row r="236" ht="12.75" customHeight="1">
      <c r="A236" s="163">
        <f t="shared" si="127"/>
        <v>42965</v>
      </c>
      <c r="B236" s="169"/>
      <c r="C236" s="170"/>
      <c r="D236" s="170"/>
      <c r="E236" s="170"/>
      <c r="F236" s="171">
        <f t="shared" si="126"/>
        <v>0</v>
      </c>
      <c r="G236" s="172"/>
      <c r="H236" s="172"/>
      <c r="I236" s="173"/>
    </row>
    <row r="237" ht="12.75" customHeight="1">
      <c r="A237" s="67"/>
      <c r="B237" s="179">
        <f t="shared" ref="B237:I237" si="128">SUM(B232:B236)</f>
        <v>0</v>
      </c>
      <c r="C237" s="179">
        <f t="shared" si="128"/>
        <v>0</v>
      </c>
      <c r="D237" s="179">
        <f t="shared" si="128"/>
        <v>0</v>
      </c>
      <c r="E237" s="179">
        <f t="shared" si="128"/>
        <v>0</v>
      </c>
      <c r="F237" s="157">
        <f t="shared" si="128"/>
        <v>0</v>
      </c>
      <c r="G237" s="180">
        <f t="shared" si="128"/>
        <v>0</v>
      </c>
      <c r="H237" s="180">
        <f t="shared" si="128"/>
        <v>0</v>
      </c>
      <c r="I237" s="179">
        <f t="shared" si="128"/>
        <v>0</v>
      </c>
    </row>
    <row r="238" ht="12.75" customHeight="1">
      <c r="A238" s="74"/>
      <c r="B238" s="74"/>
      <c r="C238" s="74"/>
      <c r="D238" s="74"/>
      <c r="E238" s="74"/>
      <c r="F238" s="75"/>
      <c r="G238" s="74"/>
      <c r="H238" s="74"/>
      <c r="I238" s="74"/>
    </row>
    <row r="239" ht="12.75" customHeight="1">
      <c r="A239" s="97">
        <f>A236+3</f>
        <v>42968</v>
      </c>
      <c r="B239" s="175"/>
      <c r="C239" s="176"/>
      <c r="D239" s="176"/>
      <c r="E239" s="176"/>
      <c r="F239" s="177"/>
      <c r="G239" s="176"/>
      <c r="H239" s="176"/>
      <c r="I239" s="178"/>
    </row>
    <row r="240" ht="12.75" customHeight="1">
      <c r="A240" s="162">
        <f t="shared" ref="A240:A243" si="129">A239+1</f>
        <v>42969</v>
      </c>
      <c r="B240" s="112">
        <v>180.0</v>
      </c>
      <c r="C240" s="124">
        <v>42.06</v>
      </c>
      <c r="D240" s="124">
        <v>900.0</v>
      </c>
      <c r="E240" s="124">
        <v>140.0</v>
      </c>
      <c r="F240" s="165">
        <f t="shared" ref="F240:F243" si="130">SUM(B240:E240)</f>
        <v>1262.06</v>
      </c>
      <c r="G240" s="81">
        <v>26.0</v>
      </c>
      <c r="H240" s="81">
        <v>1.0</v>
      </c>
      <c r="I240" s="83">
        <v>150.0</v>
      </c>
    </row>
    <row r="241" ht="12.75" customHeight="1">
      <c r="A241" s="97">
        <f t="shared" si="129"/>
        <v>42970</v>
      </c>
      <c r="B241" s="112">
        <v>220.0</v>
      </c>
      <c r="C241" s="124">
        <v>81.32</v>
      </c>
      <c r="D241" s="124">
        <v>310.0</v>
      </c>
      <c r="E241" s="124">
        <v>40.0</v>
      </c>
      <c r="F241" s="165">
        <f t="shared" si="130"/>
        <v>651.32</v>
      </c>
      <c r="G241" s="81">
        <v>13.0</v>
      </c>
      <c r="H241" s="81">
        <v>2.0</v>
      </c>
      <c r="I241" s="83">
        <v>40.0</v>
      </c>
    </row>
    <row r="242" ht="12.75" customHeight="1">
      <c r="A242" s="162">
        <f t="shared" si="129"/>
        <v>42971</v>
      </c>
      <c r="B242" s="112">
        <v>180.0</v>
      </c>
      <c r="C242" s="124">
        <v>346.58</v>
      </c>
      <c r="D242" s="124">
        <v>790.0</v>
      </c>
      <c r="E242" s="124">
        <v>360.0</v>
      </c>
      <c r="F242" s="165">
        <f t="shared" si="130"/>
        <v>1676.58</v>
      </c>
      <c r="G242" s="81">
        <v>31.0</v>
      </c>
      <c r="H242" s="81">
        <v>7.0</v>
      </c>
      <c r="I242" s="83">
        <v>360.0</v>
      </c>
    </row>
    <row r="243" ht="12.75" customHeight="1">
      <c r="A243" s="97">
        <f t="shared" si="129"/>
        <v>42972</v>
      </c>
      <c r="B243" s="125">
        <v>350.0</v>
      </c>
      <c r="C243" s="181">
        <v>182.54</v>
      </c>
      <c r="D243" s="181">
        <v>280.0</v>
      </c>
      <c r="E243" s="181"/>
      <c r="F243" s="182">
        <f t="shared" si="130"/>
        <v>812.54</v>
      </c>
      <c r="G243" s="106">
        <v>16.0</v>
      </c>
      <c r="H243" s="106">
        <v>3.0</v>
      </c>
      <c r="I243" s="108"/>
    </row>
    <row r="244" ht="12.75" customHeight="1">
      <c r="A244" s="67"/>
      <c r="B244" s="179">
        <f t="shared" ref="B244:I244" si="131">SUM(B236:B243)</f>
        <v>930</v>
      </c>
      <c r="C244" s="179">
        <f t="shared" si="131"/>
        <v>652.5</v>
      </c>
      <c r="D244" s="179">
        <f t="shared" si="131"/>
        <v>2280</v>
      </c>
      <c r="E244" s="179">
        <f t="shared" si="131"/>
        <v>540</v>
      </c>
      <c r="F244" s="179">
        <f t="shared" si="131"/>
        <v>4402.5</v>
      </c>
      <c r="G244" s="180">
        <f t="shared" si="131"/>
        <v>86</v>
      </c>
      <c r="H244" s="180">
        <f t="shared" si="131"/>
        <v>13</v>
      </c>
      <c r="I244" s="179">
        <f t="shared" si="131"/>
        <v>550</v>
      </c>
    </row>
    <row r="245" ht="12.75" customHeight="1">
      <c r="A245" s="74"/>
      <c r="B245" s="94"/>
      <c r="C245" s="94"/>
      <c r="D245" s="94"/>
      <c r="E245" s="94"/>
      <c r="F245" s="94"/>
      <c r="G245" s="94"/>
      <c r="H245" s="94"/>
      <c r="I245" s="94"/>
    </row>
    <row r="246" ht="12.75" customHeight="1">
      <c r="A246" s="97">
        <f>A243+3</f>
        <v>42975</v>
      </c>
      <c r="B246" s="98">
        <v>290.0</v>
      </c>
      <c r="C246" s="99">
        <v>164.46</v>
      </c>
      <c r="D246" s="99">
        <v>620.0</v>
      </c>
      <c r="E246" s="99">
        <v>100.0</v>
      </c>
      <c r="F246" s="165">
        <f t="shared" ref="F246:F248" si="132">SUM(B246:E246)</f>
        <v>1174.46</v>
      </c>
      <c r="G246" s="99">
        <v>25.0</v>
      </c>
      <c r="H246" s="99">
        <v>4.0</v>
      </c>
      <c r="I246" s="101">
        <v>90.0</v>
      </c>
    </row>
    <row r="247" ht="12.75" customHeight="1">
      <c r="A247" s="97">
        <f t="shared" ref="A247:A248" si="133">A246+1</f>
        <v>42976</v>
      </c>
      <c r="B247" s="112">
        <v>260.0</v>
      </c>
      <c r="C247" s="59">
        <v>124.9</v>
      </c>
      <c r="D247" s="59">
        <v>300.0</v>
      </c>
      <c r="E247" s="59">
        <v>170.0</v>
      </c>
      <c r="F247" s="183">
        <f t="shared" si="132"/>
        <v>854.9</v>
      </c>
      <c r="G247" s="59">
        <v>18.0</v>
      </c>
      <c r="H247" s="59">
        <v>3.0</v>
      </c>
      <c r="I247" s="61">
        <v>170.0</v>
      </c>
    </row>
    <row r="248" ht="12.75" customHeight="1">
      <c r="A248" s="97">
        <f t="shared" si="133"/>
        <v>42977</v>
      </c>
      <c r="B248" s="103">
        <v>160.0</v>
      </c>
      <c r="C248" s="81">
        <v>513.78</v>
      </c>
      <c r="D248" s="81">
        <v>260.0</v>
      </c>
      <c r="E248" s="81">
        <v>0.0</v>
      </c>
      <c r="F248" s="183">
        <f t="shared" si="132"/>
        <v>933.78</v>
      </c>
      <c r="G248" s="81">
        <v>21.0</v>
      </c>
      <c r="H248" s="81">
        <v>11.0</v>
      </c>
      <c r="I248" s="83">
        <v>0.0</v>
      </c>
    </row>
    <row r="249" ht="12.75" customHeight="1">
      <c r="A249" s="97">
        <f>A246+3</f>
        <v>42978</v>
      </c>
      <c r="B249" s="184"/>
      <c r="C249" s="172"/>
      <c r="D249" s="172"/>
      <c r="E249" s="172"/>
      <c r="F249" s="185"/>
      <c r="G249" s="172"/>
      <c r="H249" s="172"/>
      <c r="I249" s="173"/>
    </row>
    <row r="250" ht="12.75" customHeight="1">
      <c r="A250" s="67"/>
      <c r="B250" s="145">
        <f t="shared" ref="B250:I250" si="134">SUM(B246:B249)</f>
        <v>710</v>
      </c>
      <c r="C250" s="145">
        <f t="shared" si="134"/>
        <v>803.14</v>
      </c>
      <c r="D250" s="145">
        <f t="shared" si="134"/>
        <v>1180</v>
      </c>
      <c r="E250" s="145">
        <f t="shared" si="134"/>
        <v>270</v>
      </c>
      <c r="F250" s="160">
        <f t="shared" si="134"/>
        <v>2963.14</v>
      </c>
      <c r="G250" s="174">
        <f t="shared" si="134"/>
        <v>64</v>
      </c>
      <c r="H250" s="174">
        <f t="shared" si="134"/>
        <v>18</v>
      </c>
      <c r="I250" s="186">
        <f t="shared" si="134"/>
        <v>260</v>
      </c>
    </row>
    <row r="251" ht="12.75" customHeight="1">
      <c r="A251" s="74"/>
      <c r="B251" s="74"/>
      <c r="C251" s="74"/>
      <c r="D251" s="74"/>
      <c r="E251" s="74"/>
      <c r="F251" s="75"/>
      <c r="G251" s="74"/>
      <c r="H251" s="74"/>
      <c r="I251" s="74"/>
    </row>
    <row r="252" ht="12.75" customHeight="1">
      <c r="A252" s="58">
        <v>42979.0</v>
      </c>
      <c r="B252" s="187"/>
      <c r="C252" s="187"/>
      <c r="D252" s="187"/>
      <c r="E252" s="187"/>
      <c r="F252" s="187">
        <f>SUM(B252:E252)</f>
        <v>0</v>
      </c>
      <c r="G252" s="138"/>
      <c r="H252" s="138"/>
      <c r="I252" s="187"/>
    </row>
    <row r="253" ht="12.75" customHeight="1">
      <c r="A253" s="67"/>
      <c r="B253" s="157">
        <f t="shared" ref="B253:I253" si="135">SUM(B252)</f>
        <v>0</v>
      </c>
      <c r="C253" s="157">
        <f t="shared" si="135"/>
        <v>0</v>
      </c>
      <c r="D253" s="157">
        <f t="shared" si="135"/>
        <v>0</v>
      </c>
      <c r="E253" s="157">
        <f t="shared" si="135"/>
        <v>0</v>
      </c>
      <c r="F253" s="157">
        <f t="shared" si="135"/>
        <v>0</v>
      </c>
      <c r="G253" s="70">
        <f t="shared" si="135"/>
        <v>0</v>
      </c>
      <c r="H253" s="70">
        <f t="shared" si="135"/>
        <v>0</v>
      </c>
      <c r="I253" s="188">
        <f t="shared" si="135"/>
        <v>0</v>
      </c>
    </row>
    <row r="254" ht="12.75" customHeight="1">
      <c r="A254" s="74"/>
      <c r="B254" s="75"/>
      <c r="C254" s="75"/>
      <c r="D254" s="75"/>
      <c r="E254" s="75"/>
      <c r="F254" s="75"/>
      <c r="G254" s="76"/>
      <c r="H254" s="76"/>
      <c r="I254" s="74"/>
    </row>
    <row r="255" ht="12.75" customHeight="1">
      <c r="A255" s="58">
        <f>A252+3</f>
        <v>42982</v>
      </c>
      <c r="B255" s="189">
        <v>320.0</v>
      </c>
      <c r="C255" s="189">
        <v>314.02</v>
      </c>
      <c r="D255" s="189">
        <v>840.0</v>
      </c>
      <c r="E255" s="189">
        <v>280.0</v>
      </c>
      <c r="F255" s="156">
        <f t="shared" ref="F255:F259" si="136">SUM(B255:E255)</f>
        <v>1754.02</v>
      </c>
      <c r="G255" s="59">
        <v>32.0</v>
      </c>
      <c r="H255" s="59">
        <v>7.0</v>
      </c>
      <c r="I255" s="189">
        <v>300.0</v>
      </c>
    </row>
    <row r="256" ht="12.75" customHeight="1">
      <c r="A256" s="58">
        <f t="shared" ref="A256:A259" si="137">A255+1</f>
        <v>42983</v>
      </c>
      <c r="B256" s="189">
        <v>150.0</v>
      </c>
      <c r="C256" s="189">
        <v>190.88</v>
      </c>
      <c r="D256" s="189">
        <v>520.0</v>
      </c>
      <c r="E256" s="189">
        <v>40.0</v>
      </c>
      <c r="F256" s="156">
        <f t="shared" si="136"/>
        <v>900.88</v>
      </c>
      <c r="G256" s="59">
        <v>18.0</v>
      </c>
      <c r="H256" s="59">
        <v>5.0</v>
      </c>
      <c r="I256" s="189">
        <v>50.0</v>
      </c>
    </row>
    <row r="257" ht="12.75" customHeight="1">
      <c r="A257" s="58">
        <f t="shared" si="137"/>
        <v>42984</v>
      </c>
      <c r="B257" s="189">
        <v>380.0</v>
      </c>
      <c r="C257" s="189">
        <v>158.76</v>
      </c>
      <c r="D257" s="189">
        <v>500.0</v>
      </c>
      <c r="E257" s="189">
        <v>180.0</v>
      </c>
      <c r="F257" s="156">
        <f t="shared" si="136"/>
        <v>1218.76</v>
      </c>
      <c r="G257" s="59">
        <v>27.0</v>
      </c>
      <c r="H257" s="59">
        <v>4.0</v>
      </c>
      <c r="I257" s="189">
        <v>170.0</v>
      </c>
    </row>
    <row r="258" ht="12.75" customHeight="1">
      <c r="A258" s="58">
        <f t="shared" si="137"/>
        <v>42985</v>
      </c>
      <c r="B258" s="189">
        <v>340.0</v>
      </c>
      <c r="C258" s="189">
        <v>109.32</v>
      </c>
      <c r="D258" s="189">
        <v>1090.0</v>
      </c>
      <c r="E258" s="189">
        <v>90.0</v>
      </c>
      <c r="F258" s="156">
        <f t="shared" si="136"/>
        <v>1629.32</v>
      </c>
      <c r="G258" s="59">
        <v>28.0</v>
      </c>
      <c r="H258" s="59">
        <v>2.0</v>
      </c>
      <c r="I258" s="189">
        <v>100.0</v>
      </c>
    </row>
    <row r="259" ht="12.75" customHeight="1">
      <c r="A259" s="58">
        <f t="shared" si="137"/>
        <v>42986</v>
      </c>
      <c r="B259" s="189">
        <v>480.0</v>
      </c>
      <c r="C259" s="189">
        <v>203.3</v>
      </c>
      <c r="D259" s="189">
        <v>620.0</v>
      </c>
      <c r="E259" s="189">
        <v>190.0</v>
      </c>
      <c r="F259" s="156">
        <f t="shared" si="136"/>
        <v>1493.3</v>
      </c>
      <c r="G259" s="59">
        <v>24.0</v>
      </c>
      <c r="H259" s="59">
        <v>5.0</v>
      </c>
      <c r="I259" s="189">
        <v>200.0</v>
      </c>
    </row>
    <row r="260" ht="12.75" customHeight="1">
      <c r="A260" s="131"/>
      <c r="B260" s="157">
        <f t="shared" ref="B260:I260" si="138">SUM(B255:B259)</f>
        <v>1670</v>
      </c>
      <c r="C260" s="190">
        <f t="shared" si="138"/>
        <v>976.28</v>
      </c>
      <c r="D260" s="190">
        <f t="shared" si="138"/>
        <v>3570</v>
      </c>
      <c r="E260" s="190">
        <f t="shared" si="138"/>
        <v>780</v>
      </c>
      <c r="F260" s="190">
        <f t="shared" si="138"/>
        <v>6996.28</v>
      </c>
      <c r="G260" s="133">
        <f t="shared" si="138"/>
        <v>129</v>
      </c>
      <c r="H260" s="133">
        <f t="shared" si="138"/>
        <v>23</v>
      </c>
      <c r="I260" s="191">
        <f t="shared" si="138"/>
        <v>820</v>
      </c>
    </row>
    <row r="261" ht="12.75" customHeight="1">
      <c r="A261" s="148"/>
      <c r="B261" s="75"/>
      <c r="C261" s="136"/>
      <c r="D261" s="136"/>
      <c r="E261" s="136"/>
      <c r="F261" s="136"/>
      <c r="G261" s="136"/>
      <c r="H261" s="136"/>
      <c r="I261" s="137"/>
    </row>
    <row r="262" ht="12.75" customHeight="1">
      <c r="A262" s="97">
        <f>A259+3</f>
        <v>42989</v>
      </c>
      <c r="B262" s="189">
        <v>170.0</v>
      </c>
      <c r="C262" s="189">
        <v>119.56</v>
      </c>
      <c r="D262" s="189">
        <v>450.0</v>
      </c>
      <c r="E262" s="189">
        <v>40.0</v>
      </c>
      <c r="F262" s="156">
        <f t="shared" ref="F262:F266" si="139">SUM(B262:E262)</f>
        <v>779.56</v>
      </c>
      <c r="G262" s="59">
        <v>16.0</v>
      </c>
      <c r="H262" s="59">
        <v>3.0</v>
      </c>
      <c r="I262" s="189">
        <v>40.0</v>
      </c>
    </row>
    <row r="263" ht="12.75" customHeight="1">
      <c r="A263" s="97">
        <f t="shared" ref="A263:A266" si="140">A262+1</f>
        <v>42990</v>
      </c>
      <c r="B263" s="192">
        <v>430.0</v>
      </c>
      <c r="C263" s="192">
        <v>190.88</v>
      </c>
      <c r="D263" s="192">
        <v>210.0</v>
      </c>
      <c r="E263" s="192">
        <v>90.0</v>
      </c>
      <c r="F263" s="193">
        <f t="shared" si="139"/>
        <v>920.88</v>
      </c>
      <c r="G263" s="81">
        <v>17.0</v>
      </c>
      <c r="H263" s="81">
        <v>5.0</v>
      </c>
      <c r="I263" s="192">
        <v>90.0</v>
      </c>
    </row>
    <row r="264" ht="12.75" customHeight="1">
      <c r="A264" s="97">
        <f t="shared" si="140"/>
        <v>42991</v>
      </c>
      <c r="B264" s="192">
        <v>300.0</v>
      </c>
      <c r="C264" s="192">
        <v>162.7</v>
      </c>
      <c r="D264" s="192">
        <v>480.0</v>
      </c>
      <c r="E264" s="192">
        <v>0.0</v>
      </c>
      <c r="F264" s="193">
        <f t="shared" si="139"/>
        <v>942.7</v>
      </c>
      <c r="G264" s="81">
        <v>22.0</v>
      </c>
      <c r="H264" s="81">
        <v>4.0</v>
      </c>
      <c r="I264" s="192">
        <v>0.0</v>
      </c>
    </row>
    <row r="265" ht="12.75" customHeight="1">
      <c r="A265" s="97">
        <f t="shared" si="140"/>
        <v>42992</v>
      </c>
      <c r="B265" s="192">
        <v>630.0</v>
      </c>
      <c r="C265" s="192">
        <v>234.46</v>
      </c>
      <c r="D265" s="192">
        <v>470.0</v>
      </c>
      <c r="E265" s="192">
        <v>100.0</v>
      </c>
      <c r="F265" s="193">
        <f t="shared" si="139"/>
        <v>1434.46</v>
      </c>
      <c r="G265" s="81">
        <v>29.0</v>
      </c>
      <c r="H265" s="81">
        <v>5.0</v>
      </c>
      <c r="I265" s="192">
        <v>100.0</v>
      </c>
    </row>
    <row r="266" ht="12.75" customHeight="1">
      <c r="A266" s="97">
        <f t="shared" si="140"/>
        <v>42993</v>
      </c>
      <c r="B266" s="194">
        <v>510.0</v>
      </c>
      <c r="C266" s="194">
        <v>185.7</v>
      </c>
      <c r="D266" s="194">
        <v>750.0</v>
      </c>
      <c r="E266" s="194">
        <v>40.0</v>
      </c>
      <c r="F266" s="195">
        <f t="shared" si="139"/>
        <v>1485.7</v>
      </c>
      <c r="G266" s="89">
        <v>27.0</v>
      </c>
      <c r="H266" s="89">
        <v>3.0</v>
      </c>
      <c r="I266" s="194">
        <v>50.0</v>
      </c>
    </row>
    <row r="267" ht="12.75" customHeight="1">
      <c r="A267" s="131"/>
      <c r="B267" s="157">
        <f t="shared" ref="B267:I267" si="141">SUM(B262:B266)</f>
        <v>2040</v>
      </c>
      <c r="C267" s="190">
        <f t="shared" si="141"/>
        <v>893.3</v>
      </c>
      <c r="D267" s="190">
        <f t="shared" si="141"/>
        <v>2360</v>
      </c>
      <c r="E267" s="190">
        <f t="shared" si="141"/>
        <v>270</v>
      </c>
      <c r="F267" s="190">
        <f t="shared" si="141"/>
        <v>5563.3</v>
      </c>
      <c r="G267" s="133">
        <f t="shared" si="141"/>
        <v>111</v>
      </c>
      <c r="H267" s="133">
        <f t="shared" si="141"/>
        <v>20</v>
      </c>
      <c r="I267" s="191">
        <f t="shared" si="141"/>
        <v>280</v>
      </c>
    </row>
    <row r="268" ht="12.75" customHeight="1">
      <c r="A268" s="148"/>
      <c r="B268" s="75"/>
      <c r="C268" s="136"/>
      <c r="D268" s="136"/>
      <c r="E268" s="136"/>
      <c r="F268" s="136"/>
      <c r="G268" s="136"/>
      <c r="H268" s="136"/>
      <c r="I268" s="137"/>
    </row>
    <row r="269" ht="12.75" customHeight="1">
      <c r="A269" s="97">
        <f>A266+3</f>
        <v>42996</v>
      </c>
      <c r="B269" s="189">
        <v>130.0</v>
      </c>
      <c r="C269" s="189">
        <v>356.08</v>
      </c>
      <c r="D269" s="189">
        <v>850.0</v>
      </c>
      <c r="E269" s="189">
        <v>200.0</v>
      </c>
      <c r="F269" s="156">
        <f t="shared" ref="F269:F271" si="142">SUM(B269:E269)</f>
        <v>1536.08</v>
      </c>
      <c r="G269" s="59">
        <v>30.0</v>
      </c>
      <c r="H269" s="59">
        <v>8.0</v>
      </c>
      <c r="I269" s="189">
        <v>200.0</v>
      </c>
    </row>
    <row r="270" ht="12.75" customHeight="1">
      <c r="A270" s="97">
        <f t="shared" ref="A270:A273" si="143">A269+1</f>
        <v>42997</v>
      </c>
      <c r="B270" s="192">
        <v>140.0</v>
      </c>
      <c r="C270" s="192">
        <v>81.32</v>
      </c>
      <c r="D270" s="192">
        <v>510.0</v>
      </c>
      <c r="E270" s="192">
        <v>40.0</v>
      </c>
      <c r="F270" s="193">
        <f t="shared" si="142"/>
        <v>771.32</v>
      </c>
      <c r="G270" s="81">
        <v>18.0</v>
      </c>
      <c r="H270" s="81">
        <v>2.0</v>
      </c>
      <c r="I270" s="192">
        <v>40.0</v>
      </c>
    </row>
    <row r="271" ht="12.75" customHeight="1">
      <c r="A271" s="97">
        <f t="shared" si="143"/>
        <v>42998</v>
      </c>
      <c r="B271" s="192">
        <v>160.0</v>
      </c>
      <c r="C271" s="192"/>
      <c r="D271" s="192"/>
      <c r="E271" s="192"/>
      <c r="F271" s="193">
        <f t="shared" si="142"/>
        <v>160</v>
      </c>
      <c r="G271" s="81"/>
      <c r="H271" s="81"/>
      <c r="I271" s="192"/>
    </row>
    <row r="272" ht="12.75" customHeight="1">
      <c r="A272" s="97">
        <f t="shared" si="143"/>
        <v>42999</v>
      </c>
      <c r="B272" s="196"/>
      <c r="C272" s="196"/>
      <c r="D272" s="196"/>
      <c r="E272" s="196"/>
      <c r="F272" s="196"/>
      <c r="G272" s="84"/>
      <c r="H272" s="84"/>
      <c r="I272" s="196"/>
    </row>
    <row r="273" ht="12.75" customHeight="1">
      <c r="A273" s="97">
        <f t="shared" si="143"/>
        <v>43000</v>
      </c>
      <c r="B273" s="197"/>
      <c r="C273" s="197"/>
      <c r="D273" s="197"/>
      <c r="E273" s="197"/>
      <c r="F273" s="197"/>
      <c r="G273" s="87"/>
      <c r="H273" s="87"/>
      <c r="I273" s="197"/>
    </row>
    <row r="274" ht="12.75" customHeight="1">
      <c r="A274" s="131"/>
      <c r="B274" s="157">
        <f t="shared" ref="B274:I274" si="144">SUM(B269:B273)</f>
        <v>430</v>
      </c>
      <c r="C274" s="190">
        <f t="shared" si="144"/>
        <v>437.4</v>
      </c>
      <c r="D274" s="190">
        <f t="shared" si="144"/>
        <v>1360</v>
      </c>
      <c r="E274" s="190">
        <f t="shared" si="144"/>
        <v>240</v>
      </c>
      <c r="F274" s="190">
        <f t="shared" si="144"/>
        <v>2467.4</v>
      </c>
      <c r="G274" s="133">
        <f t="shared" si="144"/>
        <v>48</v>
      </c>
      <c r="H274" s="133">
        <f t="shared" si="144"/>
        <v>10</v>
      </c>
      <c r="I274" s="191">
        <f t="shared" si="144"/>
        <v>240</v>
      </c>
    </row>
    <row r="275" ht="12.75" customHeight="1">
      <c r="A275" s="135"/>
      <c r="B275" s="75"/>
      <c r="C275" s="136"/>
      <c r="D275" s="136"/>
      <c r="E275" s="136"/>
      <c r="F275" s="136"/>
      <c r="G275" s="136"/>
      <c r="H275" s="136"/>
      <c r="I275" s="137"/>
    </row>
    <row r="276" ht="12.75" customHeight="1">
      <c r="A276" s="198">
        <f>A273+3</f>
        <v>43003</v>
      </c>
      <c r="B276" s="126">
        <v>340.0</v>
      </c>
      <c r="C276" s="126">
        <v>81.32</v>
      </c>
      <c r="D276" s="126">
        <v>660.0</v>
      </c>
      <c r="E276" s="199">
        <v>80.0</v>
      </c>
      <c r="F276" s="156">
        <f t="shared" ref="F276:F280" si="145">SUM(B276:E276)</f>
        <v>1161.32</v>
      </c>
      <c r="G276" s="59">
        <v>20.0</v>
      </c>
      <c r="H276" s="59">
        <v>2.0</v>
      </c>
      <c r="I276" s="189">
        <v>80.0</v>
      </c>
    </row>
    <row r="277" ht="12.75" customHeight="1">
      <c r="A277" s="200">
        <f t="shared" ref="A277:A280" si="146">A276+1</f>
        <v>43004</v>
      </c>
      <c r="B277" s="106">
        <v>260.0</v>
      </c>
      <c r="C277" s="106">
        <v>320.0</v>
      </c>
      <c r="D277" s="106">
        <v>820.0</v>
      </c>
      <c r="E277" s="201">
        <v>130.0</v>
      </c>
      <c r="F277" s="193">
        <f t="shared" si="145"/>
        <v>1530</v>
      </c>
      <c r="G277" s="202">
        <v>29.0</v>
      </c>
      <c r="H277" s="99">
        <v>8.0</v>
      </c>
      <c r="I277" s="101">
        <v>130.0</v>
      </c>
    </row>
    <row r="278" ht="12.75" customHeight="1">
      <c r="A278" s="200">
        <f t="shared" si="146"/>
        <v>43005</v>
      </c>
      <c r="B278" s="106">
        <v>40.0</v>
      </c>
      <c r="C278" s="106">
        <v>320.0</v>
      </c>
      <c r="D278" s="106">
        <v>660.0</v>
      </c>
      <c r="E278" s="201">
        <v>0.0</v>
      </c>
      <c r="F278" s="193">
        <f t="shared" si="145"/>
        <v>1020</v>
      </c>
      <c r="G278" s="203">
        <v>26.0</v>
      </c>
      <c r="H278" s="106">
        <v>8.0</v>
      </c>
      <c r="I278" s="108">
        <v>0.0</v>
      </c>
    </row>
    <row r="279" ht="12.75" customHeight="1">
      <c r="A279" s="200">
        <f t="shared" si="146"/>
        <v>43006</v>
      </c>
      <c r="B279" s="106">
        <v>160.0</v>
      </c>
      <c r="C279" s="106">
        <v>515.56</v>
      </c>
      <c r="D279" s="106">
        <v>1020.0</v>
      </c>
      <c r="E279" s="201">
        <v>210.0</v>
      </c>
      <c r="F279" s="193">
        <f t="shared" si="145"/>
        <v>1905.56</v>
      </c>
      <c r="G279" s="203">
        <v>39.0</v>
      </c>
      <c r="H279" s="106">
        <v>12.0</v>
      </c>
      <c r="I279" s="108">
        <v>200.0</v>
      </c>
    </row>
    <row r="280" ht="12.75" customHeight="1">
      <c r="A280" s="200">
        <f t="shared" si="146"/>
        <v>43007</v>
      </c>
      <c r="B280" s="106">
        <v>250.0</v>
      </c>
      <c r="C280" s="106">
        <v>324.56</v>
      </c>
      <c r="D280" s="106">
        <v>880.0</v>
      </c>
      <c r="E280" s="201">
        <v>80.0</v>
      </c>
      <c r="F280" s="193">
        <f t="shared" si="145"/>
        <v>1534.56</v>
      </c>
      <c r="G280" s="203">
        <v>31.0</v>
      </c>
      <c r="H280" s="106">
        <v>8.0</v>
      </c>
      <c r="I280" s="108">
        <v>90.0</v>
      </c>
    </row>
    <row r="281" ht="12.75" customHeight="1">
      <c r="A281" s="204"/>
      <c r="B281" s="160">
        <f t="shared" ref="B281:I281" si="147">SUM(B276:B280)</f>
        <v>1050</v>
      </c>
      <c r="C281" s="160">
        <f t="shared" si="147"/>
        <v>1561.44</v>
      </c>
      <c r="D281" s="160">
        <f t="shared" si="147"/>
        <v>4040</v>
      </c>
      <c r="E281" s="160">
        <f t="shared" si="147"/>
        <v>500</v>
      </c>
      <c r="F281" s="205">
        <f t="shared" si="147"/>
        <v>7151.44</v>
      </c>
      <c r="G281" s="206">
        <f t="shared" si="147"/>
        <v>145</v>
      </c>
      <c r="H281" s="206">
        <f t="shared" si="147"/>
        <v>38</v>
      </c>
      <c r="I281" s="191">
        <f t="shared" si="147"/>
        <v>500</v>
      </c>
    </row>
    <row r="282" ht="12.75" customHeight="1">
      <c r="A282" s="148"/>
      <c r="B282" s="75"/>
      <c r="C282" s="75"/>
      <c r="D282" s="75"/>
      <c r="E282" s="75"/>
      <c r="F282" s="136"/>
      <c r="G282" s="136"/>
      <c r="H282" s="136"/>
      <c r="I282" s="207"/>
    </row>
    <row r="283" ht="12.75" customHeight="1">
      <c r="A283" s="58">
        <v>43010.0</v>
      </c>
      <c r="B283" s="59">
        <v>390.0</v>
      </c>
      <c r="C283" s="59">
        <v>317.6</v>
      </c>
      <c r="D283" s="66">
        <v>950.0</v>
      </c>
      <c r="E283" s="59">
        <v>360.0</v>
      </c>
      <c r="F283" s="60">
        <f t="shared" ref="F283:F287" si="148">SUM(B283:E283)</f>
        <v>2017.6</v>
      </c>
      <c r="G283" s="59">
        <v>34.0</v>
      </c>
      <c r="H283" s="59">
        <v>7.0</v>
      </c>
      <c r="I283" s="59">
        <v>350.0</v>
      </c>
    </row>
    <row r="284" ht="12.75" customHeight="1">
      <c r="A284" s="58">
        <f t="shared" ref="A284:A287" si="149">A283+1</f>
        <v>43011</v>
      </c>
      <c r="B284" s="59">
        <v>170.0</v>
      </c>
      <c r="C284" s="59">
        <v>159.12</v>
      </c>
      <c r="D284" s="59">
        <v>540.0</v>
      </c>
      <c r="E284" s="59">
        <v>140.0</v>
      </c>
      <c r="F284" s="60">
        <f t="shared" si="148"/>
        <v>1009.12</v>
      </c>
      <c r="G284" s="59">
        <v>21.0</v>
      </c>
      <c r="H284" s="59">
        <v>4.0</v>
      </c>
      <c r="I284" s="59">
        <v>120.0</v>
      </c>
    </row>
    <row r="285" ht="12.75" customHeight="1">
      <c r="A285" s="58">
        <f t="shared" si="149"/>
        <v>43012</v>
      </c>
      <c r="B285" s="59">
        <v>160.0</v>
      </c>
      <c r="C285" s="59">
        <v>204.64</v>
      </c>
      <c r="D285" s="59">
        <v>680.0</v>
      </c>
      <c r="E285" s="59">
        <v>40.0</v>
      </c>
      <c r="F285" s="60">
        <f t="shared" si="148"/>
        <v>1084.64</v>
      </c>
      <c r="G285" s="59">
        <v>30.0</v>
      </c>
      <c r="H285" s="59">
        <v>6.0</v>
      </c>
      <c r="I285" s="59">
        <v>40.0</v>
      </c>
    </row>
    <row r="286" ht="12.75" customHeight="1">
      <c r="A286" s="58">
        <f t="shared" si="149"/>
        <v>43013</v>
      </c>
      <c r="B286" s="59">
        <v>580.0</v>
      </c>
      <c r="C286" s="59">
        <v>164.04</v>
      </c>
      <c r="D286" s="59">
        <v>790.0</v>
      </c>
      <c r="E286" s="59">
        <v>120.0</v>
      </c>
      <c r="F286" s="60">
        <f t="shared" si="148"/>
        <v>1654.04</v>
      </c>
      <c r="G286" s="59">
        <v>31.0</v>
      </c>
      <c r="H286" s="59">
        <v>4.0</v>
      </c>
      <c r="I286" s="59">
        <v>120.0</v>
      </c>
    </row>
    <row r="287" ht="12.75" customHeight="1">
      <c r="A287" s="58">
        <f t="shared" si="149"/>
        <v>43014</v>
      </c>
      <c r="B287" s="59">
        <v>40.0</v>
      </c>
      <c r="C287" s="59">
        <v>204.7</v>
      </c>
      <c r="D287" s="59">
        <v>710.0</v>
      </c>
      <c r="E287" s="59">
        <v>100.0</v>
      </c>
      <c r="F287" s="60">
        <f t="shared" si="148"/>
        <v>1054.7</v>
      </c>
      <c r="G287" s="59">
        <v>20.0</v>
      </c>
      <c r="H287" s="59">
        <v>5.0</v>
      </c>
      <c r="I287" s="59">
        <v>90.0</v>
      </c>
    </row>
    <row r="288" ht="12.75" customHeight="1">
      <c r="A288" s="67"/>
      <c r="B288" s="68">
        <f t="shared" ref="B288:I288" si="150">SUM(B283:B287)</f>
        <v>1340</v>
      </c>
      <c r="C288" s="68">
        <f t="shared" si="150"/>
        <v>1050.1</v>
      </c>
      <c r="D288" s="68">
        <f t="shared" si="150"/>
        <v>3670</v>
      </c>
      <c r="E288" s="68">
        <f t="shared" si="150"/>
        <v>760</v>
      </c>
      <c r="F288" s="68">
        <f t="shared" si="150"/>
        <v>6820.1</v>
      </c>
      <c r="G288" s="70">
        <f t="shared" si="150"/>
        <v>136</v>
      </c>
      <c r="H288" s="70">
        <f t="shared" si="150"/>
        <v>26</v>
      </c>
      <c r="I288" s="91">
        <f t="shared" si="150"/>
        <v>720</v>
      </c>
    </row>
    <row r="289" ht="12.75" customHeight="1">
      <c r="A289" s="74"/>
      <c r="B289" s="92"/>
      <c r="C289" s="92"/>
      <c r="D289" s="92"/>
      <c r="E289" s="92"/>
      <c r="F289" s="75"/>
      <c r="G289" s="93"/>
      <c r="H289" s="93"/>
      <c r="I289" s="74"/>
    </row>
    <row r="290" ht="12.75" customHeight="1">
      <c r="A290" s="97">
        <f>A287+3</f>
        <v>43017</v>
      </c>
      <c r="B290" s="98">
        <v>260.0</v>
      </c>
      <c r="C290" s="99">
        <v>153.14</v>
      </c>
      <c r="D290" s="99">
        <v>470.0</v>
      </c>
      <c r="E290" s="99">
        <v>40.0</v>
      </c>
      <c r="F290" s="141">
        <f t="shared" ref="F290:F294" si="151">SUM(B290:E290)</f>
        <v>923.14</v>
      </c>
      <c r="G290" s="99">
        <v>18.0</v>
      </c>
      <c r="H290" s="99">
        <v>3.0</v>
      </c>
      <c r="I290" s="101">
        <v>50.0</v>
      </c>
    </row>
    <row r="291" ht="12.75" customHeight="1">
      <c r="A291" s="97">
        <f t="shared" ref="A291:A294" si="152">A290+1</f>
        <v>43018</v>
      </c>
      <c r="B291" s="112">
        <v>390.0</v>
      </c>
      <c r="C291" s="124">
        <v>120.22</v>
      </c>
      <c r="D291" s="124">
        <v>760.0</v>
      </c>
      <c r="E291" s="124">
        <v>40.0</v>
      </c>
      <c r="F291" s="141">
        <f t="shared" si="151"/>
        <v>1310.22</v>
      </c>
      <c r="G291" s="124">
        <v>24.0</v>
      </c>
      <c r="H291" s="124">
        <v>3.0</v>
      </c>
      <c r="I291" s="208">
        <v>40.0</v>
      </c>
    </row>
    <row r="292" ht="12.75" customHeight="1">
      <c r="A292" s="97">
        <f t="shared" si="152"/>
        <v>43019</v>
      </c>
      <c r="B292" s="112">
        <v>300.0</v>
      </c>
      <c r="C292" s="124">
        <v>246.82</v>
      </c>
      <c r="D292" s="124">
        <v>540.0</v>
      </c>
      <c r="E292" s="124">
        <v>40.0</v>
      </c>
      <c r="F292" s="141">
        <f t="shared" si="151"/>
        <v>1126.82</v>
      </c>
      <c r="G292" s="124">
        <v>27.0</v>
      </c>
      <c r="H292" s="124">
        <v>6.0</v>
      </c>
      <c r="I292" s="208">
        <v>40.0</v>
      </c>
    </row>
    <row r="293" ht="12.75" customHeight="1">
      <c r="A293" s="97">
        <f t="shared" si="152"/>
        <v>43020</v>
      </c>
      <c r="B293" s="112">
        <v>170.0</v>
      </c>
      <c r="C293" s="124">
        <v>112.48</v>
      </c>
      <c r="D293" s="124">
        <v>1020.0</v>
      </c>
      <c r="E293" s="124">
        <v>340.0</v>
      </c>
      <c r="F293" s="141">
        <f t="shared" si="151"/>
        <v>1642.48</v>
      </c>
      <c r="G293" s="124">
        <v>28.0</v>
      </c>
      <c r="H293" s="124">
        <v>2.0</v>
      </c>
      <c r="I293" s="208">
        <v>340.0</v>
      </c>
    </row>
    <row r="294" ht="12.75" customHeight="1">
      <c r="A294" s="97">
        <f t="shared" si="152"/>
        <v>43021</v>
      </c>
      <c r="B294" s="166">
        <v>180.0</v>
      </c>
      <c r="C294" s="124">
        <v>82.72</v>
      </c>
      <c r="D294" s="124">
        <v>710.0</v>
      </c>
      <c r="E294" s="124">
        <v>40.0</v>
      </c>
      <c r="F294" s="141">
        <f t="shared" si="151"/>
        <v>1012.72</v>
      </c>
      <c r="G294" s="124">
        <v>23.0</v>
      </c>
      <c r="H294" s="124">
        <v>2.0</v>
      </c>
      <c r="I294" s="208">
        <v>50.0</v>
      </c>
    </row>
    <row r="295" ht="12.75" customHeight="1">
      <c r="A295" s="67"/>
      <c r="B295" s="91">
        <f t="shared" ref="B295:I295" si="153">SUM(B290:B294)</f>
        <v>1300</v>
      </c>
      <c r="C295" s="91">
        <f t="shared" si="153"/>
        <v>715.38</v>
      </c>
      <c r="D295" s="91">
        <f t="shared" si="153"/>
        <v>3500</v>
      </c>
      <c r="E295" s="91">
        <f t="shared" si="153"/>
        <v>500</v>
      </c>
      <c r="F295" s="91">
        <f t="shared" si="153"/>
        <v>6015.38</v>
      </c>
      <c r="G295" s="70">
        <f t="shared" si="153"/>
        <v>120</v>
      </c>
      <c r="H295" s="91">
        <f t="shared" si="153"/>
        <v>16</v>
      </c>
      <c r="I295" s="91">
        <f t="shared" si="153"/>
        <v>520</v>
      </c>
    </row>
    <row r="296" ht="12.75" customHeight="1">
      <c r="A296" s="74"/>
      <c r="B296" s="74"/>
      <c r="C296" s="74"/>
      <c r="D296" s="74"/>
      <c r="E296" s="74"/>
      <c r="F296" s="74"/>
      <c r="G296" s="93"/>
      <c r="H296" s="74"/>
      <c r="I296" s="74"/>
    </row>
    <row r="297" ht="12.75" customHeight="1">
      <c r="A297" s="64">
        <f>A294+3</f>
        <v>43024</v>
      </c>
      <c r="B297" s="112">
        <v>260.0</v>
      </c>
      <c r="C297" s="124">
        <v>165.44</v>
      </c>
      <c r="D297" s="124">
        <v>720.0</v>
      </c>
      <c r="E297" s="124">
        <v>230.0</v>
      </c>
      <c r="F297" s="141">
        <f t="shared" ref="F297:F301" si="154">SUM(B297:E297)</f>
        <v>1375.44</v>
      </c>
      <c r="G297" s="99">
        <v>29.0</v>
      </c>
      <c r="H297" s="99">
        <v>4.0</v>
      </c>
      <c r="I297" s="59">
        <v>210.0</v>
      </c>
    </row>
    <row r="298" ht="12.75" customHeight="1">
      <c r="A298" s="64">
        <f t="shared" ref="A298:A301" si="155">A297+1</f>
        <v>43025</v>
      </c>
      <c r="B298" s="112">
        <v>310.0</v>
      </c>
      <c r="C298" s="124">
        <v>160.52</v>
      </c>
      <c r="D298" s="124">
        <v>600.0</v>
      </c>
      <c r="E298" s="124">
        <v>130.0</v>
      </c>
      <c r="F298" s="141">
        <f t="shared" si="154"/>
        <v>1200.52</v>
      </c>
      <c r="G298" s="99">
        <v>19.0</v>
      </c>
      <c r="H298" s="99">
        <v>4.0</v>
      </c>
      <c r="I298" s="59">
        <v>140.0</v>
      </c>
    </row>
    <row r="299" ht="12.75" customHeight="1">
      <c r="A299" s="64">
        <f t="shared" si="155"/>
        <v>43026</v>
      </c>
      <c r="B299" s="112">
        <v>360.0</v>
      </c>
      <c r="C299" s="124">
        <v>272.3</v>
      </c>
      <c r="D299" s="124">
        <v>660.0</v>
      </c>
      <c r="E299" s="124">
        <v>100.0</v>
      </c>
      <c r="F299" s="141">
        <f t="shared" si="154"/>
        <v>1392.3</v>
      </c>
      <c r="G299" s="99">
        <v>31.0</v>
      </c>
      <c r="H299" s="99">
        <v>7.0</v>
      </c>
      <c r="I299" s="59">
        <v>100.0</v>
      </c>
    </row>
    <row r="300" ht="12.75" customHeight="1">
      <c r="A300" s="64">
        <f t="shared" si="155"/>
        <v>43027</v>
      </c>
      <c r="B300" s="112">
        <v>410.0</v>
      </c>
      <c r="C300" s="124">
        <v>153.14</v>
      </c>
      <c r="D300" s="124">
        <v>970.0</v>
      </c>
      <c r="E300" s="124">
        <v>250.0</v>
      </c>
      <c r="F300" s="141">
        <f t="shared" si="154"/>
        <v>1783.14</v>
      </c>
      <c r="G300" s="99">
        <v>29.0</v>
      </c>
      <c r="H300" s="99">
        <v>3.0</v>
      </c>
      <c r="I300" s="59">
        <v>250.0</v>
      </c>
    </row>
    <row r="301" ht="12.75" customHeight="1">
      <c r="A301" s="64">
        <f t="shared" si="155"/>
        <v>43028</v>
      </c>
      <c r="B301" s="112">
        <v>510.0</v>
      </c>
      <c r="C301" s="124">
        <v>155.94</v>
      </c>
      <c r="D301" s="124">
        <v>500.0</v>
      </c>
      <c r="E301" s="124">
        <v>200.0</v>
      </c>
      <c r="F301" s="141">
        <f t="shared" si="154"/>
        <v>1365.94</v>
      </c>
      <c r="G301" s="99">
        <v>22.0</v>
      </c>
      <c r="H301" s="99">
        <v>3.0</v>
      </c>
      <c r="I301" s="59">
        <v>200.0</v>
      </c>
    </row>
    <row r="302" ht="12.75" customHeight="1">
      <c r="A302" s="67"/>
      <c r="B302" s="68">
        <f t="shared" ref="B302:I302" si="156">SUM(B297:B301)</f>
        <v>1850</v>
      </c>
      <c r="C302" s="68">
        <f t="shared" si="156"/>
        <v>907.34</v>
      </c>
      <c r="D302" s="68">
        <f t="shared" si="156"/>
        <v>3450</v>
      </c>
      <c r="E302" s="68">
        <f t="shared" si="156"/>
        <v>910</v>
      </c>
      <c r="F302" s="68">
        <f t="shared" si="156"/>
        <v>7117.34</v>
      </c>
      <c r="G302" s="140">
        <f t="shared" si="156"/>
        <v>130</v>
      </c>
      <c r="H302" s="140">
        <f t="shared" si="156"/>
        <v>21</v>
      </c>
      <c r="I302" s="91">
        <f t="shared" si="156"/>
        <v>900</v>
      </c>
    </row>
    <row r="303" ht="12.75" customHeight="1">
      <c r="A303" s="74"/>
      <c r="B303" s="75"/>
      <c r="C303" s="75"/>
      <c r="D303" s="75"/>
      <c r="E303" s="75"/>
      <c r="F303" s="75"/>
      <c r="G303" s="92"/>
      <c r="H303" s="92"/>
      <c r="I303" s="74"/>
    </row>
    <row r="304" ht="12.75" customHeight="1">
      <c r="A304" s="161">
        <f>A301+3</f>
        <v>43031</v>
      </c>
      <c r="B304" s="112">
        <v>200.0</v>
      </c>
      <c r="C304" s="112">
        <v>109.78</v>
      </c>
      <c r="D304" s="112">
        <v>920.0</v>
      </c>
      <c r="E304" s="112">
        <v>260.0</v>
      </c>
      <c r="F304" s="209">
        <f t="shared" ref="F304:F308" si="157">SUM(B304:E304)</f>
        <v>1489.78</v>
      </c>
      <c r="G304" s="98">
        <v>32.0</v>
      </c>
      <c r="H304" s="101">
        <v>3.0</v>
      </c>
      <c r="I304" s="59">
        <v>270.0</v>
      </c>
    </row>
    <row r="305" ht="12.75" customHeight="1">
      <c r="A305" s="162">
        <f t="shared" ref="A305:A308" si="158">A304+1</f>
        <v>43032</v>
      </c>
      <c r="B305" s="112">
        <v>740.0</v>
      </c>
      <c r="C305" s="112">
        <v>157.36</v>
      </c>
      <c r="D305" s="112">
        <v>440.0</v>
      </c>
      <c r="E305" s="112">
        <v>320.0</v>
      </c>
      <c r="F305" s="209">
        <f t="shared" si="157"/>
        <v>1657.36</v>
      </c>
      <c r="G305" s="112">
        <v>32.0</v>
      </c>
      <c r="H305" s="112">
        <v>4.0</v>
      </c>
      <c r="I305" s="59">
        <v>320.0</v>
      </c>
    </row>
    <row r="306" ht="12.75" customHeight="1">
      <c r="A306" s="162">
        <f t="shared" si="158"/>
        <v>43033</v>
      </c>
      <c r="B306" s="112">
        <v>360.0</v>
      </c>
      <c r="C306" s="112">
        <v>155.6</v>
      </c>
      <c r="D306" s="112">
        <v>480.0</v>
      </c>
      <c r="E306" s="112">
        <v>120.0</v>
      </c>
      <c r="F306" s="209">
        <f t="shared" si="157"/>
        <v>1115.6</v>
      </c>
      <c r="G306" s="112">
        <v>25.0</v>
      </c>
      <c r="H306" s="112">
        <v>4.0</v>
      </c>
      <c r="I306" s="59">
        <v>100.0</v>
      </c>
    </row>
    <row r="307" ht="12.75" customHeight="1">
      <c r="A307" s="162">
        <f t="shared" si="158"/>
        <v>43034</v>
      </c>
      <c r="B307" s="112">
        <v>360.0</v>
      </c>
      <c r="C307" s="112">
        <v>279.34</v>
      </c>
      <c r="D307" s="112">
        <v>530.0</v>
      </c>
      <c r="E307" s="112">
        <v>100.0</v>
      </c>
      <c r="F307" s="209">
        <f t="shared" si="157"/>
        <v>1269.34</v>
      </c>
      <c r="G307" s="112">
        <v>26.0</v>
      </c>
      <c r="H307" s="112">
        <v>7.0</v>
      </c>
      <c r="I307" s="59">
        <v>100.0</v>
      </c>
    </row>
    <row r="308" ht="12.75" customHeight="1">
      <c r="A308" s="162">
        <f t="shared" si="158"/>
        <v>43035</v>
      </c>
      <c r="B308" s="166">
        <v>210.0</v>
      </c>
      <c r="C308" s="166">
        <v>357.84</v>
      </c>
      <c r="D308" s="166">
        <v>490.0</v>
      </c>
      <c r="E308" s="166">
        <v>90.0</v>
      </c>
      <c r="F308" s="210">
        <f t="shared" si="157"/>
        <v>1147.84</v>
      </c>
      <c r="G308" s="166">
        <v>21.0</v>
      </c>
      <c r="H308" s="166">
        <v>8.0</v>
      </c>
      <c r="I308" s="211">
        <v>100.0</v>
      </c>
    </row>
    <row r="309" ht="12.75" customHeight="1">
      <c r="A309" s="67"/>
      <c r="B309" s="68">
        <f t="shared" ref="B309:I309" si="159">SUM(B304:B308)</f>
        <v>1870</v>
      </c>
      <c r="C309" s="68">
        <f t="shared" si="159"/>
        <v>1059.92</v>
      </c>
      <c r="D309" s="68">
        <f t="shared" si="159"/>
        <v>2860</v>
      </c>
      <c r="E309" s="68">
        <f t="shared" si="159"/>
        <v>890</v>
      </c>
      <c r="F309" s="68">
        <f t="shared" si="159"/>
        <v>6679.92</v>
      </c>
      <c r="G309" s="140">
        <f t="shared" si="159"/>
        <v>136</v>
      </c>
      <c r="H309" s="140">
        <f t="shared" si="159"/>
        <v>26</v>
      </c>
      <c r="I309" s="91">
        <f t="shared" si="159"/>
        <v>890</v>
      </c>
    </row>
    <row r="310" ht="12.75" customHeight="1">
      <c r="A310" s="74"/>
      <c r="B310" s="75"/>
      <c r="C310" s="75"/>
      <c r="D310" s="75"/>
      <c r="E310" s="75"/>
      <c r="F310" s="75"/>
      <c r="G310" s="92"/>
      <c r="H310" s="92"/>
      <c r="I310" s="94"/>
    </row>
    <row r="311" ht="12.75" customHeight="1">
      <c r="A311" s="162">
        <f>A308+3</f>
        <v>43038</v>
      </c>
      <c r="B311" s="166">
        <v>700.0</v>
      </c>
      <c r="C311" s="166">
        <v>292.41</v>
      </c>
      <c r="D311" s="166">
        <v>820.0</v>
      </c>
      <c r="E311" s="166">
        <v>0.0</v>
      </c>
      <c r="F311" s="209">
        <f t="shared" ref="F311:F312" si="160">SUM(B311:E311)</f>
        <v>1812.41</v>
      </c>
      <c r="G311" s="98">
        <v>40.0</v>
      </c>
      <c r="H311" s="99">
        <v>8.0</v>
      </c>
      <c r="I311" s="101">
        <v>0.0</v>
      </c>
    </row>
    <row r="312" ht="12.75" customHeight="1">
      <c r="A312" s="162">
        <f>A311+1</f>
        <v>43039</v>
      </c>
      <c r="B312" s="166">
        <v>230.0</v>
      </c>
      <c r="C312" s="166">
        <v>320.0</v>
      </c>
      <c r="D312" s="166">
        <v>280.0</v>
      </c>
      <c r="E312" s="166">
        <v>220.0</v>
      </c>
      <c r="F312" s="210">
        <f t="shared" si="160"/>
        <v>1050</v>
      </c>
      <c r="G312" s="105">
        <v>23.0</v>
      </c>
      <c r="H312" s="106">
        <v>8.0</v>
      </c>
      <c r="I312" s="108">
        <v>220.0</v>
      </c>
    </row>
    <row r="313" ht="12.75" customHeight="1">
      <c r="A313" s="67"/>
      <c r="B313" s="68">
        <f t="shared" ref="B313:I313" si="161">SUM(B311:B312)</f>
        <v>930</v>
      </c>
      <c r="C313" s="68">
        <f t="shared" si="161"/>
        <v>612.41</v>
      </c>
      <c r="D313" s="68">
        <f t="shared" si="161"/>
        <v>1100</v>
      </c>
      <c r="E313" s="68">
        <f t="shared" si="161"/>
        <v>220</v>
      </c>
      <c r="F313" s="68">
        <f t="shared" si="161"/>
        <v>2862.41</v>
      </c>
      <c r="G313" s="128">
        <f t="shared" si="161"/>
        <v>63</v>
      </c>
      <c r="H313" s="128">
        <f t="shared" si="161"/>
        <v>16</v>
      </c>
      <c r="I313" s="145">
        <f t="shared" si="161"/>
        <v>220</v>
      </c>
    </row>
    <row r="314" ht="12.75" customHeight="1">
      <c r="A314" s="74"/>
      <c r="B314" s="75"/>
      <c r="C314" s="75"/>
      <c r="D314" s="75"/>
      <c r="E314" s="75"/>
      <c r="F314" s="75"/>
      <c r="G314" s="75"/>
      <c r="H314" s="75"/>
      <c r="I314" s="74"/>
    </row>
    <row r="315" ht="12.75" customHeight="1">
      <c r="A315" s="80">
        <v>43040.0</v>
      </c>
      <c r="B315" s="212"/>
      <c r="C315" s="212"/>
      <c r="D315" s="212"/>
      <c r="E315" s="212"/>
      <c r="F315" s="213">
        <f t="shared" ref="F315:F317" si="162">SUM(B315:E315)</f>
        <v>0</v>
      </c>
      <c r="G315" s="154"/>
      <c r="H315" s="154"/>
      <c r="I315" s="214"/>
    </row>
    <row r="316" ht="12.75" customHeight="1">
      <c r="A316" s="80">
        <f t="shared" ref="A316:A317" si="163">A315+1</f>
        <v>43041</v>
      </c>
      <c r="B316" s="212"/>
      <c r="C316" s="212"/>
      <c r="D316" s="212"/>
      <c r="E316" s="212"/>
      <c r="F316" s="213">
        <f t="shared" si="162"/>
        <v>0</v>
      </c>
      <c r="G316" s="84"/>
      <c r="H316" s="84"/>
      <c r="I316" s="214"/>
    </row>
    <row r="317" ht="12.75" customHeight="1">
      <c r="A317" s="80">
        <f t="shared" si="163"/>
        <v>43042</v>
      </c>
      <c r="B317" s="212"/>
      <c r="C317" s="212"/>
      <c r="D317" s="212"/>
      <c r="E317" s="212"/>
      <c r="F317" s="213">
        <f t="shared" si="162"/>
        <v>0</v>
      </c>
      <c r="G317" s="84"/>
      <c r="H317" s="84"/>
      <c r="I317" s="214"/>
    </row>
    <row r="318" ht="12.75" customHeight="1">
      <c r="A318" s="67"/>
      <c r="B318" s="215">
        <f t="shared" ref="B318:I318" si="164">SUM(B315:B317)</f>
        <v>0</v>
      </c>
      <c r="C318" s="215">
        <f t="shared" si="164"/>
        <v>0</v>
      </c>
      <c r="D318" s="215">
        <f t="shared" si="164"/>
        <v>0</v>
      </c>
      <c r="E318" s="216">
        <f t="shared" si="164"/>
        <v>0</v>
      </c>
      <c r="F318" s="217">
        <f t="shared" si="164"/>
        <v>0</v>
      </c>
      <c r="G318" s="218">
        <f t="shared" si="164"/>
        <v>0</v>
      </c>
      <c r="H318" s="218">
        <f t="shared" si="164"/>
        <v>0</v>
      </c>
      <c r="I318" s="217">
        <f t="shared" si="164"/>
        <v>0</v>
      </c>
    </row>
    <row r="319" ht="12.75" customHeight="1">
      <c r="A319" s="74"/>
      <c r="B319" s="92"/>
      <c r="C319" s="92"/>
      <c r="D319" s="92"/>
      <c r="E319" s="219"/>
      <c r="F319" s="94"/>
      <c r="G319" s="94"/>
      <c r="H319" s="94"/>
      <c r="I319" s="94"/>
    </row>
    <row r="320" ht="12.75" customHeight="1">
      <c r="A320" s="97">
        <f>A317+3</f>
        <v>43045</v>
      </c>
      <c r="B320" s="220">
        <v>150.0</v>
      </c>
      <c r="C320" s="221">
        <v>241.84</v>
      </c>
      <c r="D320" s="221">
        <v>370.0</v>
      </c>
      <c r="E320" s="221">
        <v>170.0</v>
      </c>
      <c r="F320" s="222">
        <f t="shared" ref="F320:F324" si="165">SUM(B320:E320)</f>
        <v>931.84</v>
      </c>
      <c r="G320" s="99">
        <v>17.0</v>
      </c>
      <c r="H320" s="99">
        <v>6.0</v>
      </c>
      <c r="I320" s="223">
        <v>160.0</v>
      </c>
    </row>
    <row r="321" ht="12.75" customHeight="1">
      <c r="A321" s="97">
        <f t="shared" ref="A321:A324" si="166">A320+1</f>
        <v>43046</v>
      </c>
      <c r="B321" s="224">
        <v>430.0</v>
      </c>
      <c r="C321" s="225">
        <v>69.12</v>
      </c>
      <c r="D321" s="225">
        <v>750.0</v>
      </c>
      <c r="E321" s="225">
        <v>182.2</v>
      </c>
      <c r="F321" s="222">
        <f t="shared" si="165"/>
        <v>1431.32</v>
      </c>
      <c r="G321" s="81">
        <v>21.0</v>
      </c>
      <c r="H321" s="81">
        <v>2.0</v>
      </c>
      <c r="I321" s="226">
        <v>180.0</v>
      </c>
    </row>
    <row r="322" ht="12.75" customHeight="1">
      <c r="A322" s="97">
        <f t="shared" si="166"/>
        <v>43047</v>
      </c>
      <c r="B322" s="224">
        <v>400.0</v>
      </c>
      <c r="C322" s="225">
        <v>278.62</v>
      </c>
      <c r="D322" s="225">
        <v>490.0</v>
      </c>
      <c r="E322" s="225">
        <v>140.0</v>
      </c>
      <c r="F322" s="222">
        <f t="shared" si="165"/>
        <v>1308.62</v>
      </c>
      <c r="G322" s="81">
        <v>24.0</v>
      </c>
      <c r="H322" s="81">
        <v>7.0</v>
      </c>
      <c r="I322" s="226">
        <v>150.0</v>
      </c>
    </row>
    <row r="323" ht="12.75" customHeight="1">
      <c r="A323" s="97">
        <f t="shared" si="166"/>
        <v>43048</v>
      </c>
      <c r="B323" s="224">
        <v>270.0</v>
      </c>
      <c r="C323" s="225">
        <v>159.12</v>
      </c>
      <c r="D323" s="225">
        <v>1060.0</v>
      </c>
      <c r="E323" s="225">
        <v>240.0</v>
      </c>
      <c r="F323" s="222">
        <f t="shared" si="165"/>
        <v>1729.12</v>
      </c>
      <c r="G323" s="81">
        <v>30.0</v>
      </c>
      <c r="H323" s="81">
        <v>4.0</v>
      </c>
      <c r="I323" s="226">
        <v>220.0</v>
      </c>
    </row>
    <row r="324" ht="12.75" customHeight="1">
      <c r="A324" s="97">
        <f t="shared" si="166"/>
        <v>43049</v>
      </c>
      <c r="B324" s="224">
        <v>260.0</v>
      </c>
      <c r="C324" s="225">
        <v>154.54</v>
      </c>
      <c r="D324" s="225">
        <v>940.0</v>
      </c>
      <c r="E324" s="225">
        <v>70.0</v>
      </c>
      <c r="F324" s="222">
        <f t="shared" si="165"/>
        <v>1424.54</v>
      </c>
      <c r="G324" s="81">
        <v>22.0</v>
      </c>
      <c r="H324" s="81">
        <v>3.0</v>
      </c>
      <c r="I324" s="226">
        <v>70.0</v>
      </c>
    </row>
    <row r="325" ht="12.75" customHeight="1">
      <c r="A325" s="131"/>
      <c r="B325" s="217">
        <f t="shared" ref="B325:I325" si="167">SUM(B320:B324)</f>
        <v>1510</v>
      </c>
      <c r="C325" s="217">
        <f t="shared" si="167"/>
        <v>903.24</v>
      </c>
      <c r="D325" s="217">
        <f t="shared" si="167"/>
        <v>3610</v>
      </c>
      <c r="E325" s="217">
        <f t="shared" si="167"/>
        <v>802.2</v>
      </c>
      <c r="F325" s="217">
        <f t="shared" si="167"/>
        <v>6825.44</v>
      </c>
      <c r="G325" s="218">
        <f t="shared" si="167"/>
        <v>114</v>
      </c>
      <c r="H325" s="218">
        <f t="shared" si="167"/>
        <v>22</v>
      </c>
      <c r="I325" s="217">
        <f t="shared" si="167"/>
        <v>780</v>
      </c>
    </row>
    <row r="326" ht="12.75" customHeight="1">
      <c r="A326" s="148"/>
      <c r="B326" s="74"/>
      <c r="C326" s="74"/>
      <c r="D326" s="74"/>
      <c r="E326" s="74"/>
      <c r="F326" s="74"/>
      <c r="G326" s="74"/>
      <c r="H326" s="74"/>
      <c r="I326" s="74"/>
    </row>
    <row r="327" ht="12.75" customHeight="1">
      <c r="A327" s="58">
        <f>A324+3</f>
        <v>43052</v>
      </c>
      <c r="B327" s="227">
        <v>380.0</v>
      </c>
      <c r="C327" s="228">
        <v>230.53</v>
      </c>
      <c r="D327" s="228">
        <v>811.67</v>
      </c>
      <c r="E327" s="228">
        <v>220.0</v>
      </c>
      <c r="F327" s="213">
        <f t="shared" ref="F327:F331" si="168">SUM(B327:E327)</f>
        <v>1642.2</v>
      </c>
      <c r="G327" s="59">
        <v>30.0</v>
      </c>
      <c r="H327" s="59">
        <v>6.0</v>
      </c>
      <c r="I327" s="229">
        <v>220.0</v>
      </c>
    </row>
    <row r="328" ht="12.75" customHeight="1">
      <c r="A328" s="58">
        <f t="shared" ref="A328:A331" si="169">A327+1</f>
        <v>43053</v>
      </c>
      <c r="B328" s="227">
        <v>170.0</v>
      </c>
      <c r="C328" s="228">
        <v>81.32</v>
      </c>
      <c r="D328" s="228">
        <v>290.0</v>
      </c>
      <c r="E328" s="228">
        <v>0.0</v>
      </c>
      <c r="F328" s="213">
        <f t="shared" si="168"/>
        <v>541.32</v>
      </c>
      <c r="G328" s="81">
        <v>10.0</v>
      </c>
      <c r="H328" s="81">
        <v>2.0</v>
      </c>
      <c r="I328" s="229">
        <v>0.0</v>
      </c>
    </row>
    <row r="329" ht="12.75" customHeight="1">
      <c r="A329" s="58">
        <f t="shared" si="169"/>
        <v>43054</v>
      </c>
      <c r="B329" s="230"/>
      <c r="C329" s="231"/>
      <c r="D329" s="231"/>
      <c r="E329" s="231"/>
      <c r="F329" s="213">
        <f t="shared" si="168"/>
        <v>0</v>
      </c>
      <c r="G329" s="84"/>
      <c r="H329" s="84"/>
      <c r="I329" s="232"/>
    </row>
    <row r="330" ht="12.75" customHeight="1">
      <c r="A330" s="58">
        <f t="shared" si="169"/>
        <v>43055</v>
      </c>
      <c r="B330" s="230"/>
      <c r="C330" s="231"/>
      <c r="D330" s="231"/>
      <c r="E330" s="231"/>
      <c r="F330" s="213">
        <f t="shared" si="168"/>
        <v>0</v>
      </c>
      <c r="G330" s="84"/>
      <c r="H330" s="84"/>
      <c r="I330" s="232"/>
    </row>
    <row r="331" ht="12.75" customHeight="1">
      <c r="A331" s="58">
        <f t="shared" si="169"/>
        <v>43056</v>
      </c>
      <c r="B331" s="233"/>
      <c r="C331" s="233"/>
      <c r="D331" s="233"/>
      <c r="E331" s="233"/>
      <c r="F331" s="213">
        <f t="shared" si="168"/>
        <v>0</v>
      </c>
      <c r="G331" s="84"/>
      <c r="H331" s="84"/>
      <c r="I331" s="232"/>
    </row>
    <row r="332" ht="12.75" customHeight="1">
      <c r="A332" s="67"/>
      <c r="B332" s="215">
        <f t="shared" ref="B332:I332" si="170">SUM(B327:B331)</f>
        <v>550</v>
      </c>
      <c r="C332" s="215">
        <f t="shared" si="170"/>
        <v>311.85</v>
      </c>
      <c r="D332" s="215">
        <f t="shared" si="170"/>
        <v>1101.67</v>
      </c>
      <c r="E332" s="215">
        <f t="shared" si="170"/>
        <v>220</v>
      </c>
      <c r="F332" s="216">
        <f t="shared" si="170"/>
        <v>2183.52</v>
      </c>
      <c r="G332" s="218">
        <f t="shared" si="170"/>
        <v>40</v>
      </c>
      <c r="H332" s="218">
        <f t="shared" si="170"/>
        <v>8</v>
      </c>
      <c r="I332" s="217">
        <f t="shared" si="170"/>
        <v>220</v>
      </c>
    </row>
    <row r="333" ht="12.75" customHeight="1">
      <c r="A333" s="74"/>
      <c r="B333" s="92"/>
      <c r="C333" s="92"/>
      <c r="D333" s="92"/>
      <c r="E333" s="92"/>
      <c r="F333" s="234"/>
      <c r="G333" s="74"/>
      <c r="H333" s="74"/>
      <c r="I333" s="94"/>
    </row>
    <row r="334" ht="12.75" customHeight="1">
      <c r="A334" s="97">
        <f>A331+3</f>
        <v>43059</v>
      </c>
      <c r="B334" s="220">
        <v>260.0</v>
      </c>
      <c r="C334" s="221">
        <v>238.68</v>
      </c>
      <c r="D334" s="221">
        <v>170.0</v>
      </c>
      <c r="E334" s="221">
        <v>120.0</v>
      </c>
      <c r="F334" s="235">
        <f t="shared" ref="F334:F338" si="171">SUM(B334:E334)</f>
        <v>788.68</v>
      </c>
      <c r="G334" s="59">
        <v>17.0</v>
      </c>
      <c r="H334" s="59">
        <v>6.0</v>
      </c>
      <c r="I334" s="223">
        <v>120.0</v>
      </c>
    </row>
    <row r="335" ht="12.75" customHeight="1">
      <c r="A335" s="97">
        <f t="shared" ref="A335:A338" si="172">A334+1</f>
        <v>43060</v>
      </c>
      <c r="B335" s="227">
        <v>140.0</v>
      </c>
      <c r="C335" s="228">
        <v>286.02</v>
      </c>
      <c r="D335" s="228">
        <v>370.0</v>
      </c>
      <c r="E335" s="228">
        <v>50.0</v>
      </c>
      <c r="F335" s="235">
        <f t="shared" si="171"/>
        <v>846.02</v>
      </c>
      <c r="G335" s="81">
        <v>19.0</v>
      </c>
      <c r="H335" s="81">
        <v>7.0</v>
      </c>
      <c r="I335" s="236">
        <v>60.0</v>
      </c>
    </row>
    <row r="336" ht="12.75" customHeight="1">
      <c r="A336" s="97">
        <f t="shared" si="172"/>
        <v>43061</v>
      </c>
      <c r="B336" s="227">
        <v>200.0</v>
      </c>
      <c r="C336" s="228">
        <v>236.56</v>
      </c>
      <c r="D336" s="228">
        <v>540.0</v>
      </c>
      <c r="E336" s="228">
        <v>300.0</v>
      </c>
      <c r="F336" s="235">
        <f t="shared" si="171"/>
        <v>1276.56</v>
      </c>
      <c r="G336" s="81">
        <v>26.0</v>
      </c>
      <c r="H336" s="81">
        <v>6.0</v>
      </c>
      <c r="I336" s="236">
        <v>300.0</v>
      </c>
    </row>
    <row r="337" ht="12.75" customHeight="1">
      <c r="A337" s="97">
        <f t="shared" si="172"/>
        <v>43062</v>
      </c>
      <c r="B337" s="227">
        <v>700.0</v>
      </c>
      <c r="C337" s="228">
        <v>455.54</v>
      </c>
      <c r="D337" s="228">
        <v>720.66</v>
      </c>
      <c r="E337" s="228">
        <v>50.0</v>
      </c>
      <c r="F337" s="235">
        <f t="shared" si="171"/>
        <v>1926.2</v>
      </c>
      <c r="G337" s="81">
        <v>34.0</v>
      </c>
      <c r="H337" s="81">
        <v>9.0</v>
      </c>
      <c r="I337" s="236">
        <v>60.0</v>
      </c>
    </row>
    <row r="338" ht="12.75" customHeight="1">
      <c r="A338" s="97">
        <f t="shared" si="172"/>
        <v>43063</v>
      </c>
      <c r="B338" s="227">
        <v>70.0</v>
      </c>
      <c r="C338" s="228">
        <v>494.78</v>
      </c>
      <c r="D338" s="228">
        <v>570.0</v>
      </c>
      <c r="E338" s="228">
        <v>0.0</v>
      </c>
      <c r="F338" s="235">
        <f t="shared" si="171"/>
        <v>1134.78</v>
      </c>
      <c r="G338" s="81">
        <v>18.0</v>
      </c>
      <c r="H338" s="81">
        <v>9.0</v>
      </c>
      <c r="I338" s="237">
        <v>0.0</v>
      </c>
    </row>
    <row r="339" ht="12.75" customHeight="1">
      <c r="A339" s="67"/>
      <c r="B339" s="215">
        <f t="shared" ref="B339:I339" si="173">SUM(B334:B338)</f>
        <v>1370</v>
      </c>
      <c r="C339" s="215">
        <f t="shared" si="173"/>
        <v>1711.58</v>
      </c>
      <c r="D339" s="215">
        <f t="shared" si="173"/>
        <v>2370.66</v>
      </c>
      <c r="E339" s="215">
        <f t="shared" si="173"/>
        <v>520</v>
      </c>
      <c r="F339" s="216">
        <f t="shared" si="173"/>
        <v>5972.24</v>
      </c>
      <c r="G339" s="218">
        <f t="shared" si="173"/>
        <v>114</v>
      </c>
      <c r="H339" s="218">
        <f t="shared" si="173"/>
        <v>37</v>
      </c>
      <c r="I339" s="217">
        <f t="shared" si="173"/>
        <v>540</v>
      </c>
    </row>
    <row r="340" ht="12.75" customHeight="1">
      <c r="A340" s="74"/>
      <c r="B340" s="92"/>
      <c r="C340" s="92"/>
      <c r="D340" s="92"/>
      <c r="E340" s="92"/>
      <c r="F340" s="234"/>
      <c r="G340" s="94"/>
      <c r="H340" s="94"/>
      <c r="I340" s="94"/>
    </row>
    <row r="341" ht="12.75" customHeight="1">
      <c r="A341" s="97">
        <f>A338+3</f>
        <v>43066</v>
      </c>
      <c r="B341" s="220">
        <v>350.0</v>
      </c>
      <c r="C341" s="221">
        <v>230.94</v>
      </c>
      <c r="D341" s="221">
        <v>790.0</v>
      </c>
      <c r="E341" s="223">
        <v>480.0</v>
      </c>
      <c r="F341" s="238">
        <f t="shared" ref="F341:F344" si="174">SUM(B341:E341)</f>
        <v>1850.94</v>
      </c>
      <c r="G341" s="98">
        <v>30.0</v>
      </c>
      <c r="H341" s="99">
        <v>5.0</v>
      </c>
      <c r="I341" s="223">
        <v>480.0</v>
      </c>
    </row>
    <row r="342" ht="12.75" customHeight="1">
      <c r="A342" s="97">
        <f t="shared" ref="A342:A344" si="175">A341+1</f>
        <v>43067</v>
      </c>
      <c r="B342" s="224">
        <v>140.0</v>
      </c>
      <c r="C342" s="225">
        <v>79.56</v>
      </c>
      <c r="D342" s="225">
        <v>510.0</v>
      </c>
      <c r="E342" s="226">
        <v>250.0</v>
      </c>
      <c r="F342" s="238">
        <f t="shared" si="174"/>
        <v>979.56</v>
      </c>
      <c r="G342" s="103">
        <v>17.0</v>
      </c>
      <c r="H342" s="81">
        <v>2.0</v>
      </c>
      <c r="I342" s="226">
        <v>250.0</v>
      </c>
    </row>
    <row r="343" ht="12.75" customHeight="1">
      <c r="A343" s="97">
        <f t="shared" si="175"/>
        <v>43068</v>
      </c>
      <c r="B343" s="239">
        <v>200.0</v>
      </c>
      <c r="C343" s="240">
        <v>244.5</v>
      </c>
      <c r="D343" s="240">
        <v>1040.0</v>
      </c>
      <c r="E343" s="241">
        <v>160.0</v>
      </c>
      <c r="F343" s="238">
        <f t="shared" si="174"/>
        <v>1644.5</v>
      </c>
      <c r="G343" s="242">
        <v>32.0</v>
      </c>
      <c r="H343" s="89">
        <v>6.0</v>
      </c>
      <c r="I343" s="241">
        <v>160.0</v>
      </c>
    </row>
    <row r="344" ht="12.75" customHeight="1">
      <c r="A344" s="97">
        <f t="shared" si="175"/>
        <v>43069</v>
      </c>
      <c r="B344" s="243">
        <v>300.0</v>
      </c>
      <c r="C344" s="244">
        <v>516.6</v>
      </c>
      <c r="D344" s="244">
        <v>600.0</v>
      </c>
      <c r="E344" s="245">
        <v>50.0</v>
      </c>
      <c r="F344" s="238">
        <f t="shared" si="174"/>
        <v>1466.6</v>
      </c>
      <c r="G344" s="105">
        <v>28.0</v>
      </c>
      <c r="H344" s="106">
        <v>12.0</v>
      </c>
      <c r="I344" s="245">
        <v>50.0</v>
      </c>
    </row>
    <row r="345" ht="12.75" customHeight="1">
      <c r="A345" s="67"/>
      <c r="B345" s="246">
        <f t="shared" ref="B345:I345" si="176">SUM(B341:B344)</f>
        <v>990</v>
      </c>
      <c r="C345" s="246">
        <f t="shared" si="176"/>
        <v>1071.6</v>
      </c>
      <c r="D345" s="246">
        <f t="shared" si="176"/>
        <v>2940</v>
      </c>
      <c r="E345" s="246">
        <f t="shared" si="176"/>
        <v>940</v>
      </c>
      <c r="F345" s="216">
        <f t="shared" si="176"/>
        <v>5941.6</v>
      </c>
      <c r="G345" s="174">
        <f t="shared" si="176"/>
        <v>107</v>
      </c>
      <c r="H345" s="174">
        <f t="shared" si="176"/>
        <v>25</v>
      </c>
      <c r="I345" s="246">
        <f t="shared" si="176"/>
        <v>940</v>
      </c>
    </row>
    <row r="346" ht="12.75" customHeight="1">
      <c r="A346" s="74"/>
      <c r="B346" s="74"/>
      <c r="C346" s="74"/>
      <c r="D346" s="74"/>
      <c r="E346" s="74"/>
      <c r="F346" s="234"/>
      <c r="G346" s="74"/>
      <c r="H346" s="74"/>
      <c r="I346" s="74"/>
    </row>
    <row r="347" ht="12.75" customHeight="1">
      <c r="A347" s="58">
        <v>43070.0</v>
      </c>
      <c r="B347" s="81">
        <v>270.0</v>
      </c>
      <c r="C347" s="81">
        <v>82.72</v>
      </c>
      <c r="D347" s="81">
        <v>870.0</v>
      </c>
      <c r="E347" s="81">
        <v>170.0</v>
      </c>
      <c r="F347" s="183">
        <f>SUM(B347:E347)</f>
        <v>1392.72</v>
      </c>
      <c r="G347" s="81">
        <v>25.0</v>
      </c>
      <c r="H347" s="81">
        <v>2.0</v>
      </c>
      <c r="I347" s="83">
        <v>170.0</v>
      </c>
    </row>
    <row r="348" ht="12.75" customHeight="1">
      <c r="A348" s="67"/>
      <c r="B348" s="68">
        <f t="shared" ref="B348:I348" si="177">SUM(B347)</f>
        <v>270</v>
      </c>
      <c r="C348" s="68">
        <f t="shared" si="177"/>
        <v>82.72</v>
      </c>
      <c r="D348" s="68">
        <f t="shared" si="177"/>
        <v>870</v>
      </c>
      <c r="E348" s="68">
        <f t="shared" si="177"/>
        <v>170</v>
      </c>
      <c r="F348" s="68">
        <f t="shared" si="177"/>
        <v>1392.72</v>
      </c>
      <c r="G348" s="70">
        <f t="shared" si="177"/>
        <v>25</v>
      </c>
      <c r="H348" s="70">
        <f t="shared" si="177"/>
        <v>2</v>
      </c>
      <c r="I348" s="91">
        <f t="shared" si="177"/>
        <v>170</v>
      </c>
    </row>
    <row r="349" ht="12.75" customHeight="1">
      <c r="A349" s="74"/>
      <c r="B349" s="75"/>
      <c r="C349" s="75"/>
      <c r="D349" s="75"/>
      <c r="E349" s="75"/>
      <c r="F349" s="75"/>
      <c r="G349" s="76"/>
      <c r="H349" s="76"/>
      <c r="I349" s="74"/>
    </row>
    <row r="350" ht="12.75" customHeight="1">
      <c r="A350" s="58">
        <f>A347+3</f>
        <v>43073</v>
      </c>
      <c r="B350" s="59">
        <v>150.0</v>
      </c>
      <c r="C350" s="59">
        <v>159.12</v>
      </c>
      <c r="D350" s="59">
        <v>320.0</v>
      </c>
      <c r="E350" s="59">
        <v>150.0</v>
      </c>
      <c r="F350" s="60">
        <f t="shared" ref="F350:F354" si="178">SUM(B350:E350)</f>
        <v>779.12</v>
      </c>
      <c r="G350" s="59">
        <v>18.0</v>
      </c>
      <c r="H350" s="59">
        <v>4.0</v>
      </c>
      <c r="I350" s="61">
        <v>150.0</v>
      </c>
    </row>
    <row r="351" ht="12.75" customHeight="1">
      <c r="A351" s="58">
        <f t="shared" ref="A351:A354" si="179">A350+1</f>
        <v>43074</v>
      </c>
      <c r="B351" s="247">
        <v>290.0</v>
      </c>
      <c r="C351" s="81">
        <v>120.22</v>
      </c>
      <c r="D351" s="81">
        <v>520.0</v>
      </c>
      <c r="E351" s="81">
        <v>120.0</v>
      </c>
      <c r="F351" s="60">
        <f t="shared" si="178"/>
        <v>1050.22</v>
      </c>
      <c r="G351" s="81">
        <v>18.0</v>
      </c>
      <c r="H351" s="81">
        <v>3.0</v>
      </c>
      <c r="I351" s="83">
        <v>120.0</v>
      </c>
    </row>
    <row r="352" ht="12.75" customHeight="1">
      <c r="A352" s="58">
        <f t="shared" si="179"/>
        <v>43075</v>
      </c>
      <c r="B352" s="81">
        <v>270.0</v>
      </c>
      <c r="C352" s="81">
        <v>314.36</v>
      </c>
      <c r="D352" s="81">
        <v>470.0</v>
      </c>
      <c r="E352" s="81">
        <v>200.0</v>
      </c>
      <c r="F352" s="60">
        <f t="shared" si="178"/>
        <v>1254.36</v>
      </c>
      <c r="G352" s="81">
        <v>28.0</v>
      </c>
      <c r="H352" s="81">
        <v>8.0</v>
      </c>
      <c r="I352" s="83">
        <v>200.0</v>
      </c>
    </row>
    <row r="353" ht="12.75" customHeight="1">
      <c r="A353" s="58">
        <f t="shared" si="179"/>
        <v>43076</v>
      </c>
      <c r="B353" s="81">
        <v>390.0</v>
      </c>
      <c r="C353" s="81">
        <v>287.42</v>
      </c>
      <c r="D353" s="81">
        <v>670.0</v>
      </c>
      <c r="E353" s="81">
        <v>180.0</v>
      </c>
      <c r="F353" s="60">
        <f t="shared" si="178"/>
        <v>1527.42</v>
      </c>
      <c r="G353" s="81">
        <v>27.0</v>
      </c>
      <c r="H353" s="81">
        <v>7.0</v>
      </c>
      <c r="I353" s="83">
        <v>180.0</v>
      </c>
    </row>
    <row r="354" ht="12.75" customHeight="1">
      <c r="A354" s="58">
        <f t="shared" si="179"/>
        <v>43077</v>
      </c>
      <c r="B354" s="81">
        <v>0.0</v>
      </c>
      <c r="C354" s="81">
        <v>40.66</v>
      </c>
      <c r="D354" s="81">
        <v>560.0</v>
      </c>
      <c r="E354" s="81">
        <v>50.0</v>
      </c>
      <c r="F354" s="60">
        <f t="shared" si="178"/>
        <v>650.66</v>
      </c>
      <c r="G354" s="81">
        <v>13.0</v>
      </c>
      <c r="H354" s="81">
        <v>1.0</v>
      </c>
      <c r="I354" s="83">
        <v>50.0</v>
      </c>
    </row>
    <row r="355" ht="12.75" customHeight="1">
      <c r="A355" s="67"/>
      <c r="B355" s="68">
        <f t="shared" ref="B355:I355" si="180">SUM(B350:B354)</f>
        <v>1100</v>
      </c>
      <c r="C355" s="68">
        <f t="shared" si="180"/>
        <v>921.78</v>
      </c>
      <c r="D355" s="68">
        <f t="shared" si="180"/>
        <v>2540</v>
      </c>
      <c r="E355" s="68">
        <f t="shared" si="180"/>
        <v>700</v>
      </c>
      <c r="F355" s="68">
        <f t="shared" si="180"/>
        <v>5261.78</v>
      </c>
      <c r="G355" s="70">
        <f t="shared" si="180"/>
        <v>104</v>
      </c>
      <c r="H355" s="70">
        <f t="shared" si="180"/>
        <v>23</v>
      </c>
      <c r="I355" s="91">
        <f t="shared" si="180"/>
        <v>700</v>
      </c>
    </row>
    <row r="356" ht="12.75" customHeight="1">
      <c r="A356" s="74"/>
      <c r="B356" s="75"/>
      <c r="C356" s="75"/>
      <c r="D356" s="75"/>
      <c r="E356" s="75"/>
      <c r="F356" s="75"/>
      <c r="G356" s="76"/>
      <c r="H356" s="76"/>
      <c r="I356" s="74"/>
    </row>
    <row r="357" ht="12.75" customHeight="1">
      <c r="A357" s="248">
        <f>A354+3</f>
        <v>43080</v>
      </c>
      <c r="B357" s="59">
        <v>240.0</v>
      </c>
      <c r="C357" s="59">
        <v>121.98</v>
      </c>
      <c r="D357" s="59">
        <v>860.0</v>
      </c>
      <c r="E357" s="59">
        <v>150.0</v>
      </c>
      <c r="F357" s="141">
        <f t="shared" ref="F357:F361" si="181">SUM(B357:E357)</f>
        <v>1371.98</v>
      </c>
      <c r="G357" s="59">
        <v>27.0</v>
      </c>
      <c r="H357" s="59">
        <v>3.0</v>
      </c>
      <c r="I357" s="61">
        <v>150.0</v>
      </c>
    </row>
    <row r="358" ht="12.75" customHeight="1">
      <c r="A358" s="97">
        <f t="shared" ref="A358:A361" si="182">A357+1</f>
        <v>43081</v>
      </c>
      <c r="B358" s="59">
        <v>300.0</v>
      </c>
      <c r="C358" s="59">
        <v>203.3</v>
      </c>
      <c r="D358" s="59">
        <v>390.0</v>
      </c>
      <c r="E358" s="59">
        <v>0.0</v>
      </c>
      <c r="F358" s="141">
        <f t="shared" si="181"/>
        <v>893.3</v>
      </c>
      <c r="G358" s="124">
        <v>18.0</v>
      </c>
      <c r="H358" s="124">
        <v>5.0</v>
      </c>
      <c r="I358" s="208">
        <v>0.0</v>
      </c>
    </row>
    <row r="359" ht="12.75" customHeight="1">
      <c r="A359" s="97">
        <f t="shared" si="182"/>
        <v>43082</v>
      </c>
      <c r="B359" s="59">
        <v>340.0</v>
      </c>
      <c r="C359" s="59">
        <v>194.5</v>
      </c>
      <c r="D359" s="59">
        <v>880.0</v>
      </c>
      <c r="E359" s="59">
        <v>0.0</v>
      </c>
      <c r="F359" s="141">
        <f t="shared" si="181"/>
        <v>1414.5</v>
      </c>
      <c r="G359" s="124">
        <v>28.0</v>
      </c>
      <c r="H359" s="124">
        <v>5.0</v>
      </c>
      <c r="I359" s="208">
        <v>0.0</v>
      </c>
    </row>
    <row r="360" ht="12.75" customHeight="1">
      <c r="A360" s="97">
        <f t="shared" si="182"/>
        <v>43083</v>
      </c>
      <c r="B360" s="59">
        <v>580.0</v>
      </c>
      <c r="C360" s="59">
        <v>275.12</v>
      </c>
      <c r="D360" s="59">
        <v>680.0</v>
      </c>
      <c r="E360" s="59">
        <v>0.0</v>
      </c>
      <c r="F360" s="141">
        <f t="shared" si="181"/>
        <v>1535.12</v>
      </c>
      <c r="G360" s="59">
        <v>29.0</v>
      </c>
      <c r="H360" s="59">
        <v>6.0</v>
      </c>
      <c r="I360" s="59">
        <v>0.0</v>
      </c>
    </row>
    <row r="361" ht="12.75" customHeight="1">
      <c r="A361" s="97">
        <f t="shared" si="182"/>
        <v>43084</v>
      </c>
      <c r="B361" s="211">
        <v>150.0</v>
      </c>
      <c r="C361" s="211">
        <v>40.66</v>
      </c>
      <c r="D361" s="211">
        <v>450.0</v>
      </c>
      <c r="E361" s="211">
        <v>0.0</v>
      </c>
      <c r="F361" s="141">
        <f t="shared" si="181"/>
        <v>640.66</v>
      </c>
      <c r="G361" s="211">
        <v>13.0</v>
      </c>
      <c r="H361" s="211"/>
      <c r="I361" s="211">
        <v>0.0</v>
      </c>
    </row>
    <row r="362" ht="12.75" customHeight="1">
      <c r="A362" s="67"/>
      <c r="B362" s="68">
        <f t="shared" ref="B362:I362" si="183">SUM(B357:B361)</f>
        <v>1610</v>
      </c>
      <c r="C362" s="68">
        <f t="shared" si="183"/>
        <v>835.56</v>
      </c>
      <c r="D362" s="68">
        <f t="shared" si="183"/>
        <v>3260</v>
      </c>
      <c r="E362" s="68">
        <f t="shared" si="183"/>
        <v>150</v>
      </c>
      <c r="F362" s="249">
        <f t="shared" si="183"/>
        <v>5855.56</v>
      </c>
      <c r="G362" s="218">
        <f t="shared" si="183"/>
        <v>115</v>
      </c>
      <c r="H362" s="140">
        <f t="shared" si="183"/>
        <v>19</v>
      </c>
      <c r="I362" s="91">
        <f t="shared" si="183"/>
        <v>150</v>
      </c>
    </row>
    <row r="363" ht="12.75" customHeight="1">
      <c r="A363" s="74"/>
      <c r="B363" s="75"/>
      <c r="C363" s="75"/>
      <c r="D363" s="75"/>
      <c r="E363" s="75"/>
      <c r="F363" s="234"/>
      <c r="G363" s="74"/>
      <c r="H363" s="75"/>
      <c r="I363" s="74"/>
    </row>
    <row r="364" ht="12.75" customHeight="1">
      <c r="A364" s="64">
        <f>A361+3</f>
        <v>43087</v>
      </c>
      <c r="B364" s="59">
        <v>70.0</v>
      </c>
      <c r="C364" s="59">
        <v>241.84</v>
      </c>
      <c r="D364" s="59">
        <v>170.0</v>
      </c>
      <c r="E364" s="59">
        <v>0.0</v>
      </c>
      <c r="F364" s="60">
        <f t="shared" ref="F364:F368" si="184">SUM(B364:E364)</f>
        <v>481.84</v>
      </c>
      <c r="G364" s="59">
        <v>10.0</v>
      </c>
      <c r="H364" s="59">
        <v>6.0</v>
      </c>
      <c r="I364" s="61">
        <v>0.0</v>
      </c>
    </row>
    <row r="365" ht="12.75" customHeight="1">
      <c r="A365" s="64">
        <f t="shared" ref="A365:A368" si="185">A364+1</f>
        <v>43088</v>
      </c>
      <c r="B365" s="81">
        <v>150.0</v>
      </c>
      <c r="C365" s="81">
        <v>159.12</v>
      </c>
      <c r="D365" s="81">
        <v>420.0</v>
      </c>
      <c r="E365" s="81">
        <v>150.0</v>
      </c>
      <c r="F365" s="60">
        <f t="shared" si="184"/>
        <v>879.12</v>
      </c>
      <c r="G365" s="81">
        <v>18.0</v>
      </c>
      <c r="H365" s="81">
        <v>4.0</v>
      </c>
      <c r="I365" s="83">
        <v>150.0</v>
      </c>
    </row>
    <row r="366" ht="12.75" customHeight="1">
      <c r="A366" s="64">
        <f t="shared" si="185"/>
        <v>43089</v>
      </c>
      <c r="B366" s="81">
        <v>220.0</v>
      </c>
      <c r="C366" s="81">
        <v>158.76</v>
      </c>
      <c r="D366" s="81">
        <v>390.0</v>
      </c>
      <c r="E366" s="81">
        <v>120.0</v>
      </c>
      <c r="F366" s="60">
        <f t="shared" si="184"/>
        <v>888.76</v>
      </c>
      <c r="G366" s="81">
        <v>19.0</v>
      </c>
      <c r="H366" s="81">
        <v>4.0</v>
      </c>
      <c r="I366" s="83">
        <v>120.0</v>
      </c>
    </row>
    <row r="367" ht="12.75" customHeight="1">
      <c r="A367" s="64">
        <f t="shared" si="185"/>
        <v>43090</v>
      </c>
      <c r="B367" s="81">
        <v>250.0</v>
      </c>
      <c r="C367" s="81">
        <v>274.76</v>
      </c>
      <c r="D367" s="81">
        <v>860.0</v>
      </c>
      <c r="E367" s="81">
        <v>50.0</v>
      </c>
      <c r="F367" s="60">
        <f t="shared" si="184"/>
        <v>1434.76</v>
      </c>
      <c r="G367" s="81">
        <v>30.0</v>
      </c>
      <c r="H367" s="81">
        <v>6.0</v>
      </c>
      <c r="I367" s="83">
        <v>50.0</v>
      </c>
    </row>
    <row r="368" ht="12.75" customHeight="1">
      <c r="A368" s="64">
        <f t="shared" si="185"/>
        <v>43091</v>
      </c>
      <c r="B368" s="81">
        <v>50.0</v>
      </c>
      <c r="C368" s="81">
        <v>82.72</v>
      </c>
      <c r="D368" s="81">
        <v>340.0</v>
      </c>
      <c r="E368" s="81">
        <v>0.0</v>
      </c>
      <c r="F368" s="60">
        <f t="shared" si="184"/>
        <v>472.72</v>
      </c>
      <c r="G368" s="81">
        <v>9.0</v>
      </c>
      <c r="H368" s="81">
        <v>2.0</v>
      </c>
      <c r="I368" s="83">
        <v>0.0</v>
      </c>
    </row>
    <row r="369" ht="12.75" customHeight="1">
      <c r="A369" s="131"/>
      <c r="B369" s="68">
        <f t="shared" ref="B369:I369" si="186">SUM(B364:B368)</f>
        <v>740</v>
      </c>
      <c r="C369" s="68">
        <f t="shared" si="186"/>
        <v>917.2</v>
      </c>
      <c r="D369" s="68">
        <f t="shared" si="186"/>
        <v>2180</v>
      </c>
      <c r="E369" s="68">
        <f t="shared" si="186"/>
        <v>320</v>
      </c>
      <c r="F369" s="68">
        <f t="shared" si="186"/>
        <v>4157.2</v>
      </c>
      <c r="G369" s="70">
        <f t="shared" si="186"/>
        <v>86</v>
      </c>
      <c r="H369" s="70">
        <f t="shared" si="186"/>
        <v>22</v>
      </c>
      <c r="I369" s="91">
        <f t="shared" si="186"/>
        <v>320</v>
      </c>
    </row>
    <row r="370" ht="12.75" customHeight="1">
      <c r="A370" s="148"/>
      <c r="B370" s="75"/>
      <c r="C370" s="75"/>
      <c r="D370" s="75"/>
      <c r="E370" s="75"/>
      <c r="F370" s="75"/>
      <c r="G370" s="76"/>
      <c r="H370" s="76"/>
      <c r="I370" s="74"/>
    </row>
    <row r="371" ht="12.75" customHeight="1">
      <c r="A371" s="64">
        <f>A368+3</f>
        <v>43094</v>
      </c>
      <c r="B371" s="84"/>
      <c r="C371" s="84"/>
      <c r="D371" s="84"/>
      <c r="E371" s="84"/>
      <c r="F371" s="85">
        <f t="shared" ref="F371:F373" si="187">SUM(B371:E371)</f>
        <v>0</v>
      </c>
      <c r="G371" s="84"/>
      <c r="H371" s="84"/>
      <c r="I371" s="86"/>
    </row>
    <row r="372" ht="12.75" customHeight="1">
      <c r="A372" s="64">
        <f t="shared" ref="A372:A375" si="188">A371+1</f>
        <v>43095</v>
      </c>
      <c r="B372" s="84"/>
      <c r="C372" s="84"/>
      <c r="D372" s="84"/>
      <c r="E372" s="84"/>
      <c r="F372" s="85">
        <f t="shared" si="187"/>
        <v>0</v>
      </c>
      <c r="G372" s="84"/>
      <c r="H372" s="84"/>
      <c r="I372" s="86"/>
    </row>
    <row r="373" ht="12.75" customHeight="1">
      <c r="A373" s="64">
        <f t="shared" si="188"/>
        <v>43096</v>
      </c>
      <c r="B373" s="84"/>
      <c r="C373" s="84"/>
      <c r="D373" s="84"/>
      <c r="E373" s="84"/>
      <c r="F373" s="85">
        <f t="shared" si="187"/>
        <v>0</v>
      </c>
      <c r="G373" s="84"/>
      <c r="H373" s="84"/>
      <c r="I373" s="86"/>
    </row>
    <row r="374" ht="12.75" customHeight="1">
      <c r="A374" s="64">
        <f t="shared" si="188"/>
        <v>43097</v>
      </c>
      <c r="B374" s="84"/>
      <c r="C374" s="84"/>
      <c r="D374" s="84"/>
      <c r="E374" s="84"/>
      <c r="F374" s="85"/>
      <c r="G374" s="84"/>
      <c r="H374" s="84"/>
      <c r="I374" s="86"/>
    </row>
    <row r="375" ht="12.75" customHeight="1">
      <c r="A375" s="64">
        <f t="shared" si="188"/>
        <v>43098</v>
      </c>
      <c r="B375" s="84"/>
      <c r="C375" s="84"/>
      <c r="D375" s="84"/>
      <c r="E375" s="84"/>
      <c r="F375" s="85">
        <f>SUM(B375:E375)</f>
        <v>0</v>
      </c>
      <c r="G375" s="84"/>
      <c r="H375" s="84"/>
      <c r="I375" s="86"/>
    </row>
    <row r="376" ht="12.75" customHeight="1">
      <c r="A376" s="131"/>
      <c r="B376" s="68">
        <f t="shared" ref="B376:I376" si="189">SUM(B371:B375)</f>
        <v>0</v>
      </c>
      <c r="C376" s="68">
        <f t="shared" si="189"/>
        <v>0</v>
      </c>
      <c r="D376" s="68">
        <f t="shared" si="189"/>
        <v>0</v>
      </c>
      <c r="E376" s="68">
        <f t="shared" si="189"/>
        <v>0</v>
      </c>
      <c r="F376" s="68">
        <f t="shared" si="189"/>
        <v>0</v>
      </c>
      <c r="G376" s="70">
        <f t="shared" si="189"/>
        <v>0</v>
      </c>
      <c r="H376" s="70">
        <f t="shared" si="189"/>
        <v>0</v>
      </c>
      <c r="I376" s="68">
        <f t="shared" si="189"/>
        <v>0</v>
      </c>
    </row>
    <row r="377" ht="12.75" customHeight="1">
      <c r="A377" s="148"/>
      <c r="B377" s="75"/>
      <c r="C377" s="75"/>
      <c r="D377" s="75"/>
      <c r="E377" s="75"/>
      <c r="F377" s="75"/>
      <c r="G377" s="76"/>
      <c r="H377" s="76"/>
      <c r="I377" s="75"/>
    </row>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33">
    <mergeCell ref="L6:M6"/>
    <mergeCell ref="A7:A8"/>
    <mergeCell ref="B7:B8"/>
    <mergeCell ref="C7:C8"/>
    <mergeCell ref="D7:D8"/>
    <mergeCell ref="E7:E8"/>
    <mergeCell ref="F7:F8"/>
    <mergeCell ref="I7:I8"/>
    <mergeCell ref="F14:F15"/>
    <mergeCell ref="G14:G15"/>
    <mergeCell ref="I14:I15"/>
    <mergeCell ref="L15:M15"/>
    <mergeCell ref="G7:G8"/>
    <mergeCell ref="H7:H8"/>
    <mergeCell ref="B14:B15"/>
    <mergeCell ref="C14:C15"/>
    <mergeCell ref="D14:D15"/>
    <mergeCell ref="E14:E15"/>
    <mergeCell ref="H14:H15"/>
    <mergeCell ref="G21:G22"/>
    <mergeCell ref="H21:H22"/>
    <mergeCell ref="I21:I22"/>
    <mergeCell ref="L24:M24"/>
    <mergeCell ref="A14:A15"/>
    <mergeCell ref="A21:A22"/>
    <mergeCell ref="B21:B22"/>
    <mergeCell ref="C21:C22"/>
    <mergeCell ref="D21:D22"/>
    <mergeCell ref="E21:E22"/>
    <mergeCell ref="F21:F22"/>
    <mergeCell ref="H28:H29"/>
    <mergeCell ref="I28:I29"/>
    <mergeCell ref="A28:A29"/>
    <mergeCell ref="B28:B29"/>
    <mergeCell ref="C28:C29"/>
    <mergeCell ref="D28:D29"/>
    <mergeCell ref="E28:E29"/>
    <mergeCell ref="F28:F29"/>
    <mergeCell ref="G28:G29"/>
    <mergeCell ref="I51:I52"/>
    <mergeCell ref="L52:M52"/>
    <mergeCell ref="B51:B52"/>
    <mergeCell ref="C51:C52"/>
    <mergeCell ref="D51:D52"/>
    <mergeCell ref="E51:E52"/>
    <mergeCell ref="F51:F52"/>
    <mergeCell ref="G51:G52"/>
    <mergeCell ref="H51:H52"/>
    <mergeCell ref="H58:H59"/>
    <mergeCell ref="I58:I59"/>
    <mergeCell ref="L61:M61"/>
    <mergeCell ref="A58:A59"/>
    <mergeCell ref="B58:B59"/>
    <mergeCell ref="C58:C59"/>
    <mergeCell ref="D58:D59"/>
    <mergeCell ref="E58:E59"/>
    <mergeCell ref="F58:F59"/>
    <mergeCell ref="G58:G59"/>
    <mergeCell ref="H62:H63"/>
    <mergeCell ref="I62:I63"/>
    <mergeCell ref="A62:A63"/>
    <mergeCell ref="B62:B63"/>
    <mergeCell ref="C62:C63"/>
    <mergeCell ref="D62:D63"/>
    <mergeCell ref="E62:E63"/>
    <mergeCell ref="F62:F63"/>
    <mergeCell ref="G62:G63"/>
    <mergeCell ref="H67:H68"/>
    <mergeCell ref="I67:I68"/>
    <mergeCell ref="L70:M70"/>
    <mergeCell ref="A67:A68"/>
    <mergeCell ref="B67:B68"/>
    <mergeCell ref="C67:C68"/>
    <mergeCell ref="D67:D68"/>
    <mergeCell ref="E67:E68"/>
    <mergeCell ref="F67:F68"/>
    <mergeCell ref="G67:G68"/>
    <mergeCell ref="H81:H82"/>
    <mergeCell ref="I81:I82"/>
    <mergeCell ref="A81:A82"/>
    <mergeCell ref="B81:B82"/>
    <mergeCell ref="C81:C82"/>
    <mergeCell ref="D81:D82"/>
    <mergeCell ref="E81:E82"/>
    <mergeCell ref="F81:F82"/>
    <mergeCell ref="G81:G82"/>
    <mergeCell ref="H88:H89"/>
    <mergeCell ref="I88:I89"/>
    <mergeCell ref="L88:M88"/>
    <mergeCell ref="A88:A89"/>
    <mergeCell ref="B88:B89"/>
    <mergeCell ref="C88:C89"/>
    <mergeCell ref="D88:D89"/>
    <mergeCell ref="E88:E89"/>
    <mergeCell ref="F88:F89"/>
    <mergeCell ref="G88:G89"/>
    <mergeCell ref="H74:H75"/>
    <mergeCell ref="I74:I75"/>
    <mergeCell ref="L79:M79"/>
    <mergeCell ref="A74:A75"/>
    <mergeCell ref="B74:B75"/>
    <mergeCell ref="C74:C75"/>
    <mergeCell ref="D74:D75"/>
    <mergeCell ref="E74:E75"/>
    <mergeCell ref="F74:F75"/>
    <mergeCell ref="G74:G75"/>
    <mergeCell ref="H95:H96"/>
    <mergeCell ref="I95:I96"/>
    <mergeCell ref="L98:M98"/>
    <mergeCell ref="A95:A96"/>
    <mergeCell ref="B95:B96"/>
    <mergeCell ref="C95:C96"/>
    <mergeCell ref="D95:D96"/>
    <mergeCell ref="E95:E96"/>
    <mergeCell ref="F95:F96"/>
    <mergeCell ref="G95:G96"/>
    <mergeCell ref="H109:H110"/>
    <mergeCell ref="I109:I110"/>
    <mergeCell ref="A109:A110"/>
    <mergeCell ref="B109:B110"/>
    <mergeCell ref="C109:C110"/>
    <mergeCell ref="D109:D110"/>
    <mergeCell ref="E109:E110"/>
    <mergeCell ref="F109:F110"/>
    <mergeCell ref="G109:G110"/>
    <mergeCell ref="H116:H117"/>
    <mergeCell ref="I116:I117"/>
    <mergeCell ref="A116:A117"/>
    <mergeCell ref="B116:B117"/>
    <mergeCell ref="C116:C117"/>
    <mergeCell ref="D116:D117"/>
    <mergeCell ref="E116:E117"/>
    <mergeCell ref="F116:F117"/>
    <mergeCell ref="G116:G117"/>
    <mergeCell ref="H123:H124"/>
    <mergeCell ref="I123:I124"/>
    <mergeCell ref="A123:A124"/>
    <mergeCell ref="B123:B124"/>
    <mergeCell ref="C123:C124"/>
    <mergeCell ref="D123:D124"/>
    <mergeCell ref="E123:E124"/>
    <mergeCell ref="F123:F124"/>
    <mergeCell ref="G123:G124"/>
    <mergeCell ref="H130:H131"/>
    <mergeCell ref="I130:I131"/>
    <mergeCell ref="A130:A131"/>
    <mergeCell ref="B130:B131"/>
    <mergeCell ref="C130:C131"/>
    <mergeCell ref="D130:D131"/>
    <mergeCell ref="E130:E131"/>
    <mergeCell ref="F130:F131"/>
    <mergeCell ref="G130:G131"/>
    <mergeCell ref="H137:H138"/>
    <mergeCell ref="I137:I138"/>
    <mergeCell ref="A137:A138"/>
    <mergeCell ref="B137:B138"/>
    <mergeCell ref="C137:C138"/>
    <mergeCell ref="D137:D138"/>
    <mergeCell ref="E137:E138"/>
    <mergeCell ref="F137:F138"/>
    <mergeCell ref="G137:G138"/>
    <mergeCell ref="H144:H145"/>
    <mergeCell ref="I144:I145"/>
    <mergeCell ref="A144:A145"/>
    <mergeCell ref="B144:B145"/>
    <mergeCell ref="C144:C145"/>
    <mergeCell ref="D144:D145"/>
    <mergeCell ref="E144:E145"/>
    <mergeCell ref="F144:F145"/>
    <mergeCell ref="G144:G145"/>
    <mergeCell ref="H151:H152"/>
    <mergeCell ref="I151:I152"/>
    <mergeCell ref="A151:A152"/>
    <mergeCell ref="B151:B152"/>
    <mergeCell ref="C151:C152"/>
    <mergeCell ref="D151:D152"/>
    <mergeCell ref="E151:E152"/>
    <mergeCell ref="F151:F152"/>
    <mergeCell ref="G151:G152"/>
    <mergeCell ref="H156:H157"/>
    <mergeCell ref="I156:I157"/>
    <mergeCell ref="A156:A157"/>
    <mergeCell ref="B156:B157"/>
    <mergeCell ref="C156:C157"/>
    <mergeCell ref="D156:D157"/>
    <mergeCell ref="E156:E157"/>
    <mergeCell ref="F156:F157"/>
    <mergeCell ref="G156:G157"/>
    <mergeCell ref="H160:H161"/>
    <mergeCell ref="I160:I161"/>
    <mergeCell ref="A160:A161"/>
    <mergeCell ref="B160:B161"/>
    <mergeCell ref="C160:C161"/>
    <mergeCell ref="D160:D161"/>
    <mergeCell ref="E160:E161"/>
    <mergeCell ref="F160:F161"/>
    <mergeCell ref="G160:G161"/>
    <mergeCell ref="H167:H168"/>
    <mergeCell ref="I167:I168"/>
    <mergeCell ref="A167:A168"/>
    <mergeCell ref="B167:B168"/>
    <mergeCell ref="C167:C168"/>
    <mergeCell ref="D167:D168"/>
    <mergeCell ref="E167:E168"/>
    <mergeCell ref="F167:F168"/>
    <mergeCell ref="G167:G168"/>
    <mergeCell ref="H174:H175"/>
    <mergeCell ref="I174:I175"/>
    <mergeCell ref="A174:A175"/>
    <mergeCell ref="B174:B175"/>
    <mergeCell ref="C174:C175"/>
    <mergeCell ref="D174:D175"/>
    <mergeCell ref="E174:E175"/>
    <mergeCell ref="F174:F175"/>
    <mergeCell ref="G174:G175"/>
    <mergeCell ref="H181:H182"/>
    <mergeCell ref="I181:I182"/>
    <mergeCell ref="A181:A182"/>
    <mergeCell ref="B181:B182"/>
    <mergeCell ref="C181:C182"/>
    <mergeCell ref="D181:D182"/>
    <mergeCell ref="E181:E182"/>
    <mergeCell ref="F181:F182"/>
    <mergeCell ref="G181:G182"/>
    <mergeCell ref="H193:H194"/>
    <mergeCell ref="I193:I194"/>
    <mergeCell ref="A193:A194"/>
    <mergeCell ref="B193:B194"/>
    <mergeCell ref="C193:C194"/>
    <mergeCell ref="D193:D194"/>
    <mergeCell ref="E193:E194"/>
    <mergeCell ref="F193:F194"/>
    <mergeCell ref="G193:G194"/>
    <mergeCell ref="H200:H201"/>
    <mergeCell ref="I200:I201"/>
    <mergeCell ref="A200:A201"/>
    <mergeCell ref="B200:B201"/>
    <mergeCell ref="C200:C201"/>
    <mergeCell ref="D200:D201"/>
    <mergeCell ref="E200:E201"/>
    <mergeCell ref="F200:F201"/>
    <mergeCell ref="G200:G201"/>
    <mergeCell ref="H207:H208"/>
    <mergeCell ref="I207:I208"/>
    <mergeCell ref="A207:A208"/>
    <mergeCell ref="B207:B208"/>
    <mergeCell ref="C207:C208"/>
    <mergeCell ref="D207:D208"/>
    <mergeCell ref="E207:E208"/>
    <mergeCell ref="F207:F208"/>
    <mergeCell ref="G207:G208"/>
    <mergeCell ref="H214:H215"/>
    <mergeCell ref="I214:I215"/>
    <mergeCell ref="A214:A215"/>
    <mergeCell ref="B214:B215"/>
    <mergeCell ref="C214:C215"/>
    <mergeCell ref="D214:D215"/>
    <mergeCell ref="E214:E215"/>
    <mergeCell ref="F214:F215"/>
    <mergeCell ref="G214:G215"/>
    <mergeCell ref="H217:H218"/>
    <mergeCell ref="I217:I218"/>
    <mergeCell ref="A217:A218"/>
    <mergeCell ref="B217:B218"/>
    <mergeCell ref="C217:C218"/>
    <mergeCell ref="D217:D218"/>
    <mergeCell ref="E217:E218"/>
    <mergeCell ref="F217:F218"/>
    <mergeCell ref="G217:G218"/>
    <mergeCell ref="H223:H224"/>
    <mergeCell ref="I223:I224"/>
    <mergeCell ref="A223:A224"/>
    <mergeCell ref="B223:B224"/>
    <mergeCell ref="C223:C224"/>
    <mergeCell ref="D223:D224"/>
    <mergeCell ref="E223:E224"/>
    <mergeCell ref="F223:F224"/>
    <mergeCell ref="G223:G224"/>
    <mergeCell ref="H230:H231"/>
    <mergeCell ref="I230:I231"/>
    <mergeCell ref="A230:A231"/>
    <mergeCell ref="B230:B231"/>
    <mergeCell ref="C230:C231"/>
    <mergeCell ref="D230:D231"/>
    <mergeCell ref="E230:E231"/>
    <mergeCell ref="F230:F231"/>
    <mergeCell ref="G230:G231"/>
    <mergeCell ref="H102:H103"/>
    <mergeCell ref="I102:I103"/>
    <mergeCell ref="L107:M107"/>
    <mergeCell ref="A102:A103"/>
    <mergeCell ref="B102:B103"/>
    <mergeCell ref="C102:C103"/>
    <mergeCell ref="D102:D103"/>
    <mergeCell ref="E102:E103"/>
    <mergeCell ref="F102:F103"/>
    <mergeCell ref="G102:G103"/>
    <mergeCell ref="H237:H238"/>
    <mergeCell ref="I237:I238"/>
    <mergeCell ref="A237:A238"/>
    <mergeCell ref="B237:B238"/>
    <mergeCell ref="C237:C238"/>
    <mergeCell ref="D237:D238"/>
    <mergeCell ref="E237:E238"/>
    <mergeCell ref="F237:F238"/>
    <mergeCell ref="G237:G238"/>
    <mergeCell ref="H244:H245"/>
    <mergeCell ref="I244:I245"/>
    <mergeCell ref="A244:A245"/>
    <mergeCell ref="B244:B245"/>
    <mergeCell ref="C244:C245"/>
    <mergeCell ref="D244:D245"/>
    <mergeCell ref="E244:E245"/>
    <mergeCell ref="F244:F245"/>
    <mergeCell ref="G244:G245"/>
    <mergeCell ref="H32:H33"/>
    <mergeCell ref="I32:I33"/>
    <mergeCell ref="L33:M33"/>
    <mergeCell ref="A32:A33"/>
    <mergeCell ref="B32:B33"/>
    <mergeCell ref="C32:C33"/>
    <mergeCell ref="D32:D33"/>
    <mergeCell ref="E32:E33"/>
    <mergeCell ref="F32:F33"/>
    <mergeCell ref="G32:G33"/>
    <mergeCell ref="H37:H38"/>
    <mergeCell ref="I37:I38"/>
    <mergeCell ref="L42:M42"/>
    <mergeCell ref="A37:A38"/>
    <mergeCell ref="B37:B38"/>
    <mergeCell ref="C37:C38"/>
    <mergeCell ref="D37:D38"/>
    <mergeCell ref="E37:E38"/>
    <mergeCell ref="F37:F38"/>
    <mergeCell ref="G37:G38"/>
    <mergeCell ref="H44:H45"/>
    <mergeCell ref="I44:I45"/>
    <mergeCell ref="A44:A45"/>
    <mergeCell ref="B44:B45"/>
    <mergeCell ref="C44:C45"/>
    <mergeCell ref="D44:D45"/>
    <mergeCell ref="E44:E45"/>
    <mergeCell ref="F44:F45"/>
    <mergeCell ref="G44:G45"/>
    <mergeCell ref="H253:H254"/>
    <mergeCell ref="I253:I254"/>
    <mergeCell ref="A253:A254"/>
    <mergeCell ref="B253:B254"/>
    <mergeCell ref="C253:C254"/>
    <mergeCell ref="D253:D254"/>
    <mergeCell ref="E253:E254"/>
    <mergeCell ref="F253:F254"/>
    <mergeCell ref="G253:G254"/>
    <mergeCell ref="H274:H275"/>
    <mergeCell ref="I274:I275"/>
    <mergeCell ref="A274:A275"/>
    <mergeCell ref="B274:B275"/>
    <mergeCell ref="C274:C275"/>
    <mergeCell ref="D274:D275"/>
    <mergeCell ref="E274:E275"/>
    <mergeCell ref="F274:F275"/>
    <mergeCell ref="G274:G275"/>
    <mergeCell ref="H281:H282"/>
    <mergeCell ref="I281:I282"/>
    <mergeCell ref="A281:A282"/>
    <mergeCell ref="B281:B282"/>
    <mergeCell ref="C281:C282"/>
    <mergeCell ref="D281:D282"/>
    <mergeCell ref="E281:E282"/>
    <mergeCell ref="F281:F282"/>
    <mergeCell ref="G281:G282"/>
    <mergeCell ref="H288:H289"/>
    <mergeCell ref="I288:I289"/>
    <mergeCell ref="A288:A289"/>
    <mergeCell ref="B288:B289"/>
    <mergeCell ref="C288:C289"/>
    <mergeCell ref="D288:D289"/>
    <mergeCell ref="E288:E289"/>
    <mergeCell ref="F288:F289"/>
    <mergeCell ref="G288:G289"/>
    <mergeCell ref="H339:H340"/>
    <mergeCell ref="I339:I340"/>
    <mergeCell ref="A339:A340"/>
    <mergeCell ref="B339:B340"/>
    <mergeCell ref="C339:C340"/>
    <mergeCell ref="D339:D340"/>
    <mergeCell ref="E339:E340"/>
    <mergeCell ref="F339:F340"/>
    <mergeCell ref="G339:G340"/>
    <mergeCell ref="H345:H346"/>
    <mergeCell ref="I345:I346"/>
    <mergeCell ref="A345:A346"/>
    <mergeCell ref="B345:B346"/>
    <mergeCell ref="C345:C346"/>
    <mergeCell ref="D345:D346"/>
    <mergeCell ref="E345:E346"/>
    <mergeCell ref="F345:F346"/>
    <mergeCell ref="G345:G346"/>
    <mergeCell ref="H348:H349"/>
    <mergeCell ref="I348:I349"/>
    <mergeCell ref="A348:A349"/>
    <mergeCell ref="B348:B349"/>
    <mergeCell ref="C348:C349"/>
    <mergeCell ref="D348:D349"/>
    <mergeCell ref="E348:E349"/>
    <mergeCell ref="F348:F349"/>
    <mergeCell ref="G348:G349"/>
    <mergeCell ref="H355:H356"/>
    <mergeCell ref="I355:I356"/>
    <mergeCell ref="A355:A356"/>
    <mergeCell ref="B355:B356"/>
    <mergeCell ref="C355:C356"/>
    <mergeCell ref="D355:D356"/>
    <mergeCell ref="E355:E356"/>
    <mergeCell ref="F355:F356"/>
    <mergeCell ref="G355:G356"/>
    <mergeCell ref="H362:H363"/>
    <mergeCell ref="I362:I363"/>
    <mergeCell ref="A362:A363"/>
    <mergeCell ref="B362:B363"/>
    <mergeCell ref="C362:C363"/>
    <mergeCell ref="D362:D363"/>
    <mergeCell ref="E362:E363"/>
    <mergeCell ref="F362:F363"/>
    <mergeCell ref="G362:G363"/>
    <mergeCell ref="H369:H370"/>
    <mergeCell ref="I369:I370"/>
    <mergeCell ref="A369:A370"/>
    <mergeCell ref="B369:B370"/>
    <mergeCell ref="C369:C370"/>
    <mergeCell ref="D369:D370"/>
    <mergeCell ref="E369:E370"/>
    <mergeCell ref="F369:F370"/>
    <mergeCell ref="G369:G370"/>
    <mergeCell ref="H250:H251"/>
    <mergeCell ref="I250:I251"/>
    <mergeCell ref="A250:A251"/>
    <mergeCell ref="B250:B251"/>
    <mergeCell ref="C250:C251"/>
    <mergeCell ref="D250:D251"/>
    <mergeCell ref="E250:E251"/>
    <mergeCell ref="F250:F251"/>
    <mergeCell ref="G250:G251"/>
    <mergeCell ref="H260:H261"/>
    <mergeCell ref="I260:I261"/>
    <mergeCell ref="A260:A261"/>
    <mergeCell ref="B260:B261"/>
    <mergeCell ref="C260:C261"/>
    <mergeCell ref="D260:D261"/>
    <mergeCell ref="E260:E261"/>
    <mergeCell ref="F260:F261"/>
    <mergeCell ref="G260:G261"/>
    <mergeCell ref="H267:H268"/>
    <mergeCell ref="I267:I268"/>
    <mergeCell ref="A267:A268"/>
    <mergeCell ref="B267:B268"/>
    <mergeCell ref="C267:C268"/>
    <mergeCell ref="D267:D268"/>
    <mergeCell ref="E267:E268"/>
    <mergeCell ref="F267:F268"/>
    <mergeCell ref="G267:G268"/>
    <mergeCell ref="H376:H377"/>
    <mergeCell ref="I376:I377"/>
    <mergeCell ref="A376:A377"/>
    <mergeCell ref="B376:B377"/>
    <mergeCell ref="C376:C377"/>
    <mergeCell ref="D376:D377"/>
    <mergeCell ref="E376:E377"/>
    <mergeCell ref="F376:F377"/>
    <mergeCell ref="G376:G377"/>
    <mergeCell ref="H295:H296"/>
    <mergeCell ref="I295:I296"/>
    <mergeCell ref="A295:A296"/>
    <mergeCell ref="B295:B296"/>
    <mergeCell ref="C295:C296"/>
    <mergeCell ref="D295:D296"/>
    <mergeCell ref="E295:E296"/>
    <mergeCell ref="F295:F296"/>
    <mergeCell ref="G295:G296"/>
    <mergeCell ref="H302:H303"/>
    <mergeCell ref="I302:I303"/>
    <mergeCell ref="A302:A303"/>
    <mergeCell ref="B302:B303"/>
    <mergeCell ref="C302:C303"/>
    <mergeCell ref="D302:D303"/>
    <mergeCell ref="E302:E303"/>
    <mergeCell ref="F302:F303"/>
    <mergeCell ref="G302:G303"/>
    <mergeCell ref="H309:H310"/>
    <mergeCell ref="I309:I310"/>
    <mergeCell ref="A309:A310"/>
    <mergeCell ref="B309:B310"/>
    <mergeCell ref="C309:C310"/>
    <mergeCell ref="D309:D310"/>
    <mergeCell ref="E309:E310"/>
    <mergeCell ref="F309:F310"/>
    <mergeCell ref="G309:G310"/>
    <mergeCell ref="H313:H314"/>
    <mergeCell ref="I313:I314"/>
    <mergeCell ref="A313:A314"/>
    <mergeCell ref="B313:B314"/>
    <mergeCell ref="C313:C314"/>
    <mergeCell ref="D313:D314"/>
    <mergeCell ref="E313:E314"/>
    <mergeCell ref="F313:F314"/>
    <mergeCell ref="G313:G314"/>
    <mergeCell ref="H318:H319"/>
    <mergeCell ref="I318:I319"/>
    <mergeCell ref="A318:A319"/>
    <mergeCell ref="B318:B319"/>
    <mergeCell ref="C318:C319"/>
    <mergeCell ref="D318:D319"/>
    <mergeCell ref="E318:E319"/>
    <mergeCell ref="F318:F319"/>
    <mergeCell ref="G318:G319"/>
    <mergeCell ref="H325:H326"/>
    <mergeCell ref="I325:I326"/>
    <mergeCell ref="A325:A326"/>
    <mergeCell ref="B325:B326"/>
    <mergeCell ref="C325:C326"/>
    <mergeCell ref="D325:D326"/>
    <mergeCell ref="E325:E326"/>
    <mergeCell ref="F325:F326"/>
    <mergeCell ref="G325:G326"/>
    <mergeCell ref="H332:H333"/>
    <mergeCell ref="I332:I333"/>
    <mergeCell ref="A332:A333"/>
    <mergeCell ref="B332:B333"/>
    <mergeCell ref="C332:C333"/>
    <mergeCell ref="D332:D333"/>
    <mergeCell ref="E332:E333"/>
    <mergeCell ref="F332:F333"/>
    <mergeCell ref="G332:G333"/>
  </mergeCells>
  <printOptions/>
  <pageMargins bottom="0.984027777777778" footer="0.0" header="0.0" left="0.7875" right="0.7875" top="0.984027777777778"/>
  <pageSetup paperSize="9" orientation="portrait"/>
  <drawing r:id="rId1"/>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0000"/>
    <pageSetUpPr/>
  </sheetPr>
  <sheetViews>
    <sheetView workbookViewId="0"/>
  </sheetViews>
  <sheetFormatPr customHeight="1" defaultColWidth="12.63" defaultRowHeight="15.0"/>
  <cols>
    <col customWidth="1" min="1" max="1" width="25.0"/>
    <col customWidth="1" min="2" max="10" width="10.63"/>
    <col customWidth="1" min="11" max="11" width="13.5"/>
    <col customWidth="1" min="12" max="13" width="10.63"/>
    <col customWidth="1" min="14" max="14" width="16.0"/>
    <col customWidth="1" min="15" max="26" width="10.63"/>
  </cols>
  <sheetData>
    <row r="1" ht="12.75" customHeight="1">
      <c r="A1" s="55" t="s">
        <v>61</v>
      </c>
      <c r="B1" s="55" t="s">
        <v>62</v>
      </c>
      <c r="C1" s="55" t="s">
        <v>63</v>
      </c>
      <c r="D1" s="55" t="s">
        <v>45</v>
      </c>
      <c r="E1" s="55" t="s">
        <v>46</v>
      </c>
      <c r="F1" s="55" t="s">
        <v>64</v>
      </c>
      <c r="G1" s="56" t="s">
        <v>65</v>
      </c>
      <c r="H1" s="55" t="s">
        <v>66</v>
      </c>
      <c r="I1" s="57" t="s">
        <v>67</v>
      </c>
    </row>
    <row r="2" ht="12.75" customHeight="1">
      <c r="A2" s="58">
        <v>43101.0</v>
      </c>
      <c r="B2" s="138"/>
      <c r="C2" s="138"/>
      <c r="D2" s="138"/>
      <c r="E2" s="138"/>
      <c r="F2" s="85">
        <f t="shared" ref="F2:F6" si="1">SUM(B2:E2)</f>
        <v>0</v>
      </c>
      <c r="G2" s="138"/>
      <c r="H2" s="138"/>
      <c r="I2" s="146"/>
    </row>
    <row r="3" ht="12.75" customHeight="1">
      <c r="A3" s="58">
        <f t="shared" ref="A3:A6" si="2">A2+1</f>
        <v>43102</v>
      </c>
      <c r="B3" s="138"/>
      <c r="C3" s="138"/>
      <c r="D3" s="138"/>
      <c r="E3" s="138"/>
      <c r="F3" s="85">
        <f t="shared" si="1"/>
        <v>0</v>
      </c>
      <c r="G3" s="138"/>
      <c r="H3" s="138"/>
      <c r="I3" s="146"/>
    </row>
    <row r="4" ht="12.75" customHeight="1">
      <c r="A4" s="58">
        <f t="shared" si="2"/>
        <v>43103</v>
      </c>
      <c r="B4" s="138"/>
      <c r="C4" s="138"/>
      <c r="D4" s="138"/>
      <c r="E4" s="138"/>
      <c r="F4" s="85">
        <f t="shared" si="1"/>
        <v>0</v>
      </c>
      <c r="G4" s="138"/>
      <c r="H4" s="138"/>
      <c r="I4" s="146"/>
    </row>
    <row r="5" ht="12.75" customHeight="1">
      <c r="A5" s="58">
        <f t="shared" si="2"/>
        <v>43104</v>
      </c>
      <c r="B5" s="138"/>
      <c r="C5" s="138"/>
      <c r="D5" s="138"/>
      <c r="E5" s="138"/>
      <c r="F5" s="85">
        <f t="shared" si="1"/>
        <v>0</v>
      </c>
      <c r="G5" s="138"/>
      <c r="H5" s="138"/>
      <c r="I5" s="146"/>
    </row>
    <row r="6" ht="12.75" customHeight="1">
      <c r="A6" s="58">
        <f t="shared" si="2"/>
        <v>43105</v>
      </c>
      <c r="B6" s="59">
        <v>290.0</v>
      </c>
      <c r="C6" s="59">
        <v>187.58</v>
      </c>
      <c r="D6" s="59">
        <v>1070.0</v>
      </c>
      <c r="E6" s="59">
        <v>70.0</v>
      </c>
      <c r="F6" s="60">
        <f t="shared" si="1"/>
        <v>1617.58</v>
      </c>
      <c r="G6" s="59">
        <v>30.0</v>
      </c>
      <c r="H6" s="59">
        <v>5.0</v>
      </c>
      <c r="I6" s="61">
        <v>70.0</v>
      </c>
      <c r="K6" s="63" t="s">
        <v>86</v>
      </c>
    </row>
    <row r="7" ht="12.75" customHeight="1">
      <c r="A7" s="67" t="s">
        <v>87</v>
      </c>
      <c r="B7" s="68">
        <f t="shared" ref="B7:I7" si="3">SUM(B2:B6)</f>
        <v>290</v>
      </c>
      <c r="C7" s="68">
        <f t="shared" si="3"/>
        <v>187.58</v>
      </c>
      <c r="D7" s="68">
        <f t="shared" si="3"/>
        <v>1070</v>
      </c>
      <c r="E7" s="68">
        <f t="shared" si="3"/>
        <v>70</v>
      </c>
      <c r="F7" s="69">
        <f t="shared" si="3"/>
        <v>1617.58</v>
      </c>
      <c r="G7" s="70">
        <f t="shared" si="3"/>
        <v>30</v>
      </c>
      <c r="H7" s="70">
        <f t="shared" si="3"/>
        <v>5</v>
      </c>
      <c r="I7" s="71">
        <f t="shared" si="3"/>
        <v>70</v>
      </c>
    </row>
    <row r="8" ht="12.75" customHeight="1">
      <c r="A8" s="74"/>
      <c r="B8" s="75"/>
      <c r="C8" s="75"/>
      <c r="D8" s="75"/>
      <c r="E8" s="75"/>
      <c r="F8" s="76"/>
      <c r="G8" s="76"/>
      <c r="H8" s="76"/>
      <c r="I8" s="77"/>
      <c r="L8" s="65">
        <f>L9+M9</f>
        <v>79</v>
      </c>
    </row>
    <row r="9" ht="12.75" customHeight="1">
      <c r="A9" s="80">
        <f>A6+3</f>
        <v>43108</v>
      </c>
      <c r="B9" s="59">
        <v>470.0</v>
      </c>
      <c r="C9" s="59">
        <v>234.46</v>
      </c>
      <c r="D9" s="59">
        <v>1030.0</v>
      </c>
      <c r="E9" s="59">
        <v>100.0</v>
      </c>
      <c r="F9" s="60">
        <f t="shared" ref="F9:F13" si="5">SUM(B9:E9)</f>
        <v>1834.46</v>
      </c>
      <c r="G9" s="59">
        <v>30.0</v>
      </c>
      <c r="H9" s="59">
        <v>5.0</v>
      </c>
      <c r="I9" s="61">
        <v>90.0</v>
      </c>
      <c r="K9" s="64"/>
      <c r="L9" s="72">
        <f t="shared" ref="L9:N9" si="4">SUM(L11:L15)</f>
        <v>68</v>
      </c>
      <c r="M9" s="72">
        <f t="shared" si="4"/>
        <v>11</v>
      </c>
      <c r="N9" s="73">
        <f t="shared" si="4"/>
        <v>6910.02</v>
      </c>
    </row>
    <row r="10" ht="12.75" customHeight="1">
      <c r="A10" s="58">
        <f t="shared" ref="A10:A13" si="6">A9+1</f>
        <v>43109</v>
      </c>
      <c r="B10" s="59">
        <v>520.0</v>
      </c>
      <c r="C10" s="59">
        <v>81.32</v>
      </c>
      <c r="D10" s="59">
        <v>690.0</v>
      </c>
      <c r="E10" s="59">
        <v>60.0</v>
      </c>
      <c r="F10" s="60">
        <f t="shared" si="5"/>
        <v>1351.32</v>
      </c>
      <c r="G10" s="59">
        <v>22.0</v>
      </c>
      <c r="H10" s="59">
        <v>2.0</v>
      </c>
      <c r="I10" s="61">
        <v>60.0</v>
      </c>
      <c r="K10" s="78" t="s">
        <v>69</v>
      </c>
      <c r="L10" s="79">
        <v>90.0</v>
      </c>
      <c r="M10" s="79">
        <v>71.82</v>
      </c>
      <c r="N10" s="66"/>
    </row>
    <row r="11" ht="12.75" customHeight="1">
      <c r="A11" s="58">
        <f t="shared" si="6"/>
        <v>43110</v>
      </c>
      <c r="B11" s="59">
        <v>220.0</v>
      </c>
      <c r="C11" s="59">
        <v>544.6</v>
      </c>
      <c r="D11" s="59">
        <v>570.0</v>
      </c>
      <c r="E11" s="59">
        <v>100.0</v>
      </c>
      <c r="F11" s="60">
        <f t="shared" si="5"/>
        <v>1434.6</v>
      </c>
      <c r="G11" s="59">
        <v>31.0</v>
      </c>
      <c r="H11" s="59">
        <v>14.0</v>
      </c>
      <c r="I11" s="61">
        <v>100.0</v>
      </c>
      <c r="K11" s="81" t="s">
        <v>70</v>
      </c>
      <c r="L11" s="81"/>
      <c r="M11" s="81"/>
      <c r="N11" s="82">
        <f t="shared" ref="N11:N15" si="7">L11*$L$10+M11*$M$10</f>
        <v>0</v>
      </c>
    </row>
    <row r="12" ht="12.75" customHeight="1">
      <c r="A12" s="58">
        <f t="shared" si="6"/>
        <v>43111</v>
      </c>
      <c r="B12" s="59">
        <v>670.0</v>
      </c>
      <c r="C12" s="59">
        <v>234.46</v>
      </c>
      <c r="D12" s="59">
        <v>1190.0</v>
      </c>
      <c r="E12" s="59">
        <v>0.0</v>
      </c>
      <c r="F12" s="60">
        <f t="shared" si="5"/>
        <v>2094.46</v>
      </c>
      <c r="G12" s="59">
        <v>36.0</v>
      </c>
      <c r="H12" s="59">
        <v>5.0</v>
      </c>
      <c r="I12" s="61">
        <v>0.0</v>
      </c>
      <c r="K12" s="81" t="s">
        <v>71</v>
      </c>
      <c r="L12" s="81">
        <v>28.0</v>
      </c>
      <c r="M12" s="81">
        <v>3.0</v>
      </c>
      <c r="N12" s="82">
        <f t="shared" si="7"/>
        <v>2735.46</v>
      </c>
    </row>
    <row r="13" ht="12.75" customHeight="1">
      <c r="A13" s="58">
        <f t="shared" si="6"/>
        <v>43112</v>
      </c>
      <c r="B13" s="59">
        <v>630.0</v>
      </c>
      <c r="C13" s="59">
        <v>185.7</v>
      </c>
      <c r="D13" s="59">
        <v>640.0</v>
      </c>
      <c r="E13" s="59">
        <v>190.0</v>
      </c>
      <c r="F13" s="60">
        <f t="shared" si="5"/>
        <v>1645.7</v>
      </c>
      <c r="G13" s="59">
        <v>24.0</v>
      </c>
      <c r="H13" s="59">
        <v>3.0</v>
      </c>
      <c r="I13" s="61">
        <v>190.0</v>
      </c>
      <c r="K13" s="81" t="s">
        <v>72</v>
      </c>
      <c r="L13" s="81">
        <v>10.0</v>
      </c>
      <c r="M13" s="81">
        <v>1.0</v>
      </c>
      <c r="N13" s="82">
        <f t="shared" si="7"/>
        <v>971.82</v>
      </c>
    </row>
    <row r="14" ht="12.75" customHeight="1">
      <c r="A14" s="67"/>
      <c r="B14" s="68">
        <f t="shared" ref="B14:I14" si="8">SUM(B9:B13)</f>
        <v>2510</v>
      </c>
      <c r="C14" s="68">
        <f t="shared" si="8"/>
        <v>1280.54</v>
      </c>
      <c r="D14" s="68">
        <f t="shared" si="8"/>
        <v>4120</v>
      </c>
      <c r="E14" s="68">
        <f t="shared" si="8"/>
        <v>450</v>
      </c>
      <c r="F14" s="69">
        <f t="shared" si="8"/>
        <v>8360.54</v>
      </c>
      <c r="G14" s="70">
        <f t="shared" si="8"/>
        <v>143</v>
      </c>
      <c r="H14" s="70">
        <f t="shared" si="8"/>
        <v>29</v>
      </c>
      <c r="I14" s="71">
        <f t="shared" si="8"/>
        <v>440</v>
      </c>
      <c r="K14" s="81" t="s">
        <v>73</v>
      </c>
      <c r="L14" s="81">
        <v>30.0</v>
      </c>
      <c r="M14" s="81">
        <v>7.0</v>
      </c>
      <c r="N14" s="82">
        <f t="shared" si="7"/>
        <v>3202.74</v>
      </c>
    </row>
    <row r="15" ht="12.75" customHeight="1">
      <c r="A15" s="74"/>
      <c r="B15" s="75"/>
      <c r="C15" s="75"/>
      <c r="D15" s="75"/>
      <c r="E15" s="75"/>
      <c r="F15" s="76"/>
      <c r="G15" s="76"/>
      <c r="H15" s="76"/>
      <c r="I15" s="77"/>
      <c r="K15" s="81" t="s">
        <v>74</v>
      </c>
      <c r="L15" s="81"/>
      <c r="M15" s="81"/>
      <c r="N15" s="82">
        <f t="shared" si="7"/>
        <v>0</v>
      </c>
    </row>
    <row r="16" ht="12.75" customHeight="1">
      <c r="A16" s="58">
        <f>A13+3</f>
        <v>43115</v>
      </c>
      <c r="B16" s="59">
        <v>220.0</v>
      </c>
      <c r="C16" s="59">
        <v>195.2</v>
      </c>
      <c r="D16" s="59">
        <v>450.0</v>
      </c>
      <c r="E16" s="59">
        <v>0.0</v>
      </c>
      <c r="F16" s="60">
        <f t="shared" ref="F16:F20" si="9">SUM(B16:E16)</f>
        <v>865.2</v>
      </c>
      <c r="G16" s="59">
        <v>17.0</v>
      </c>
      <c r="H16" s="59">
        <v>4.0</v>
      </c>
      <c r="I16" s="61">
        <v>0.0</v>
      </c>
    </row>
    <row r="17" ht="12.75" customHeight="1">
      <c r="A17" s="58">
        <f t="shared" ref="A17:A20" si="10">A16+1</f>
        <v>43116</v>
      </c>
      <c r="B17" s="81">
        <v>320.0</v>
      </c>
      <c r="C17" s="81">
        <v>40.66</v>
      </c>
      <c r="D17" s="81">
        <v>640.0</v>
      </c>
      <c r="E17" s="81">
        <v>50.0</v>
      </c>
      <c r="F17" s="60">
        <f t="shared" si="9"/>
        <v>1050.66</v>
      </c>
      <c r="G17" s="81">
        <v>18.0</v>
      </c>
      <c r="H17" s="81">
        <v>1.0</v>
      </c>
      <c r="I17" s="83">
        <v>50.0</v>
      </c>
      <c r="L17" s="65">
        <f>L18+M18</f>
        <v>108</v>
      </c>
    </row>
    <row r="18" ht="12.75" customHeight="1">
      <c r="A18" s="58">
        <f t="shared" si="10"/>
        <v>43117</v>
      </c>
      <c r="B18" s="81">
        <v>220.0</v>
      </c>
      <c r="C18" s="81">
        <v>236.56</v>
      </c>
      <c r="D18" s="81">
        <v>690.0</v>
      </c>
      <c r="E18" s="81">
        <v>70.0</v>
      </c>
      <c r="F18" s="60">
        <f t="shared" si="9"/>
        <v>1216.56</v>
      </c>
      <c r="G18" s="81">
        <v>26.0</v>
      </c>
      <c r="H18" s="81">
        <v>6.0</v>
      </c>
      <c r="I18" s="83">
        <v>70.0</v>
      </c>
      <c r="K18" s="64"/>
      <c r="L18" s="72">
        <f t="shared" ref="L18:N18" si="11">SUM(L20:L24)</f>
        <v>101</v>
      </c>
      <c r="M18" s="72">
        <f t="shared" si="11"/>
        <v>7</v>
      </c>
      <c r="N18" s="73">
        <f t="shared" si="11"/>
        <v>9592.74</v>
      </c>
    </row>
    <row r="19" ht="12.75" customHeight="1">
      <c r="A19" s="58">
        <f t="shared" si="10"/>
        <v>43118</v>
      </c>
      <c r="B19" s="84"/>
      <c r="C19" s="84"/>
      <c r="D19" s="84"/>
      <c r="E19" s="84"/>
      <c r="F19" s="85">
        <f t="shared" si="9"/>
        <v>0</v>
      </c>
      <c r="G19" s="84"/>
      <c r="H19" s="84"/>
      <c r="I19" s="86"/>
      <c r="K19" s="78" t="s">
        <v>75</v>
      </c>
      <c r="L19" s="79">
        <v>90.0</v>
      </c>
      <c r="M19" s="79">
        <v>71.82</v>
      </c>
      <c r="N19" s="66"/>
    </row>
    <row r="20" ht="12.75" customHeight="1">
      <c r="A20" s="58">
        <f t="shared" si="10"/>
        <v>43119</v>
      </c>
      <c r="B20" s="87"/>
      <c r="C20" s="87"/>
      <c r="D20" s="87"/>
      <c r="E20" s="87"/>
      <c r="F20" s="85">
        <f t="shared" si="9"/>
        <v>0</v>
      </c>
      <c r="G20" s="87"/>
      <c r="H20" s="87"/>
      <c r="I20" s="88"/>
      <c r="K20" s="81" t="s">
        <v>70</v>
      </c>
      <c r="L20" s="81">
        <v>22.0</v>
      </c>
      <c r="M20" s="81">
        <v>2.0</v>
      </c>
      <c r="N20" s="82">
        <f t="shared" ref="N20:N24" si="13">L20*$L$10+M20*$M$10</f>
        <v>2123.64</v>
      </c>
    </row>
    <row r="21" ht="12.75" customHeight="1">
      <c r="A21" s="67"/>
      <c r="B21" s="68">
        <f t="shared" ref="B21:I21" si="12">SUM(B16:B20)</f>
        <v>760</v>
      </c>
      <c r="C21" s="68">
        <f t="shared" si="12"/>
        <v>472.42</v>
      </c>
      <c r="D21" s="68">
        <f t="shared" si="12"/>
        <v>1780</v>
      </c>
      <c r="E21" s="68">
        <f t="shared" si="12"/>
        <v>120</v>
      </c>
      <c r="F21" s="68">
        <f t="shared" si="12"/>
        <v>3132.42</v>
      </c>
      <c r="G21" s="70">
        <f t="shared" si="12"/>
        <v>61</v>
      </c>
      <c r="H21" s="70">
        <f t="shared" si="12"/>
        <v>11</v>
      </c>
      <c r="I21" s="91">
        <f t="shared" si="12"/>
        <v>120</v>
      </c>
      <c r="K21" s="81" t="s">
        <v>71</v>
      </c>
      <c r="L21" s="81">
        <v>27.0</v>
      </c>
      <c r="M21" s="81">
        <v>1.0</v>
      </c>
      <c r="N21" s="82">
        <f t="shared" si="13"/>
        <v>2501.82</v>
      </c>
    </row>
    <row r="22" ht="12.75" customHeight="1">
      <c r="A22" s="74"/>
      <c r="B22" s="92"/>
      <c r="C22" s="92"/>
      <c r="D22" s="92"/>
      <c r="E22" s="92"/>
      <c r="F22" s="75"/>
      <c r="G22" s="93"/>
      <c r="H22" s="93"/>
      <c r="I22" s="94"/>
      <c r="K22" s="81" t="s">
        <v>72</v>
      </c>
      <c r="L22" s="81">
        <v>25.0</v>
      </c>
      <c r="M22" s="81"/>
      <c r="N22" s="82">
        <f t="shared" si="13"/>
        <v>2250</v>
      </c>
    </row>
    <row r="23" ht="12.75" customHeight="1">
      <c r="A23" s="58">
        <f>A20+3</f>
        <v>43122</v>
      </c>
      <c r="B23" s="81">
        <v>90.0</v>
      </c>
      <c r="C23" s="81">
        <v>273.36</v>
      </c>
      <c r="D23" s="81">
        <v>1620.0</v>
      </c>
      <c r="E23" s="81">
        <v>190.0</v>
      </c>
      <c r="F23" s="60">
        <f t="shared" ref="F23:F27" si="14">SUM(B23:E23)</f>
        <v>2173.36</v>
      </c>
      <c r="G23" s="81">
        <v>33.0</v>
      </c>
      <c r="H23" s="81">
        <v>5.0</v>
      </c>
      <c r="I23" s="81">
        <v>190.0</v>
      </c>
      <c r="K23" s="81" t="s">
        <v>73</v>
      </c>
      <c r="L23" s="81">
        <v>21.0</v>
      </c>
      <c r="M23" s="81">
        <v>4.0</v>
      </c>
      <c r="N23" s="82">
        <f t="shared" si="13"/>
        <v>2177.28</v>
      </c>
    </row>
    <row r="24" ht="12.75" customHeight="1">
      <c r="A24" s="58">
        <f t="shared" ref="A24:A27" si="15">A23+1</f>
        <v>43123</v>
      </c>
      <c r="B24" s="59">
        <v>430.0</v>
      </c>
      <c r="C24" s="59">
        <v>247.54</v>
      </c>
      <c r="D24" s="59">
        <v>600.0</v>
      </c>
      <c r="E24" s="59">
        <v>140.0</v>
      </c>
      <c r="F24" s="60">
        <f t="shared" si="14"/>
        <v>1417.54</v>
      </c>
      <c r="G24" s="59">
        <v>23.0</v>
      </c>
      <c r="H24" s="59">
        <v>6.0</v>
      </c>
      <c r="I24" s="61">
        <v>140.0</v>
      </c>
      <c r="K24" s="81" t="s">
        <v>74</v>
      </c>
      <c r="L24" s="81">
        <v>6.0</v>
      </c>
      <c r="M24" s="81"/>
      <c r="N24" s="82">
        <f t="shared" si="13"/>
        <v>540</v>
      </c>
    </row>
    <row r="25" ht="12.75" customHeight="1">
      <c r="A25" s="58">
        <f t="shared" si="15"/>
        <v>43124</v>
      </c>
      <c r="B25" s="81">
        <v>170.0</v>
      </c>
      <c r="C25" s="81">
        <v>116.7</v>
      </c>
      <c r="D25" s="81">
        <v>1050.0</v>
      </c>
      <c r="E25" s="81">
        <v>50.0</v>
      </c>
      <c r="F25" s="60">
        <f t="shared" si="14"/>
        <v>1386.7</v>
      </c>
      <c r="G25" s="81">
        <v>24.0</v>
      </c>
      <c r="H25" s="81">
        <v>3.0</v>
      </c>
      <c r="I25" s="83">
        <v>50.0</v>
      </c>
    </row>
    <row r="26" ht="12.75" customHeight="1">
      <c r="A26" s="58">
        <f t="shared" si="15"/>
        <v>43125</v>
      </c>
      <c r="B26" s="81">
        <v>140.0</v>
      </c>
      <c r="C26" s="81">
        <v>356.44</v>
      </c>
      <c r="D26" s="81">
        <v>1530.0</v>
      </c>
      <c r="E26" s="81">
        <v>50.0</v>
      </c>
      <c r="F26" s="60">
        <f t="shared" si="14"/>
        <v>2076.44</v>
      </c>
      <c r="G26" s="81">
        <v>35.0</v>
      </c>
      <c r="H26" s="81">
        <v>8.0</v>
      </c>
      <c r="I26" s="83">
        <v>50.0</v>
      </c>
      <c r="L26" s="65">
        <f>L27+M27</f>
        <v>111</v>
      </c>
    </row>
    <row r="27" ht="12.75" customHeight="1">
      <c r="A27" s="58">
        <f t="shared" si="15"/>
        <v>43126</v>
      </c>
      <c r="B27" s="81">
        <v>310.0</v>
      </c>
      <c r="C27" s="81">
        <v>555.64</v>
      </c>
      <c r="D27" s="81">
        <v>520.0</v>
      </c>
      <c r="E27" s="81">
        <v>0.0</v>
      </c>
      <c r="F27" s="60">
        <f t="shared" si="14"/>
        <v>1385.64</v>
      </c>
      <c r="G27" s="81">
        <v>24.0</v>
      </c>
      <c r="H27" s="81">
        <v>11.0</v>
      </c>
      <c r="I27" s="83">
        <v>0.0</v>
      </c>
      <c r="K27" s="66"/>
      <c r="L27" s="72">
        <f t="shared" ref="L27:N27" si="16">SUM(L29:L33)</f>
        <v>103</v>
      </c>
      <c r="M27" s="72">
        <f t="shared" si="16"/>
        <v>8</v>
      </c>
      <c r="N27" s="73">
        <f t="shared" si="16"/>
        <v>9844.56</v>
      </c>
    </row>
    <row r="28" ht="12.75" customHeight="1">
      <c r="A28" s="67"/>
      <c r="B28" s="68">
        <f t="shared" ref="B28:I28" si="17">SUM(B23:B27)</f>
        <v>1140</v>
      </c>
      <c r="C28" s="68">
        <f t="shared" si="17"/>
        <v>1549.68</v>
      </c>
      <c r="D28" s="68">
        <f t="shared" si="17"/>
        <v>5320</v>
      </c>
      <c r="E28" s="68">
        <f t="shared" si="17"/>
        <v>430</v>
      </c>
      <c r="F28" s="68">
        <f t="shared" si="17"/>
        <v>8439.68</v>
      </c>
      <c r="G28" s="70">
        <f t="shared" si="17"/>
        <v>139</v>
      </c>
      <c r="H28" s="70">
        <f t="shared" si="17"/>
        <v>33</v>
      </c>
      <c r="I28" s="91">
        <f t="shared" si="17"/>
        <v>430</v>
      </c>
      <c r="K28" s="95" t="s">
        <v>76</v>
      </c>
      <c r="L28" s="96">
        <v>90.0</v>
      </c>
      <c r="M28" s="96">
        <v>71.82</v>
      </c>
      <c r="N28" s="66"/>
    </row>
    <row r="29" ht="12.75" customHeight="1">
      <c r="A29" s="74"/>
      <c r="B29" s="75"/>
      <c r="C29" s="75"/>
      <c r="D29" s="75"/>
      <c r="E29" s="75"/>
      <c r="F29" s="75"/>
      <c r="G29" s="76"/>
      <c r="H29" s="76"/>
      <c r="I29" s="74"/>
      <c r="K29" s="81" t="s">
        <v>70</v>
      </c>
      <c r="L29" s="81">
        <v>13.0</v>
      </c>
      <c r="M29" s="81">
        <v>3.0</v>
      </c>
      <c r="N29" s="82">
        <f t="shared" ref="N29:N33" si="18">L29*$L$10+M29*$M$10</f>
        <v>1385.46</v>
      </c>
    </row>
    <row r="30" ht="12.75" customHeight="1">
      <c r="A30" s="58">
        <f>A27+3</f>
        <v>43129</v>
      </c>
      <c r="B30" s="81">
        <v>360.0</v>
      </c>
      <c r="C30" s="81">
        <v>275.12</v>
      </c>
      <c r="D30" s="81">
        <v>280.0</v>
      </c>
      <c r="E30" s="81">
        <v>140.0</v>
      </c>
      <c r="F30" s="60">
        <f t="shared" ref="F30:F32" si="19">SUM(B30:E30)</f>
        <v>1055.12</v>
      </c>
      <c r="G30" s="81">
        <v>19.0</v>
      </c>
      <c r="H30" s="81">
        <v>6.0</v>
      </c>
      <c r="I30" s="83">
        <v>150.0</v>
      </c>
      <c r="K30" s="81" t="s">
        <v>71</v>
      </c>
      <c r="L30" s="81">
        <v>34.0</v>
      </c>
      <c r="M30" s="81">
        <v>2.0</v>
      </c>
      <c r="N30" s="82">
        <f t="shared" si="18"/>
        <v>3203.64</v>
      </c>
    </row>
    <row r="31" ht="12.75" customHeight="1">
      <c r="A31" s="58">
        <f t="shared" ref="A31:A32" si="20">A30+1</f>
        <v>43130</v>
      </c>
      <c r="B31" s="81">
        <v>310.0</v>
      </c>
      <c r="C31" s="81">
        <v>243.96</v>
      </c>
      <c r="D31" s="81">
        <v>590.0</v>
      </c>
      <c r="E31" s="81">
        <v>140.0</v>
      </c>
      <c r="F31" s="60">
        <f t="shared" si="19"/>
        <v>1283.96</v>
      </c>
      <c r="G31" s="81">
        <v>22.0</v>
      </c>
      <c r="H31" s="81">
        <v>6.0</v>
      </c>
      <c r="I31" s="83">
        <v>140.0</v>
      </c>
      <c r="K31" s="81" t="s">
        <v>72</v>
      </c>
      <c r="L31" s="81">
        <v>21.0</v>
      </c>
      <c r="M31" s="81">
        <v>1.0</v>
      </c>
      <c r="N31" s="82">
        <f t="shared" si="18"/>
        <v>1961.82</v>
      </c>
    </row>
    <row r="32" ht="12.75" customHeight="1">
      <c r="A32" s="58">
        <f t="shared" si="20"/>
        <v>43131</v>
      </c>
      <c r="B32" s="81">
        <v>170.0</v>
      </c>
      <c r="C32" s="81">
        <v>311.2</v>
      </c>
      <c r="D32" s="81">
        <v>430.0</v>
      </c>
      <c r="E32" s="81">
        <v>240.0</v>
      </c>
      <c r="F32" s="60">
        <f t="shared" si="19"/>
        <v>1151.2</v>
      </c>
      <c r="G32" s="81">
        <v>23.0</v>
      </c>
      <c r="H32" s="81">
        <v>8.0</v>
      </c>
      <c r="I32" s="83">
        <v>240.0</v>
      </c>
      <c r="K32" s="81" t="s">
        <v>73</v>
      </c>
      <c r="L32" s="81">
        <v>21.0</v>
      </c>
      <c r="M32" s="81">
        <v>1.0</v>
      </c>
      <c r="N32" s="82">
        <f t="shared" si="18"/>
        <v>1961.82</v>
      </c>
    </row>
    <row r="33" ht="12.75" customHeight="1">
      <c r="A33" s="67"/>
      <c r="B33" s="68">
        <f t="shared" ref="B33:I33" si="21">SUM(B30:B32)</f>
        <v>840</v>
      </c>
      <c r="C33" s="68">
        <f t="shared" si="21"/>
        <v>830.28</v>
      </c>
      <c r="D33" s="68">
        <f t="shared" si="21"/>
        <v>1300</v>
      </c>
      <c r="E33" s="68">
        <f t="shared" si="21"/>
        <v>520</v>
      </c>
      <c r="F33" s="68">
        <f t="shared" si="21"/>
        <v>3490.28</v>
      </c>
      <c r="G33" s="70">
        <f t="shared" si="21"/>
        <v>64</v>
      </c>
      <c r="H33" s="70">
        <f t="shared" si="21"/>
        <v>20</v>
      </c>
      <c r="I33" s="91">
        <f t="shared" si="21"/>
        <v>530</v>
      </c>
      <c r="K33" s="81" t="s">
        <v>74</v>
      </c>
      <c r="L33" s="81">
        <v>14.0</v>
      </c>
      <c r="M33" s="81">
        <v>1.0</v>
      </c>
      <c r="N33" s="82">
        <f t="shared" si="18"/>
        <v>1331.82</v>
      </c>
    </row>
    <row r="34" ht="12.75" customHeight="1">
      <c r="A34" s="74"/>
      <c r="B34" s="75"/>
      <c r="C34" s="75"/>
      <c r="D34" s="75"/>
      <c r="E34" s="75"/>
      <c r="F34" s="75"/>
      <c r="G34" s="76"/>
      <c r="H34" s="76"/>
      <c r="I34" s="74"/>
    </row>
    <row r="35" ht="12.75" customHeight="1">
      <c r="A35" s="55" t="s">
        <v>61</v>
      </c>
      <c r="B35" s="55" t="s">
        <v>62</v>
      </c>
      <c r="C35" s="55" t="s">
        <v>63</v>
      </c>
      <c r="D35" s="55" t="s">
        <v>45</v>
      </c>
      <c r="E35" s="55" t="s">
        <v>46</v>
      </c>
      <c r="F35" s="55" t="s">
        <v>64</v>
      </c>
      <c r="G35" s="56" t="s">
        <v>65</v>
      </c>
      <c r="H35" s="55" t="s">
        <v>66</v>
      </c>
      <c r="I35" s="57" t="s">
        <v>67</v>
      </c>
      <c r="L35" s="65">
        <f>L36+M36</f>
        <v>91</v>
      </c>
    </row>
    <row r="36" ht="12.75" customHeight="1">
      <c r="A36" s="58">
        <v>43132.0</v>
      </c>
      <c r="B36" s="59">
        <v>100.0</v>
      </c>
      <c r="C36" s="59">
        <v>193.44</v>
      </c>
      <c r="D36" s="59">
        <v>1560.0</v>
      </c>
      <c r="E36" s="59">
        <v>50.0</v>
      </c>
      <c r="F36" s="60">
        <f t="shared" ref="F36:F37" si="23">SUM(B36:E36)</f>
        <v>1903.44</v>
      </c>
      <c r="G36" s="59">
        <v>34.0</v>
      </c>
      <c r="H36" s="59">
        <v>4.0</v>
      </c>
      <c r="I36" s="61">
        <v>50.0</v>
      </c>
      <c r="L36" s="72">
        <f t="shared" ref="L36:N36" si="22">SUM(L38:L42)</f>
        <v>81</v>
      </c>
      <c r="M36" s="72">
        <f t="shared" si="22"/>
        <v>10</v>
      </c>
      <c r="N36" s="73">
        <f t="shared" si="22"/>
        <v>8008.2</v>
      </c>
    </row>
    <row r="37" ht="12.75" customHeight="1">
      <c r="A37" s="58">
        <f>A36+1</f>
        <v>43133</v>
      </c>
      <c r="B37" s="59">
        <v>420.0</v>
      </c>
      <c r="C37" s="59">
        <v>84.12</v>
      </c>
      <c r="D37" s="59">
        <v>850.0</v>
      </c>
      <c r="E37" s="59">
        <v>170.0</v>
      </c>
      <c r="F37" s="60">
        <f t="shared" si="23"/>
        <v>1524.12</v>
      </c>
      <c r="G37" s="59">
        <v>25.0</v>
      </c>
      <c r="H37" s="59">
        <v>2.0</v>
      </c>
      <c r="I37" s="61">
        <v>170.0</v>
      </c>
      <c r="K37" s="78" t="s">
        <v>77</v>
      </c>
      <c r="L37" s="96">
        <v>90.0</v>
      </c>
      <c r="M37" s="96">
        <v>71.82</v>
      </c>
      <c r="N37" s="66"/>
    </row>
    <row r="38" ht="12.75" customHeight="1">
      <c r="A38" s="67"/>
      <c r="B38" s="68">
        <f t="shared" ref="B38:F38" si="24">SUM(B36:B37)</f>
        <v>520</v>
      </c>
      <c r="C38" s="68">
        <f t="shared" si="24"/>
        <v>277.56</v>
      </c>
      <c r="D38" s="68">
        <f t="shared" si="24"/>
        <v>2410</v>
      </c>
      <c r="E38" s="68">
        <f t="shared" si="24"/>
        <v>220</v>
      </c>
      <c r="F38" s="68">
        <f t="shared" si="24"/>
        <v>3427.56</v>
      </c>
      <c r="G38" s="70">
        <f>SUM(G36:G37)+G36</f>
        <v>93</v>
      </c>
      <c r="H38" s="70">
        <f t="shared" ref="H38:I38" si="25">SUM(H36:H37)</f>
        <v>6</v>
      </c>
      <c r="I38" s="91">
        <f t="shared" si="25"/>
        <v>220</v>
      </c>
      <c r="K38" s="81" t="s">
        <v>70</v>
      </c>
      <c r="L38" s="81">
        <v>19.0</v>
      </c>
      <c r="M38" s="81">
        <v>4.0</v>
      </c>
      <c r="N38" s="82">
        <f t="shared" ref="N38:N42" si="26">L38*$L$10+M38*$M$10</f>
        <v>1997.28</v>
      </c>
    </row>
    <row r="39" ht="12.75" customHeight="1">
      <c r="A39" s="74"/>
      <c r="B39" s="75"/>
      <c r="C39" s="75"/>
      <c r="D39" s="75"/>
      <c r="E39" s="75"/>
      <c r="F39" s="75"/>
      <c r="G39" s="76"/>
      <c r="H39" s="76"/>
      <c r="I39" s="74"/>
      <c r="K39" s="81" t="s">
        <v>71</v>
      </c>
      <c r="L39" s="81">
        <v>8.0</v>
      </c>
      <c r="M39" s="81"/>
      <c r="N39" s="82">
        <f t="shared" si="26"/>
        <v>720</v>
      </c>
    </row>
    <row r="40" ht="12.75" customHeight="1">
      <c r="A40" s="58">
        <f>A37+3</f>
        <v>43136</v>
      </c>
      <c r="B40" s="59">
        <v>230.0</v>
      </c>
      <c r="C40" s="59">
        <v>234.1</v>
      </c>
      <c r="D40" s="59">
        <v>1070.0</v>
      </c>
      <c r="E40" s="59">
        <v>170.0</v>
      </c>
      <c r="F40" s="60">
        <f t="shared" ref="F40:F44" si="27">SUM(B40:E40)</f>
        <v>1704.1</v>
      </c>
      <c r="G40" s="59">
        <v>27.0</v>
      </c>
      <c r="H40" s="59">
        <v>5.0</v>
      </c>
      <c r="I40" s="61">
        <v>170.0</v>
      </c>
      <c r="K40" s="81" t="s">
        <v>72</v>
      </c>
      <c r="L40" s="81">
        <v>21.0</v>
      </c>
      <c r="M40" s="81">
        <v>1.0</v>
      </c>
      <c r="N40" s="82">
        <f t="shared" si="26"/>
        <v>1961.82</v>
      </c>
    </row>
    <row r="41" ht="12.75" customHeight="1">
      <c r="A41" s="58">
        <f t="shared" ref="A41:A44" si="28">A40+1</f>
        <v>43137</v>
      </c>
      <c r="B41" s="81">
        <v>310.0</v>
      </c>
      <c r="C41" s="81">
        <v>118.46</v>
      </c>
      <c r="D41" s="81">
        <v>620.0</v>
      </c>
      <c r="E41" s="81">
        <v>50.0</v>
      </c>
      <c r="F41" s="60">
        <f t="shared" si="27"/>
        <v>1098.46</v>
      </c>
      <c r="G41" s="81">
        <v>19.0</v>
      </c>
      <c r="H41" s="81">
        <v>3.0</v>
      </c>
      <c r="I41" s="83">
        <v>50.0</v>
      </c>
      <c r="K41" s="81" t="s">
        <v>73</v>
      </c>
      <c r="L41" s="81">
        <v>23.0</v>
      </c>
      <c r="M41" s="81">
        <v>4.0</v>
      </c>
      <c r="N41" s="82">
        <f t="shared" si="26"/>
        <v>2357.28</v>
      </c>
    </row>
    <row r="42" ht="12.75" customHeight="1">
      <c r="A42" s="58">
        <f t="shared" si="28"/>
        <v>43138</v>
      </c>
      <c r="B42" s="81">
        <v>320.0</v>
      </c>
      <c r="C42" s="81">
        <v>359.58</v>
      </c>
      <c r="D42" s="81">
        <v>490.0</v>
      </c>
      <c r="E42" s="81">
        <v>100.0</v>
      </c>
      <c r="F42" s="60">
        <f t="shared" si="27"/>
        <v>1269.58</v>
      </c>
      <c r="G42" s="81">
        <v>27.0</v>
      </c>
      <c r="H42" s="81">
        <v>9.0</v>
      </c>
      <c r="I42" s="83">
        <v>100.0</v>
      </c>
      <c r="K42" s="81" t="s">
        <v>74</v>
      </c>
      <c r="L42" s="81">
        <v>10.0</v>
      </c>
      <c r="M42" s="81">
        <v>1.0</v>
      </c>
      <c r="N42" s="82">
        <f t="shared" si="26"/>
        <v>971.82</v>
      </c>
    </row>
    <row r="43" ht="12.75" customHeight="1">
      <c r="A43" s="58">
        <f t="shared" si="28"/>
        <v>43139</v>
      </c>
      <c r="B43" s="81">
        <v>400.0</v>
      </c>
      <c r="C43" s="81">
        <v>93.52</v>
      </c>
      <c r="D43" s="81">
        <v>1130.0</v>
      </c>
      <c r="E43" s="81">
        <v>290.0</v>
      </c>
      <c r="F43" s="60">
        <f t="shared" si="27"/>
        <v>1913.52</v>
      </c>
      <c r="G43" s="81">
        <v>32.0</v>
      </c>
      <c r="H43" s="81">
        <v>3.0</v>
      </c>
      <c r="I43" s="83">
        <v>290.0</v>
      </c>
    </row>
    <row r="44" ht="12.75" customHeight="1">
      <c r="A44" s="58">
        <f t="shared" si="28"/>
        <v>43140</v>
      </c>
      <c r="B44" s="81">
        <v>190.0</v>
      </c>
      <c r="C44" s="81">
        <v>399.49</v>
      </c>
      <c r="D44" s="81">
        <v>587.49</v>
      </c>
      <c r="E44" s="81">
        <v>100.0</v>
      </c>
      <c r="F44" s="60">
        <f t="shared" si="27"/>
        <v>1276.98</v>
      </c>
      <c r="G44" s="81">
        <v>22.0</v>
      </c>
      <c r="H44" s="81">
        <v>8.0</v>
      </c>
      <c r="I44" s="83">
        <v>100.0</v>
      </c>
      <c r="L44" s="65">
        <f>L45+M45</f>
        <v>53</v>
      </c>
    </row>
    <row r="45" ht="12.75" customHeight="1">
      <c r="A45" s="67"/>
      <c r="B45" s="68">
        <f t="shared" ref="B45:I45" si="29">SUM(B40:B44)</f>
        <v>1450</v>
      </c>
      <c r="C45" s="68">
        <f t="shared" si="29"/>
        <v>1205.15</v>
      </c>
      <c r="D45" s="68">
        <f t="shared" si="29"/>
        <v>3897.49</v>
      </c>
      <c r="E45" s="68">
        <f t="shared" si="29"/>
        <v>710</v>
      </c>
      <c r="F45" s="68">
        <f t="shared" si="29"/>
        <v>7262.64</v>
      </c>
      <c r="G45" s="70">
        <f t="shared" si="29"/>
        <v>127</v>
      </c>
      <c r="H45" s="70">
        <f t="shared" si="29"/>
        <v>28</v>
      </c>
      <c r="I45" s="91">
        <f t="shared" si="29"/>
        <v>710</v>
      </c>
      <c r="K45" s="66"/>
      <c r="L45" s="72">
        <f t="shared" ref="L45:N45" si="30">SUM(L47:L51)</f>
        <v>43</v>
      </c>
      <c r="M45" s="72">
        <f t="shared" si="30"/>
        <v>10</v>
      </c>
      <c r="N45" s="73">
        <f t="shared" si="30"/>
        <v>4588.2</v>
      </c>
    </row>
    <row r="46" ht="12.75" customHeight="1">
      <c r="A46" s="74"/>
      <c r="B46" s="92"/>
      <c r="C46" s="92"/>
      <c r="D46" s="92"/>
      <c r="E46" s="92"/>
      <c r="F46" s="92"/>
      <c r="G46" s="93"/>
      <c r="H46" s="93"/>
      <c r="I46" s="94"/>
      <c r="K46" s="78" t="s">
        <v>78</v>
      </c>
      <c r="L46" s="79">
        <v>90.0</v>
      </c>
      <c r="M46" s="79">
        <v>71.82</v>
      </c>
      <c r="N46" s="66"/>
    </row>
    <row r="47" ht="12.75" customHeight="1">
      <c r="A47" s="97">
        <f>A44+3</f>
        <v>43143</v>
      </c>
      <c r="B47" s="98">
        <v>200.0</v>
      </c>
      <c r="C47" s="99">
        <v>201.54</v>
      </c>
      <c r="D47" s="99">
        <v>450.0</v>
      </c>
      <c r="E47" s="99">
        <v>0.0</v>
      </c>
      <c r="F47" s="100">
        <f t="shared" ref="F47:F51" si="31">SUM(B47:E47)</f>
        <v>851.54</v>
      </c>
      <c r="G47" s="99">
        <v>17.0</v>
      </c>
      <c r="H47" s="99">
        <v>5.0</v>
      </c>
      <c r="I47" s="101">
        <v>0.0</v>
      </c>
      <c r="K47" s="81" t="s">
        <v>70</v>
      </c>
      <c r="L47" s="81">
        <v>0.0</v>
      </c>
      <c r="M47" s="81">
        <v>0.0</v>
      </c>
      <c r="N47" s="82">
        <f t="shared" ref="N47:N51" si="32">L47*$L$10+M47*$M$10</f>
        <v>0</v>
      </c>
    </row>
    <row r="48" ht="12.75" customHeight="1">
      <c r="A48" s="102">
        <f t="shared" ref="A48:A51" si="33">A47+1</f>
        <v>43144</v>
      </c>
      <c r="B48" s="81">
        <v>820.0</v>
      </c>
      <c r="C48" s="81">
        <v>81.32</v>
      </c>
      <c r="D48" s="81">
        <v>680.0</v>
      </c>
      <c r="E48" s="66">
        <v>150.0</v>
      </c>
      <c r="F48" s="104">
        <f t="shared" si="31"/>
        <v>1731.32</v>
      </c>
      <c r="G48" s="81">
        <v>30.0</v>
      </c>
      <c r="H48" s="81">
        <v>2.0</v>
      </c>
      <c r="I48" s="83">
        <v>150.0</v>
      </c>
      <c r="K48" s="81" t="s">
        <v>71</v>
      </c>
      <c r="L48" s="81">
        <v>9.0</v>
      </c>
      <c r="M48" s="81">
        <v>3.0</v>
      </c>
      <c r="N48" s="82">
        <f t="shared" si="32"/>
        <v>1025.46</v>
      </c>
    </row>
    <row r="49" ht="12.75" customHeight="1">
      <c r="A49" s="102">
        <f t="shared" si="33"/>
        <v>43145</v>
      </c>
      <c r="B49" s="103">
        <v>420.0</v>
      </c>
      <c r="C49" s="81">
        <v>318.3</v>
      </c>
      <c r="D49" s="81">
        <v>480.0</v>
      </c>
      <c r="E49" s="81">
        <v>100.0</v>
      </c>
      <c r="F49" s="104">
        <f t="shared" si="31"/>
        <v>1318.3</v>
      </c>
      <c r="G49" s="81">
        <v>26.0</v>
      </c>
      <c r="H49" s="81">
        <v>8.0</v>
      </c>
      <c r="I49" s="83">
        <v>100.0</v>
      </c>
      <c r="K49" s="81" t="s">
        <v>72</v>
      </c>
      <c r="L49" s="81">
        <v>6.0</v>
      </c>
      <c r="M49" s="81">
        <v>5.0</v>
      </c>
      <c r="N49" s="82">
        <f t="shared" si="32"/>
        <v>899.1</v>
      </c>
    </row>
    <row r="50" ht="12.75" customHeight="1">
      <c r="A50" s="102">
        <f t="shared" si="33"/>
        <v>43146</v>
      </c>
      <c r="B50" s="103">
        <v>680.0</v>
      </c>
      <c r="C50" s="81">
        <v>84.9</v>
      </c>
      <c r="D50" s="81">
        <v>850.0</v>
      </c>
      <c r="E50" s="81">
        <v>140.0</v>
      </c>
      <c r="F50" s="104">
        <f t="shared" si="31"/>
        <v>1754.9</v>
      </c>
      <c r="G50" s="81">
        <v>29.0</v>
      </c>
      <c r="H50" s="81">
        <v>2.0</v>
      </c>
      <c r="I50" s="83">
        <v>140.0</v>
      </c>
      <c r="K50" s="81" t="s">
        <v>73</v>
      </c>
      <c r="L50" s="81">
        <v>14.0</v>
      </c>
      <c r="M50" s="81">
        <v>1.0</v>
      </c>
      <c r="N50" s="82">
        <f t="shared" si="32"/>
        <v>1331.82</v>
      </c>
    </row>
    <row r="51" ht="12.75" customHeight="1">
      <c r="A51" s="102">
        <f t="shared" si="33"/>
        <v>43147</v>
      </c>
      <c r="B51" s="105">
        <v>260.0</v>
      </c>
      <c r="C51" s="106">
        <v>79.56</v>
      </c>
      <c r="D51" s="106">
        <v>1010.0</v>
      </c>
      <c r="E51" s="106">
        <v>50.0</v>
      </c>
      <c r="F51" s="107">
        <f t="shared" si="31"/>
        <v>1399.56</v>
      </c>
      <c r="G51" s="106">
        <v>24.0</v>
      </c>
      <c r="H51" s="106">
        <v>2.0</v>
      </c>
      <c r="I51" s="108">
        <v>50.0</v>
      </c>
      <c r="K51" s="81" t="s">
        <v>74</v>
      </c>
      <c r="L51" s="81">
        <v>14.0</v>
      </c>
      <c r="M51" s="81">
        <v>1.0</v>
      </c>
      <c r="N51" s="82">
        <f t="shared" si="32"/>
        <v>1331.82</v>
      </c>
    </row>
    <row r="52" ht="12.75" customHeight="1">
      <c r="A52" s="109"/>
      <c r="B52" s="91">
        <f t="shared" ref="B52:I52" si="34">SUM(B47:B51)</f>
        <v>2380</v>
      </c>
      <c r="C52" s="91">
        <f t="shared" si="34"/>
        <v>765.62</v>
      </c>
      <c r="D52" s="91">
        <f t="shared" si="34"/>
        <v>3470</v>
      </c>
      <c r="E52" s="91">
        <f t="shared" si="34"/>
        <v>440</v>
      </c>
      <c r="F52" s="91">
        <f t="shared" si="34"/>
        <v>7055.62</v>
      </c>
      <c r="G52" s="70">
        <f t="shared" si="34"/>
        <v>126</v>
      </c>
      <c r="H52" s="70">
        <f t="shared" si="34"/>
        <v>19</v>
      </c>
      <c r="I52" s="91">
        <f t="shared" si="34"/>
        <v>440</v>
      </c>
      <c r="K52" s="64"/>
    </row>
    <row r="53" ht="12.75" customHeight="1">
      <c r="A53" s="110"/>
      <c r="B53" s="74"/>
      <c r="C53" s="74"/>
      <c r="D53" s="74"/>
      <c r="E53" s="74"/>
      <c r="F53" s="74"/>
      <c r="G53" s="76"/>
      <c r="H53" s="76"/>
      <c r="I53" s="74"/>
      <c r="L53" s="65">
        <f>L54+M54</f>
        <v>41</v>
      </c>
    </row>
    <row r="54" ht="12.75" customHeight="1">
      <c r="A54" s="111">
        <f>A51+3</f>
        <v>43150</v>
      </c>
      <c r="B54" s="112">
        <v>470.0</v>
      </c>
      <c r="C54" s="112">
        <v>190.28</v>
      </c>
      <c r="D54" s="112">
        <v>930.0</v>
      </c>
      <c r="E54" s="112">
        <v>190.0</v>
      </c>
      <c r="F54" s="107">
        <f t="shared" ref="F54:F58" si="36">SUM(B54:E54)</f>
        <v>1780.28</v>
      </c>
      <c r="G54" s="59">
        <v>33.0</v>
      </c>
      <c r="H54" s="59">
        <v>4.0</v>
      </c>
      <c r="I54" s="61">
        <v>190.0</v>
      </c>
      <c r="L54" s="72">
        <f t="shared" ref="L54:N54" si="35">SUM(L56:L60)</f>
        <v>38</v>
      </c>
      <c r="M54" s="72">
        <f t="shared" si="35"/>
        <v>3</v>
      </c>
      <c r="N54" s="73">
        <f t="shared" si="35"/>
        <v>3635.46</v>
      </c>
    </row>
    <row r="55" ht="12.75" customHeight="1">
      <c r="A55" s="113">
        <f t="shared" ref="A55:A58" si="37">A54+1</f>
        <v>43151</v>
      </c>
      <c r="B55" s="103">
        <v>440.0</v>
      </c>
      <c r="C55" s="103">
        <v>162.64</v>
      </c>
      <c r="D55" s="103">
        <v>990.0</v>
      </c>
      <c r="E55" s="103">
        <v>190.0</v>
      </c>
      <c r="F55" s="107">
        <f t="shared" si="36"/>
        <v>1782.64</v>
      </c>
      <c r="G55" s="81">
        <v>31.0</v>
      </c>
      <c r="H55" s="81">
        <v>4.0</v>
      </c>
      <c r="I55" s="83">
        <v>190.0</v>
      </c>
      <c r="K55" s="78" t="s">
        <v>79</v>
      </c>
      <c r="L55" s="79">
        <v>90.0</v>
      </c>
      <c r="M55" s="79">
        <v>71.82</v>
      </c>
      <c r="N55" s="66"/>
    </row>
    <row r="56" ht="12.75" customHeight="1">
      <c r="A56" s="113">
        <f t="shared" si="37"/>
        <v>43152</v>
      </c>
      <c r="B56" s="103">
        <v>290.0</v>
      </c>
      <c r="C56" s="103">
        <v>155.6</v>
      </c>
      <c r="D56" s="103">
        <v>670.0</v>
      </c>
      <c r="E56" s="103">
        <v>370.0</v>
      </c>
      <c r="F56" s="107">
        <f t="shared" si="36"/>
        <v>1485.6</v>
      </c>
      <c r="G56" s="81">
        <v>27.0</v>
      </c>
      <c r="H56" s="81">
        <v>4.0</v>
      </c>
      <c r="I56" s="83">
        <v>370.0</v>
      </c>
      <c r="K56" s="81" t="s">
        <v>70</v>
      </c>
      <c r="L56" s="81">
        <v>7.0</v>
      </c>
      <c r="M56" s="81">
        <v>1.0</v>
      </c>
      <c r="N56" s="82">
        <f t="shared" ref="N56:N60" si="38">L56*$L$10+M56*$M$10</f>
        <v>701.82</v>
      </c>
    </row>
    <row r="57" ht="12.75" customHeight="1">
      <c r="A57" s="113">
        <f t="shared" si="37"/>
        <v>43153</v>
      </c>
      <c r="B57" s="103">
        <v>720.0</v>
      </c>
      <c r="C57" s="103">
        <v>387.6</v>
      </c>
      <c r="D57" s="103">
        <v>630.0</v>
      </c>
      <c r="E57" s="103">
        <v>100.0</v>
      </c>
      <c r="F57" s="107">
        <f t="shared" si="36"/>
        <v>1837.6</v>
      </c>
      <c r="G57" s="81">
        <v>34.0</v>
      </c>
      <c r="H57" s="81">
        <v>8.0</v>
      </c>
      <c r="I57" s="83">
        <v>100.0</v>
      </c>
      <c r="K57" s="81" t="s">
        <v>71</v>
      </c>
      <c r="L57" s="81">
        <v>25.0</v>
      </c>
      <c r="M57" s="81">
        <v>1.0</v>
      </c>
      <c r="N57" s="82">
        <f t="shared" si="38"/>
        <v>2321.82</v>
      </c>
    </row>
    <row r="58" ht="12.75" customHeight="1">
      <c r="A58" s="114">
        <f t="shared" si="37"/>
        <v>43154</v>
      </c>
      <c r="B58" s="103">
        <v>380.0</v>
      </c>
      <c r="C58" s="103">
        <v>340.0</v>
      </c>
      <c r="D58" s="103">
        <v>650.0</v>
      </c>
      <c r="E58" s="103">
        <v>140.0</v>
      </c>
      <c r="F58" s="107">
        <f t="shared" si="36"/>
        <v>1510</v>
      </c>
      <c r="G58" s="81">
        <v>27.0</v>
      </c>
      <c r="H58" s="81">
        <v>6.0</v>
      </c>
      <c r="I58" s="83">
        <v>150.0</v>
      </c>
      <c r="K58" s="81" t="s">
        <v>72</v>
      </c>
      <c r="L58" s="81">
        <v>6.0</v>
      </c>
      <c r="M58" s="81">
        <v>1.0</v>
      </c>
      <c r="N58" s="82">
        <f t="shared" si="38"/>
        <v>611.82</v>
      </c>
    </row>
    <row r="59" ht="12.75" customHeight="1">
      <c r="A59" s="115"/>
      <c r="B59" s="91">
        <f t="shared" ref="B59:I59" si="39">SUM(B54:B58)</f>
        <v>2300</v>
      </c>
      <c r="C59" s="91">
        <f t="shared" si="39"/>
        <v>1236.12</v>
      </c>
      <c r="D59" s="91">
        <f t="shared" si="39"/>
        <v>3870</v>
      </c>
      <c r="E59" s="91">
        <f t="shared" si="39"/>
        <v>990</v>
      </c>
      <c r="F59" s="91">
        <f t="shared" si="39"/>
        <v>8396.12</v>
      </c>
      <c r="G59" s="70">
        <f t="shared" si="39"/>
        <v>152</v>
      </c>
      <c r="H59" s="70">
        <f t="shared" si="39"/>
        <v>26</v>
      </c>
      <c r="I59" s="91">
        <f t="shared" si="39"/>
        <v>1000</v>
      </c>
      <c r="K59" s="81" t="s">
        <v>73</v>
      </c>
      <c r="L59" s="81"/>
      <c r="M59" s="81"/>
      <c r="N59" s="82">
        <f t="shared" si="38"/>
        <v>0</v>
      </c>
    </row>
    <row r="60" ht="12.75" customHeight="1">
      <c r="A60" s="116"/>
      <c r="B60" s="74"/>
      <c r="C60" s="74"/>
      <c r="D60" s="74"/>
      <c r="E60" s="74"/>
      <c r="F60" s="74"/>
      <c r="G60" s="76"/>
      <c r="H60" s="76"/>
      <c r="I60" s="74"/>
      <c r="K60" s="81" t="s">
        <v>74</v>
      </c>
      <c r="L60" s="81"/>
      <c r="M60" s="81"/>
      <c r="N60" s="82">
        <f t="shared" si="38"/>
        <v>0</v>
      </c>
    </row>
    <row r="61" ht="12.75" customHeight="1">
      <c r="A61" s="113">
        <f>A58+3</f>
        <v>43157</v>
      </c>
      <c r="B61" s="103">
        <v>90.0</v>
      </c>
      <c r="C61" s="103">
        <v>159.12</v>
      </c>
      <c r="D61" s="103">
        <v>500.0</v>
      </c>
      <c r="E61" s="103">
        <v>50.0</v>
      </c>
      <c r="F61" s="107">
        <f t="shared" ref="F61:F63" si="40">SUM(B61:E61)</f>
        <v>799.12</v>
      </c>
      <c r="G61" s="81">
        <v>14.0</v>
      </c>
      <c r="H61" s="81">
        <v>4.0</v>
      </c>
      <c r="I61" s="83">
        <v>50.0</v>
      </c>
    </row>
    <row r="62" ht="12.75" customHeight="1">
      <c r="A62" s="114">
        <f t="shared" ref="A62:A63" si="41">A61+1</f>
        <v>43158</v>
      </c>
      <c r="B62" s="103">
        <v>260.0</v>
      </c>
      <c r="C62" s="103">
        <v>245.36</v>
      </c>
      <c r="D62" s="103">
        <v>380.0</v>
      </c>
      <c r="E62" s="103">
        <v>170.0</v>
      </c>
      <c r="F62" s="107">
        <f t="shared" si="40"/>
        <v>1055.36</v>
      </c>
      <c r="G62" s="81">
        <v>21.0</v>
      </c>
      <c r="H62" s="81">
        <v>6.0</v>
      </c>
      <c r="I62" s="83">
        <v>170.0</v>
      </c>
      <c r="L62" s="65">
        <f>L63+M63</f>
        <v>29</v>
      </c>
    </row>
    <row r="63" ht="12.75" customHeight="1">
      <c r="A63" s="114">
        <f t="shared" si="41"/>
        <v>43159</v>
      </c>
      <c r="B63" s="59">
        <v>380.0</v>
      </c>
      <c r="C63" s="59">
        <v>347.91</v>
      </c>
      <c r="D63" s="59">
        <v>362.67</v>
      </c>
      <c r="E63" s="59">
        <v>70.0</v>
      </c>
      <c r="F63" s="60">
        <f t="shared" si="40"/>
        <v>1160.58</v>
      </c>
      <c r="G63" s="59">
        <v>24.0</v>
      </c>
      <c r="H63" s="59">
        <v>9.0</v>
      </c>
      <c r="I63" s="61">
        <v>70.0</v>
      </c>
      <c r="L63" s="72">
        <v>25.0</v>
      </c>
      <c r="M63" s="72">
        <v>4.0</v>
      </c>
      <c r="N63" s="73">
        <v>2537.28</v>
      </c>
    </row>
    <row r="64" ht="12.75" customHeight="1">
      <c r="A64" s="115"/>
      <c r="B64" s="91">
        <f t="shared" ref="B64:I64" si="42">SUM(B61:B63)</f>
        <v>730</v>
      </c>
      <c r="C64" s="91">
        <f t="shared" si="42"/>
        <v>752.39</v>
      </c>
      <c r="D64" s="91">
        <f t="shared" si="42"/>
        <v>1242.67</v>
      </c>
      <c r="E64" s="91">
        <f t="shared" si="42"/>
        <v>290</v>
      </c>
      <c r="F64" s="91">
        <f t="shared" si="42"/>
        <v>3015.06</v>
      </c>
      <c r="G64" s="70">
        <f t="shared" si="42"/>
        <v>59</v>
      </c>
      <c r="H64" s="70">
        <f t="shared" si="42"/>
        <v>19</v>
      </c>
      <c r="I64" s="91">
        <f t="shared" si="42"/>
        <v>290</v>
      </c>
      <c r="K64" s="78" t="s">
        <v>80</v>
      </c>
      <c r="L64" s="79">
        <v>90.0</v>
      </c>
      <c r="M64" s="79">
        <v>71.82</v>
      </c>
    </row>
    <row r="65" ht="12.75" customHeight="1">
      <c r="A65" s="116"/>
      <c r="B65" s="74"/>
      <c r="C65" s="74"/>
      <c r="D65" s="74"/>
      <c r="E65" s="74"/>
      <c r="F65" s="74"/>
      <c r="G65" s="76"/>
      <c r="H65" s="76"/>
      <c r="I65" s="74"/>
      <c r="K65" s="81" t="s">
        <v>70</v>
      </c>
      <c r="L65" s="250"/>
      <c r="M65" s="250"/>
      <c r="N65" s="82">
        <f t="shared" ref="N65:N69" si="43">L65*$L$10+M65*$M$10</f>
        <v>0</v>
      </c>
    </row>
    <row r="66" ht="12.75" customHeight="1">
      <c r="A66" s="58">
        <v>43160.0</v>
      </c>
      <c r="B66" s="81">
        <v>340.0</v>
      </c>
      <c r="C66" s="81">
        <v>372.82</v>
      </c>
      <c r="D66" s="81">
        <v>940.0</v>
      </c>
      <c r="E66" s="81">
        <v>0.0</v>
      </c>
      <c r="F66" s="60">
        <f t="shared" ref="F66:F67" si="44">SUM(B66:E66)</f>
        <v>1652.82</v>
      </c>
      <c r="G66" s="81">
        <v>27.0</v>
      </c>
      <c r="H66" s="81">
        <v>7.0</v>
      </c>
      <c r="I66" s="83">
        <v>100.0</v>
      </c>
      <c r="K66" s="81" t="s">
        <v>71</v>
      </c>
      <c r="L66" s="119"/>
      <c r="M66" s="119"/>
      <c r="N66" s="82">
        <f t="shared" si="43"/>
        <v>0</v>
      </c>
    </row>
    <row r="67" ht="12.75" customHeight="1">
      <c r="A67" s="58">
        <f>A66+1</f>
        <v>43161</v>
      </c>
      <c r="B67" s="81">
        <v>350.0</v>
      </c>
      <c r="C67" s="81">
        <v>86.66</v>
      </c>
      <c r="D67" s="81">
        <v>940.0</v>
      </c>
      <c r="E67" s="81">
        <v>90.0</v>
      </c>
      <c r="F67" s="60">
        <f t="shared" si="44"/>
        <v>1466.66</v>
      </c>
      <c r="G67" s="81">
        <v>25.0</v>
      </c>
      <c r="H67" s="81">
        <v>2.0</v>
      </c>
      <c r="I67" s="83">
        <v>100.0</v>
      </c>
      <c r="K67" s="81" t="s">
        <v>72</v>
      </c>
      <c r="L67" s="124">
        <v>9.0</v>
      </c>
      <c r="M67" s="124">
        <v>3.0</v>
      </c>
      <c r="N67" s="82">
        <f t="shared" si="43"/>
        <v>1025.46</v>
      </c>
    </row>
    <row r="68" ht="12.75" customHeight="1">
      <c r="A68" s="67"/>
      <c r="B68" s="68">
        <f t="shared" ref="B68:I68" si="45">SUM(B66:B67)</f>
        <v>690</v>
      </c>
      <c r="C68" s="68">
        <f t="shared" si="45"/>
        <v>459.48</v>
      </c>
      <c r="D68" s="68">
        <f t="shared" si="45"/>
        <v>1880</v>
      </c>
      <c r="E68" s="68">
        <f t="shared" si="45"/>
        <v>90</v>
      </c>
      <c r="F68" s="68">
        <f t="shared" si="45"/>
        <v>3119.48</v>
      </c>
      <c r="G68" s="70">
        <f t="shared" si="45"/>
        <v>52</v>
      </c>
      <c r="H68" s="70">
        <f t="shared" si="45"/>
        <v>9</v>
      </c>
      <c r="I68" s="71">
        <f t="shared" si="45"/>
        <v>200</v>
      </c>
      <c r="K68" s="81" t="s">
        <v>73</v>
      </c>
      <c r="L68" s="124">
        <v>9.0</v>
      </c>
      <c r="M68" s="124">
        <v>1.0</v>
      </c>
      <c r="N68" s="82">
        <f t="shared" si="43"/>
        <v>881.82</v>
      </c>
    </row>
    <row r="69" ht="12.75" customHeight="1">
      <c r="A69" s="74"/>
      <c r="B69" s="75"/>
      <c r="C69" s="75"/>
      <c r="D69" s="75"/>
      <c r="E69" s="75"/>
      <c r="F69" s="75"/>
      <c r="G69" s="76"/>
      <c r="H69" s="76"/>
      <c r="I69" s="77"/>
      <c r="K69" s="81" t="s">
        <v>74</v>
      </c>
      <c r="L69" s="124">
        <v>7.0</v>
      </c>
      <c r="M69" s="124"/>
      <c r="N69" s="82">
        <f t="shared" si="43"/>
        <v>630</v>
      </c>
    </row>
    <row r="70" ht="12.75" customHeight="1">
      <c r="A70" s="58">
        <f>A67+3</f>
        <v>43164</v>
      </c>
      <c r="B70" s="81">
        <v>470.0</v>
      </c>
      <c r="C70" s="81">
        <v>201.54</v>
      </c>
      <c r="D70" s="81">
        <v>1300.0</v>
      </c>
      <c r="E70" s="81">
        <v>200.0</v>
      </c>
      <c r="F70" s="60">
        <f t="shared" ref="F70:F74" si="46">SUM(B70:E70)</f>
        <v>2171.54</v>
      </c>
      <c r="G70" s="81">
        <v>36.0</v>
      </c>
      <c r="H70" s="81">
        <v>5.0</v>
      </c>
      <c r="I70" s="83">
        <v>210.0</v>
      </c>
    </row>
    <row r="71" ht="12.75" customHeight="1">
      <c r="A71" s="58">
        <f t="shared" ref="A71:A74" si="47">A70+1</f>
        <v>43165</v>
      </c>
      <c r="B71" s="81">
        <v>360.0</v>
      </c>
      <c r="C71" s="81">
        <v>153.14</v>
      </c>
      <c r="D71" s="81">
        <v>800.0</v>
      </c>
      <c r="E71" s="81">
        <v>50.0</v>
      </c>
      <c r="F71" s="60">
        <f t="shared" si="46"/>
        <v>1363.14</v>
      </c>
      <c r="G71" s="81">
        <v>22.0</v>
      </c>
      <c r="H71" s="81">
        <v>3.0</v>
      </c>
      <c r="I71" s="81">
        <v>50.0</v>
      </c>
    </row>
    <row r="72" ht="12.75" customHeight="1">
      <c r="A72" s="58">
        <f t="shared" si="47"/>
        <v>43166</v>
      </c>
      <c r="B72" s="81">
        <v>380.0</v>
      </c>
      <c r="C72" s="81">
        <v>380.49</v>
      </c>
      <c r="D72" s="81">
        <v>510.0</v>
      </c>
      <c r="E72" s="81">
        <v>50.0</v>
      </c>
      <c r="F72" s="60">
        <f t="shared" si="46"/>
        <v>1320.49</v>
      </c>
      <c r="G72" s="81">
        <v>26.0</v>
      </c>
      <c r="H72" s="81">
        <v>10.0</v>
      </c>
      <c r="I72" s="81">
        <v>50.0</v>
      </c>
      <c r="L72" s="251">
        <f>L73+M73</f>
        <v>161.82</v>
      </c>
      <c r="N72" s="73">
        <f>SUM(N74:N78)</f>
        <v>3112.74</v>
      </c>
    </row>
    <row r="73" ht="12.75" customHeight="1">
      <c r="A73" s="58">
        <f t="shared" si="47"/>
        <v>43167</v>
      </c>
      <c r="B73" s="81">
        <v>340.0</v>
      </c>
      <c r="C73" s="81">
        <v>275.12</v>
      </c>
      <c r="D73" s="81">
        <v>1360.0</v>
      </c>
      <c r="E73" s="81">
        <v>50.0</v>
      </c>
      <c r="F73" s="60">
        <f t="shared" si="46"/>
        <v>2025.12</v>
      </c>
      <c r="G73" s="81">
        <v>33.0</v>
      </c>
      <c r="H73" s="81">
        <v>6.0</v>
      </c>
      <c r="I73" s="81">
        <v>50.0</v>
      </c>
      <c r="K73" s="117" t="s">
        <v>81</v>
      </c>
      <c r="L73" s="79">
        <v>90.0</v>
      </c>
      <c r="M73" s="79">
        <v>71.82</v>
      </c>
    </row>
    <row r="74" ht="12.75" customHeight="1">
      <c r="A74" s="58">
        <f t="shared" si="47"/>
        <v>43168</v>
      </c>
      <c r="B74" s="59">
        <v>550.0</v>
      </c>
      <c r="C74" s="59">
        <v>118.46</v>
      </c>
      <c r="D74" s="59">
        <v>930.0</v>
      </c>
      <c r="E74" s="59">
        <v>70.0</v>
      </c>
      <c r="F74" s="60">
        <f t="shared" si="46"/>
        <v>1668.46</v>
      </c>
      <c r="G74" s="59">
        <v>24.0</v>
      </c>
      <c r="H74" s="59">
        <v>4.0</v>
      </c>
      <c r="I74" s="61">
        <v>50.0</v>
      </c>
      <c r="K74" s="81" t="s">
        <v>70</v>
      </c>
      <c r="L74" s="118">
        <v>9.0</v>
      </c>
      <c r="M74" s="118">
        <v>2.0</v>
      </c>
      <c r="N74" s="82">
        <f t="shared" ref="N74:N75" si="49">L74*$L$73+M74*$M$73</f>
        <v>953.64</v>
      </c>
    </row>
    <row r="75" ht="12.75" customHeight="1">
      <c r="A75" s="67"/>
      <c r="B75" s="68">
        <f t="shared" ref="B75:I75" si="48">SUM(B70:B74)</f>
        <v>2100</v>
      </c>
      <c r="C75" s="68">
        <f t="shared" si="48"/>
        <v>1128.75</v>
      </c>
      <c r="D75" s="68">
        <f t="shared" si="48"/>
        <v>4900</v>
      </c>
      <c r="E75" s="68">
        <f t="shared" si="48"/>
        <v>420</v>
      </c>
      <c r="F75" s="68">
        <f t="shared" si="48"/>
        <v>8548.75</v>
      </c>
      <c r="G75" s="70">
        <f t="shared" si="48"/>
        <v>141</v>
      </c>
      <c r="H75" s="70">
        <f t="shared" si="48"/>
        <v>28</v>
      </c>
      <c r="I75" s="91">
        <f t="shared" si="48"/>
        <v>410</v>
      </c>
      <c r="K75" s="59" t="s">
        <v>71</v>
      </c>
      <c r="L75" s="124">
        <v>20.0</v>
      </c>
      <c r="M75" s="124">
        <v>5.0</v>
      </c>
      <c r="N75" s="82">
        <f t="shared" si="49"/>
        <v>2159.1</v>
      </c>
    </row>
    <row r="76" ht="12.75" customHeight="1">
      <c r="A76" s="74"/>
      <c r="B76" s="92"/>
      <c r="C76" s="92"/>
      <c r="D76" s="92"/>
      <c r="E76" s="92"/>
      <c r="F76" s="75"/>
      <c r="G76" s="93"/>
      <c r="H76" s="93"/>
      <c r="I76" s="94"/>
      <c r="K76" s="59" t="s">
        <v>72</v>
      </c>
      <c r="L76" s="119"/>
      <c r="M76" s="119"/>
      <c r="N76" s="120">
        <f t="shared" ref="N76:N78" si="50">L76*$D$47+M76*$E$47</f>
        <v>0</v>
      </c>
    </row>
    <row r="77" ht="12.75" customHeight="1">
      <c r="A77" s="97">
        <f>A74+3</f>
        <v>43171</v>
      </c>
      <c r="B77" s="98">
        <v>100.0</v>
      </c>
      <c r="C77" s="99">
        <v>121.98</v>
      </c>
      <c r="D77" s="99">
        <v>1000.0</v>
      </c>
      <c r="E77" s="99">
        <v>0.0</v>
      </c>
      <c r="F77" s="60">
        <f t="shared" ref="F77:F81" si="51">SUM(B77:E77)</f>
        <v>1221.98</v>
      </c>
      <c r="G77" s="99">
        <v>21.0</v>
      </c>
      <c r="H77" s="99">
        <v>3.0</v>
      </c>
      <c r="I77" s="101">
        <v>0.0</v>
      </c>
      <c r="K77" s="59" t="s">
        <v>73</v>
      </c>
      <c r="L77" s="119"/>
      <c r="M77" s="119"/>
      <c r="N77" s="120">
        <f t="shared" si="50"/>
        <v>0</v>
      </c>
    </row>
    <row r="78" ht="12.75" customHeight="1">
      <c r="A78" s="102">
        <f t="shared" ref="A78:A81" si="52">A77+1</f>
        <v>43172</v>
      </c>
      <c r="B78" s="103">
        <v>140.0</v>
      </c>
      <c r="C78" s="81">
        <v>160.88</v>
      </c>
      <c r="D78" s="81">
        <v>580.0</v>
      </c>
      <c r="E78" s="81">
        <v>50.0</v>
      </c>
      <c r="F78" s="60">
        <f t="shared" si="51"/>
        <v>930.88</v>
      </c>
      <c r="G78" s="81">
        <v>18.0</v>
      </c>
      <c r="H78" s="81">
        <v>5.0</v>
      </c>
      <c r="I78" s="83">
        <v>50.0</v>
      </c>
      <c r="K78" s="59" t="s">
        <v>74</v>
      </c>
      <c r="L78" s="119"/>
      <c r="M78" s="119"/>
      <c r="N78" s="120">
        <f t="shared" si="50"/>
        <v>0</v>
      </c>
    </row>
    <row r="79" ht="12.75" customHeight="1">
      <c r="A79" s="102">
        <f t="shared" si="52"/>
        <v>43173</v>
      </c>
      <c r="B79" s="103">
        <v>50.0</v>
      </c>
      <c r="C79" s="81">
        <v>409.58</v>
      </c>
      <c r="D79" s="81">
        <v>290.0</v>
      </c>
      <c r="E79" s="81">
        <v>240.0</v>
      </c>
      <c r="F79" s="60">
        <f t="shared" si="51"/>
        <v>989.58</v>
      </c>
      <c r="G79" s="81">
        <v>20.0</v>
      </c>
      <c r="H79" s="81">
        <v>11.0</v>
      </c>
      <c r="I79" s="83">
        <v>250.0</v>
      </c>
    </row>
    <row r="80" ht="12.75" customHeight="1">
      <c r="A80" s="102">
        <f t="shared" si="52"/>
        <v>43174</v>
      </c>
      <c r="B80" s="103">
        <v>340.0</v>
      </c>
      <c r="C80" s="81">
        <v>235.86</v>
      </c>
      <c r="D80" s="81">
        <v>1230.0</v>
      </c>
      <c r="E80" s="81">
        <v>50.0</v>
      </c>
      <c r="F80" s="60">
        <f t="shared" si="51"/>
        <v>1855.86</v>
      </c>
      <c r="G80" s="81">
        <v>31.0</v>
      </c>
      <c r="H80" s="81">
        <v>5.0</v>
      </c>
      <c r="I80" s="83">
        <v>50.0</v>
      </c>
    </row>
    <row r="81" ht="12.75" customHeight="1">
      <c r="A81" s="102">
        <f t="shared" si="52"/>
        <v>43175</v>
      </c>
      <c r="B81" s="105">
        <v>380.0</v>
      </c>
      <c r="C81" s="106">
        <v>84.12</v>
      </c>
      <c r="D81" s="106">
        <v>580.0</v>
      </c>
      <c r="E81" s="106">
        <v>0.0</v>
      </c>
      <c r="F81" s="60">
        <f t="shared" si="51"/>
        <v>1044.12</v>
      </c>
      <c r="G81" s="106">
        <v>16.0</v>
      </c>
      <c r="H81" s="106">
        <v>2.0</v>
      </c>
      <c r="I81" s="108">
        <v>0.0</v>
      </c>
    </row>
    <row r="82" ht="12.75" customHeight="1">
      <c r="A82" s="67"/>
      <c r="B82" s="121">
        <f t="shared" ref="B82:I82" si="53">SUM(B77:B81)</f>
        <v>1010</v>
      </c>
      <c r="C82" s="121">
        <f t="shared" si="53"/>
        <v>1012.42</v>
      </c>
      <c r="D82" s="121">
        <f t="shared" si="53"/>
        <v>3680</v>
      </c>
      <c r="E82" s="121">
        <f t="shared" si="53"/>
        <v>340</v>
      </c>
      <c r="F82" s="121">
        <f t="shared" si="53"/>
        <v>6042.42</v>
      </c>
      <c r="G82" s="122">
        <f t="shared" si="53"/>
        <v>106</v>
      </c>
      <c r="H82" s="122">
        <f t="shared" si="53"/>
        <v>26</v>
      </c>
      <c r="I82" s="121">
        <f t="shared" si="53"/>
        <v>350</v>
      </c>
      <c r="K82" s="64"/>
      <c r="L82" s="251">
        <f>L83+M83</f>
        <v>161.82</v>
      </c>
      <c r="N82" s="73">
        <f>SUM(N84:N88)</f>
        <v>7307.28</v>
      </c>
    </row>
    <row r="83" ht="12.75" customHeight="1">
      <c r="A83" s="94"/>
      <c r="B83" s="75"/>
      <c r="C83" s="75"/>
      <c r="D83" s="75"/>
      <c r="E83" s="75"/>
      <c r="F83" s="75"/>
      <c r="G83" s="75"/>
      <c r="H83" s="75"/>
      <c r="I83" s="75"/>
      <c r="K83" s="117" t="s">
        <v>82</v>
      </c>
      <c r="L83" s="79">
        <v>90.0</v>
      </c>
      <c r="M83" s="79">
        <v>71.82</v>
      </c>
    </row>
    <row r="84" ht="12.75" customHeight="1">
      <c r="A84" s="123">
        <f>A81+3</f>
        <v>43178</v>
      </c>
      <c r="B84" s="98">
        <v>560.0</v>
      </c>
      <c r="C84" s="99">
        <v>127.32</v>
      </c>
      <c r="D84" s="99">
        <v>920.0</v>
      </c>
      <c r="E84" s="99">
        <v>100.0</v>
      </c>
      <c r="F84" s="100">
        <f t="shared" ref="F84:F88" si="54">SUM(B84:E84)</f>
        <v>1707.32</v>
      </c>
      <c r="G84" s="99">
        <v>31.0</v>
      </c>
      <c r="H84" s="99">
        <v>3.0</v>
      </c>
      <c r="I84" s="101">
        <v>100.0</v>
      </c>
      <c r="K84" s="81" t="s">
        <v>70</v>
      </c>
      <c r="L84" s="118">
        <v>36.0</v>
      </c>
      <c r="M84" s="118">
        <v>4.0</v>
      </c>
      <c r="N84" s="82">
        <f t="shared" ref="N84:N88" si="55">L84*$L$73+M84*$M$73</f>
        <v>3527.28</v>
      </c>
    </row>
    <row r="85" ht="12.75" customHeight="1">
      <c r="A85" s="123">
        <f t="shared" ref="A85:A88" si="56">A84+1</f>
        <v>43179</v>
      </c>
      <c r="B85" s="112">
        <v>190.0</v>
      </c>
      <c r="C85" s="59">
        <v>112.48</v>
      </c>
      <c r="D85" s="59">
        <v>670.0</v>
      </c>
      <c r="E85" s="59">
        <v>100.0</v>
      </c>
      <c r="F85" s="60">
        <f t="shared" si="54"/>
        <v>1072.48</v>
      </c>
      <c r="G85" s="81">
        <v>18.0</v>
      </c>
      <c r="H85" s="81">
        <v>2.0</v>
      </c>
      <c r="I85" s="83">
        <v>100.0</v>
      </c>
      <c r="K85" s="59" t="s">
        <v>71</v>
      </c>
      <c r="L85" s="124">
        <v>12.0</v>
      </c>
      <c r="M85" s="124"/>
      <c r="N85" s="82">
        <f t="shared" si="55"/>
        <v>1080</v>
      </c>
    </row>
    <row r="86" ht="12.75" customHeight="1">
      <c r="A86" s="123">
        <f t="shared" si="56"/>
        <v>43180</v>
      </c>
      <c r="B86" s="112">
        <v>310.0</v>
      </c>
      <c r="C86" s="59">
        <v>317.52</v>
      </c>
      <c r="D86" s="59">
        <v>890.0</v>
      </c>
      <c r="E86" s="59">
        <v>100.0</v>
      </c>
      <c r="F86" s="60">
        <f t="shared" si="54"/>
        <v>1617.52</v>
      </c>
      <c r="G86" s="81">
        <v>31.0</v>
      </c>
      <c r="H86" s="81">
        <v>8.0</v>
      </c>
      <c r="I86" s="83">
        <v>100.0</v>
      </c>
      <c r="K86" s="59" t="s">
        <v>72</v>
      </c>
      <c r="L86" s="124">
        <f>4+7</f>
        <v>11</v>
      </c>
      <c r="M86" s="124"/>
      <c r="N86" s="82">
        <f t="shared" si="55"/>
        <v>990</v>
      </c>
    </row>
    <row r="87" ht="12.75" customHeight="1">
      <c r="A87" s="123">
        <f t="shared" si="56"/>
        <v>43181</v>
      </c>
      <c r="B87" s="112">
        <v>350.0</v>
      </c>
      <c r="C87" s="59">
        <v>281.1</v>
      </c>
      <c r="D87" s="59">
        <v>1150.0</v>
      </c>
      <c r="E87" s="59">
        <v>100.0</v>
      </c>
      <c r="F87" s="60">
        <f t="shared" si="54"/>
        <v>1881.1</v>
      </c>
      <c r="G87" s="81">
        <v>33.0</v>
      </c>
      <c r="H87" s="81">
        <v>7.0</v>
      </c>
      <c r="I87" s="83">
        <v>100.0</v>
      </c>
      <c r="K87" s="59" t="s">
        <v>73</v>
      </c>
      <c r="L87" s="124">
        <v>19.0</v>
      </c>
      <c r="M87" s="124"/>
      <c r="N87" s="82">
        <f t="shared" si="55"/>
        <v>1710</v>
      </c>
    </row>
    <row r="88" ht="12.75" customHeight="1">
      <c r="A88" s="123">
        <f t="shared" si="56"/>
        <v>43182</v>
      </c>
      <c r="B88" s="125">
        <v>250.0</v>
      </c>
      <c r="C88" s="126">
        <v>291.62</v>
      </c>
      <c r="D88" s="126">
        <v>730.0</v>
      </c>
      <c r="E88" s="126">
        <v>150.0</v>
      </c>
      <c r="F88" s="127">
        <f t="shared" si="54"/>
        <v>1421.62</v>
      </c>
      <c r="G88" s="106">
        <v>26.0</v>
      </c>
      <c r="H88" s="106">
        <v>7.0</v>
      </c>
      <c r="I88" s="108">
        <v>140.0</v>
      </c>
      <c r="K88" s="59" t="s">
        <v>74</v>
      </c>
      <c r="L88" s="124"/>
      <c r="M88" s="124"/>
      <c r="N88" s="82">
        <f t="shared" si="55"/>
        <v>0</v>
      </c>
    </row>
    <row r="89" ht="12.75" customHeight="1">
      <c r="A89" s="67"/>
      <c r="B89" s="121">
        <f t="shared" ref="B89:I89" si="57">SUM(B84:B88)</f>
        <v>1660</v>
      </c>
      <c r="C89" s="121">
        <f t="shared" si="57"/>
        <v>1130.04</v>
      </c>
      <c r="D89" s="121">
        <f t="shared" si="57"/>
        <v>4360</v>
      </c>
      <c r="E89" s="121">
        <f t="shared" si="57"/>
        <v>550</v>
      </c>
      <c r="F89" s="121">
        <f t="shared" si="57"/>
        <v>7700.04</v>
      </c>
      <c r="G89" s="128">
        <f t="shared" si="57"/>
        <v>139</v>
      </c>
      <c r="H89" s="128">
        <f t="shared" si="57"/>
        <v>27</v>
      </c>
      <c r="I89" s="121">
        <f t="shared" si="57"/>
        <v>540</v>
      </c>
    </row>
    <row r="90" ht="12.75" customHeight="1">
      <c r="A90" s="94"/>
      <c r="B90" s="92"/>
      <c r="C90" s="92"/>
      <c r="D90" s="92"/>
      <c r="E90" s="92"/>
      <c r="F90" s="92"/>
      <c r="G90" s="92"/>
      <c r="H90" s="92"/>
      <c r="I90" s="92"/>
      <c r="L90" s="65">
        <f>L91+M91</f>
        <v>53</v>
      </c>
    </row>
    <row r="91" ht="12.75" customHeight="1">
      <c r="A91" s="129">
        <f>A88+3</f>
        <v>43185</v>
      </c>
      <c r="B91" s="81">
        <v>90.0</v>
      </c>
      <c r="C91" s="81">
        <v>271.54</v>
      </c>
      <c r="D91" s="81">
        <v>560.0</v>
      </c>
      <c r="E91" s="81">
        <v>70.0</v>
      </c>
      <c r="F91" s="82">
        <f t="shared" ref="F91:F95" si="59">SUM(B91:E91)</f>
        <v>991.54</v>
      </c>
      <c r="G91" s="81">
        <v>19.0</v>
      </c>
      <c r="H91" s="81">
        <v>6.0</v>
      </c>
      <c r="I91" s="81">
        <v>70.0</v>
      </c>
      <c r="K91" s="64"/>
      <c r="L91" s="72">
        <f t="shared" ref="L91:N91" si="58">SUM(L93:L97)</f>
        <v>53</v>
      </c>
      <c r="M91" s="72">
        <f t="shared" si="58"/>
        <v>0</v>
      </c>
      <c r="N91" s="73">
        <f t="shared" si="58"/>
        <v>4770</v>
      </c>
    </row>
    <row r="92" ht="12.75" customHeight="1">
      <c r="A92" s="129">
        <f t="shared" ref="A92:A94" si="60">A91+1</f>
        <v>43186</v>
      </c>
      <c r="B92" s="81">
        <v>150.0</v>
      </c>
      <c r="C92" s="81">
        <v>81.32</v>
      </c>
      <c r="D92" s="81">
        <v>570.0</v>
      </c>
      <c r="E92" s="81">
        <v>120.0</v>
      </c>
      <c r="F92" s="82">
        <f t="shared" si="59"/>
        <v>921.32</v>
      </c>
      <c r="G92" s="81">
        <v>18.0</v>
      </c>
      <c r="H92" s="81">
        <v>2.0</v>
      </c>
      <c r="I92" s="81">
        <v>120.0</v>
      </c>
      <c r="K92" s="95" t="s">
        <v>83</v>
      </c>
      <c r="L92" s="79">
        <v>90.0</v>
      </c>
      <c r="M92" s="79">
        <v>71.82</v>
      </c>
      <c r="N92" s="66"/>
    </row>
    <row r="93" ht="12.75" customHeight="1">
      <c r="A93" s="129">
        <f t="shared" si="60"/>
        <v>43187</v>
      </c>
      <c r="B93" s="124">
        <v>170.0</v>
      </c>
      <c r="C93" s="124">
        <v>155.6</v>
      </c>
      <c r="D93" s="124">
        <v>430.0</v>
      </c>
      <c r="E93" s="124">
        <v>140.0</v>
      </c>
      <c r="F93" s="82">
        <f t="shared" si="59"/>
        <v>895.6</v>
      </c>
      <c r="G93" s="124">
        <v>16.0</v>
      </c>
      <c r="H93" s="124">
        <v>4.0</v>
      </c>
      <c r="I93" s="124">
        <v>100.0</v>
      </c>
      <c r="K93" s="81" t="s">
        <v>70</v>
      </c>
      <c r="L93" s="81">
        <v>9.0</v>
      </c>
      <c r="M93" s="81"/>
      <c r="N93" s="82">
        <f t="shared" ref="N93:N97" si="61">L93*$L$73+M93*$M$73</f>
        <v>810</v>
      </c>
    </row>
    <row r="94" ht="12.75" customHeight="1">
      <c r="A94" s="129">
        <f t="shared" si="60"/>
        <v>43188</v>
      </c>
      <c r="B94" s="124">
        <v>340.0</v>
      </c>
      <c r="C94" s="124">
        <v>153.14</v>
      </c>
      <c r="D94" s="124">
        <v>890.0</v>
      </c>
      <c r="E94" s="124">
        <v>150.0</v>
      </c>
      <c r="F94" s="82">
        <f t="shared" si="59"/>
        <v>1533.14</v>
      </c>
      <c r="G94" s="124">
        <v>27.0</v>
      </c>
      <c r="H94" s="124">
        <v>3.0</v>
      </c>
      <c r="I94" s="124">
        <v>150.0</v>
      </c>
      <c r="K94" s="81" t="s">
        <v>71</v>
      </c>
      <c r="L94" s="81">
        <v>19.0</v>
      </c>
      <c r="M94" s="81"/>
      <c r="N94" s="82">
        <f t="shared" si="61"/>
        <v>1710</v>
      </c>
    </row>
    <row r="95" ht="12.75" customHeight="1">
      <c r="A95" s="129">
        <f>A92+3</f>
        <v>43189</v>
      </c>
      <c r="B95" s="130">
        <v>0.0</v>
      </c>
      <c r="C95" s="130">
        <v>194.88</v>
      </c>
      <c r="D95" s="130">
        <v>902.62</v>
      </c>
      <c r="E95" s="130">
        <v>50.0</v>
      </c>
      <c r="F95" s="82">
        <f t="shared" si="59"/>
        <v>1147.5</v>
      </c>
      <c r="G95" s="130">
        <v>19.0</v>
      </c>
      <c r="H95" s="130">
        <v>5.0</v>
      </c>
      <c r="I95" s="130">
        <v>60.0</v>
      </c>
      <c r="K95" s="81" t="s">
        <v>72</v>
      </c>
      <c r="L95" s="81">
        <v>15.0</v>
      </c>
      <c r="M95" s="81"/>
      <c r="N95" s="82">
        <f t="shared" si="61"/>
        <v>1350</v>
      </c>
    </row>
    <row r="96" ht="12.75" customHeight="1">
      <c r="A96" s="131"/>
      <c r="B96" s="68">
        <f t="shared" ref="B96:I96" si="62">SUM(B91:B95)</f>
        <v>750</v>
      </c>
      <c r="C96" s="132">
        <f t="shared" si="62"/>
        <v>856.48</v>
      </c>
      <c r="D96" s="132">
        <f t="shared" si="62"/>
        <v>3352.62</v>
      </c>
      <c r="E96" s="132">
        <f t="shared" si="62"/>
        <v>530</v>
      </c>
      <c r="F96" s="132">
        <f t="shared" si="62"/>
        <v>5489.1</v>
      </c>
      <c r="G96" s="133">
        <f t="shared" si="62"/>
        <v>99</v>
      </c>
      <c r="H96" s="133">
        <f t="shared" si="62"/>
        <v>20</v>
      </c>
      <c r="I96" s="134">
        <f t="shared" si="62"/>
        <v>500</v>
      </c>
      <c r="K96" s="81" t="s">
        <v>73</v>
      </c>
      <c r="L96" s="81">
        <v>10.0</v>
      </c>
      <c r="M96" s="81"/>
      <c r="N96" s="82">
        <f t="shared" si="61"/>
        <v>900</v>
      </c>
    </row>
    <row r="97" ht="12.75" customHeight="1">
      <c r="A97" s="135"/>
      <c r="B97" s="75"/>
      <c r="C97" s="136"/>
      <c r="D97" s="136"/>
      <c r="E97" s="136"/>
      <c r="F97" s="136"/>
      <c r="G97" s="136"/>
      <c r="H97" s="136"/>
      <c r="I97" s="137"/>
      <c r="K97" s="81" t="s">
        <v>74</v>
      </c>
      <c r="L97" s="81"/>
      <c r="M97" s="81"/>
      <c r="N97" s="82">
        <f t="shared" si="61"/>
        <v>0</v>
      </c>
    </row>
    <row r="98" ht="12.75" customHeight="1">
      <c r="A98" s="58">
        <v>43192.0</v>
      </c>
      <c r="B98" s="84"/>
      <c r="C98" s="84"/>
      <c r="D98" s="84"/>
      <c r="E98" s="84"/>
      <c r="F98" s="85">
        <f t="shared" ref="F98:F102" si="63">SUM(B98:E98)</f>
        <v>0</v>
      </c>
      <c r="G98" s="84"/>
      <c r="H98" s="84"/>
      <c r="I98" s="86"/>
    </row>
    <row r="99" ht="29.25" customHeight="1">
      <c r="A99" s="58">
        <f t="shared" ref="A99:A102" si="64">A98+1</f>
        <v>43193</v>
      </c>
      <c r="B99" s="81">
        <v>280.0</v>
      </c>
      <c r="C99" s="81">
        <v>123.38</v>
      </c>
      <c r="D99" s="81">
        <v>530.0</v>
      </c>
      <c r="E99" s="81">
        <v>50.0</v>
      </c>
      <c r="F99" s="60">
        <f t="shared" si="63"/>
        <v>983.38</v>
      </c>
      <c r="G99" s="81">
        <v>20.0</v>
      </c>
      <c r="H99" s="81">
        <v>3.0</v>
      </c>
      <c r="I99" s="83">
        <v>50.0</v>
      </c>
      <c r="L99" s="65">
        <f>L100+M100</f>
        <v>46</v>
      </c>
    </row>
    <row r="100" ht="12.75" customHeight="1">
      <c r="A100" s="58">
        <f t="shared" si="64"/>
        <v>43194</v>
      </c>
      <c r="B100" s="81">
        <v>150.0</v>
      </c>
      <c r="C100" s="81">
        <v>275.46</v>
      </c>
      <c r="D100" s="81">
        <v>620.0</v>
      </c>
      <c r="E100" s="81">
        <v>100.0</v>
      </c>
      <c r="F100" s="60">
        <f t="shared" si="63"/>
        <v>1145.46</v>
      </c>
      <c r="G100" s="81">
        <v>22.0</v>
      </c>
      <c r="H100" s="81">
        <v>7.0</v>
      </c>
      <c r="I100" s="83">
        <v>100.0</v>
      </c>
      <c r="K100" s="64"/>
      <c r="L100" s="72">
        <f t="shared" ref="L100:N100" si="65">SUM(L102:L106)</f>
        <v>46</v>
      </c>
      <c r="M100" s="72">
        <f t="shared" si="65"/>
        <v>0</v>
      </c>
      <c r="N100" s="73">
        <f t="shared" si="65"/>
        <v>4140</v>
      </c>
    </row>
    <row r="101" ht="12.75" customHeight="1">
      <c r="A101" s="58">
        <f t="shared" si="64"/>
        <v>43195</v>
      </c>
      <c r="B101" s="81">
        <v>420.0</v>
      </c>
      <c r="C101" s="81">
        <v>232.34</v>
      </c>
      <c r="D101" s="81">
        <v>720.0</v>
      </c>
      <c r="E101" s="81">
        <v>240.0</v>
      </c>
      <c r="F101" s="60">
        <f t="shared" si="63"/>
        <v>1612.34</v>
      </c>
      <c r="G101" s="81">
        <v>30.0</v>
      </c>
      <c r="H101" s="81">
        <v>5.0</v>
      </c>
      <c r="I101" s="83">
        <v>240.0</v>
      </c>
      <c r="K101" s="95" t="s">
        <v>84</v>
      </c>
      <c r="L101" s="79">
        <v>90.0</v>
      </c>
      <c r="M101" s="79">
        <v>71.82</v>
      </c>
      <c r="N101" s="66"/>
    </row>
    <row r="102" ht="12.75" customHeight="1">
      <c r="A102" s="58">
        <f t="shared" si="64"/>
        <v>43196</v>
      </c>
      <c r="B102" s="89">
        <v>620.0</v>
      </c>
      <c r="C102" s="89">
        <v>338.84</v>
      </c>
      <c r="D102" s="89">
        <v>600.0</v>
      </c>
      <c r="E102" s="89">
        <v>210.0</v>
      </c>
      <c r="F102" s="60">
        <f t="shared" si="63"/>
        <v>1768.84</v>
      </c>
      <c r="G102" s="89">
        <v>26.0</v>
      </c>
      <c r="H102" s="89">
        <v>6.0</v>
      </c>
      <c r="I102" s="90">
        <v>220.0</v>
      </c>
      <c r="K102" s="81" t="s">
        <v>70</v>
      </c>
      <c r="L102" s="81">
        <v>25.0</v>
      </c>
      <c r="M102" s="81"/>
      <c r="N102" s="82">
        <f t="shared" ref="N102:N106" si="67">L102*$L$73+M102*$M$73</f>
        <v>2250</v>
      </c>
    </row>
    <row r="103" ht="12.75" customHeight="1">
      <c r="A103" s="67"/>
      <c r="B103" s="68">
        <f t="shared" ref="B103:I103" si="66">SUM(B98:B102)</f>
        <v>1470</v>
      </c>
      <c r="C103" s="68">
        <f t="shared" si="66"/>
        <v>970.02</v>
      </c>
      <c r="D103" s="68">
        <f t="shared" si="66"/>
        <v>2470</v>
      </c>
      <c r="E103" s="68">
        <f t="shared" si="66"/>
        <v>600</v>
      </c>
      <c r="F103" s="68">
        <f t="shared" si="66"/>
        <v>5510.02</v>
      </c>
      <c r="G103" s="70">
        <f t="shared" si="66"/>
        <v>98</v>
      </c>
      <c r="H103" s="70">
        <f t="shared" si="66"/>
        <v>21</v>
      </c>
      <c r="I103" s="91">
        <f t="shared" si="66"/>
        <v>610</v>
      </c>
      <c r="K103" s="81" t="s">
        <v>71</v>
      </c>
      <c r="L103" s="81"/>
      <c r="M103" s="81"/>
      <c r="N103" s="82">
        <f t="shared" si="67"/>
        <v>0</v>
      </c>
    </row>
    <row r="104" ht="12.75" customHeight="1">
      <c r="A104" s="74"/>
      <c r="B104" s="75"/>
      <c r="C104" s="75"/>
      <c r="D104" s="75"/>
      <c r="E104" s="75"/>
      <c r="F104" s="75"/>
      <c r="G104" s="76"/>
      <c r="H104" s="76"/>
      <c r="I104" s="74"/>
      <c r="K104" s="81" t="s">
        <v>72</v>
      </c>
      <c r="L104" s="81">
        <v>9.0</v>
      </c>
      <c r="M104" s="81"/>
      <c r="N104" s="82">
        <f t="shared" si="67"/>
        <v>810</v>
      </c>
    </row>
    <row r="105" ht="12.75" customHeight="1">
      <c r="A105" s="58">
        <f>A102+3</f>
        <v>43199</v>
      </c>
      <c r="B105" s="59">
        <v>280.0</v>
      </c>
      <c r="C105" s="59">
        <v>169.88</v>
      </c>
      <c r="D105" s="59">
        <v>1230.0</v>
      </c>
      <c r="E105" s="59">
        <v>50.0</v>
      </c>
      <c r="F105" s="60">
        <f t="shared" ref="F105:F109" si="68">SUM(B105:E105)</f>
        <v>1729.88</v>
      </c>
      <c r="G105" s="59">
        <v>30.0</v>
      </c>
      <c r="H105" s="59">
        <v>4.0</v>
      </c>
      <c r="I105" s="61">
        <v>50.0</v>
      </c>
      <c r="K105" s="81" t="s">
        <v>73</v>
      </c>
      <c r="L105" s="81">
        <v>12.0</v>
      </c>
      <c r="M105" s="81"/>
      <c r="N105" s="82">
        <f t="shared" si="67"/>
        <v>1080</v>
      </c>
    </row>
    <row r="106" ht="12.75" customHeight="1">
      <c r="A106" s="58">
        <f t="shared" ref="A106:A109" si="69">A105+1</f>
        <v>43200</v>
      </c>
      <c r="B106" s="81">
        <v>420.0</v>
      </c>
      <c r="C106" s="81">
        <v>160.88</v>
      </c>
      <c r="D106" s="81">
        <v>1080.0</v>
      </c>
      <c r="E106" s="81">
        <v>0.0</v>
      </c>
      <c r="F106" s="60">
        <f t="shared" si="68"/>
        <v>1660.88</v>
      </c>
      <c r="G106" s="81">
        <v>30.0</v>
      </c>
      <c r="H106" s="81">
        <v>4.0</v>
      </c>
      <c r="I106" s="83">
        <v>0.0</v>
      </c>
      <c r="K106" s="81" t="s">
        <v>74</v>
      </c>
      <c r="L106" s="81"/>
      <c r="M106" s="81"/>
      <c r="N106" s="82">
        <f t="shared" si="67"/>
        <v>0</v>
      </c>
    </row>
    <row r="107" ht="12.75" customHeight="1">
      <c r="A107" s="58">
        <f t="shared" si="69"/>
        <v>43201</v>
      </c>
      <c r="B107" s="81">
        <v>120.0</v>
      </c>
      <c r="C107" s="81">
        <v>80.96</v>
      </c>
      <c r="D107" s="81">
        <v>1150.0</v>
      </c>
      <c r="E107" s="81">
        <v>0.0</v>
      </c>
      <c r="F107" s="60">
        <f t="shared" si="68"/>
        <v>1350.96</v>
      </c>
      <c r="G107" s="81">
        <v>25.0</v>
      </c>
      <c r="H107" s="81">
        <v>2.0</v>
      </c>
      <c r="I107" s="83">
        <v>0.0</v>
      </c>
    </row>
    <row r="108" ht="12.75" customHeight="1">
      <c r="A108" s="58">
        <f t="shared" si="69"/>
        <v>43202</v>
      </c>
      <c r="B108" s="84"/>
      <c r="C108" s="84"/>
      <c r="D108" s="84"/>
      <c r="E108" s="84"/>
      <c r="F108" s="85">
        <f t="shared" si="68"/>
        <v>0</v>
      </c>
      <c r="G108" s="84"/>
      <c r="H108" s="84"/>
      <c r="I108" s="86"/>
      <c r="L108" s="65">
        <f>L109+M109</f>
        <v>48</v>
      </c>
    </row>
    <row r="109" ht="12.75" customHeight="1">
      <c r="A109" s="58">
        <f t="shared" si="69"/>
        <v>43203</v>
      </c>
      <c r="B109" s="87"/>
      <c r="C109" s="87"/>
      <c r="D109" s="87"/>
      <c r="E109" s="87"/>
      <c r="F109" s="85">
        <f t="shared" si="68"/>
        <v>0</v>
      </c>
      <c r="G109" s="87"/>
      <c r="H109" s="87"/>
      <c r="I109" s="88"/>
      <c r="K109" s="64"/>
      <c r="L109" s="72">
        <f t="shared" ref="L109:N109" si="70">SUM(L111:L115)</f>
        <v>48</v>
      </c>
      <c r="M109" s="72">
        <f t="shared" si="70"/>
        <v>0</v>
      </c>
      <c r="N109" s="73">
        <f t="shared" si="70"/>
        <v>4320</v>
      </c>
    </row>
    <row r="110" ht="12.75" customHeight="1">
      <c r="A110" s="67"/>
      <c r="B110" s="68">
        <f t="shared" ref="B110:I110" si="71">SUM(B105:B109)</f>
        <v>820</v>
      </c>
      <c r="C110" s="68">
        <f t="shared" si="71"/>
        <v>411.72</v>
      </c>
      <c r="D110" s="68">
        <f t="shared" si="71"/>
        <v>3460</v>
      </c>
      <c r="E110" s="68">
        <f t="shared" si="71"/>
        <v>50</v>
      </c>
      <c r="F110" s="68">
        <f t="shared" si="71"/>
        <v>4741.72</v>
      </c>
      <c r="G110" s="70">
        <f t="shared" si="71"/>
        <v>85</v>
      </c>
      <c r="H110" s="70">
        <f t="shared" si="71"/>
        <v>10</v>
      </c>
      <c r="I110" s="71">
        <f t="shared" si="71"/>
        <v>50</v>
      </c>
      <c r="K110" s="78" t="s">
        <v>85</v>
      </c>
      <c r="L110" s="79">
        <v>90.0</v>
      </c>
      <c r="M110" s="79">
        <v>71.82</v>
      </c>
      <c r="N110" s="66"/>
    </row>
    <row r="111" ht="12.75" customHeight="1">
      <c r="A111" s="74"/>
      <c r="B111" s="75"/>
      <c r="C111" s="75"/>
      <c r="D111" s="75"/>
      <c r="E111" s="75"/>
      <c r="F111" s="75"/>
      <c r="G111" s="76"/>
      <c r="H111" s="76"/>
      <c r="I111" s="77"/>
      <c r="K111" s="81" t="s">
        <v>70</v>
      </c>
      <c r="L111" s="81">
        <v>20.0</v>
      </c>
      <c r="M111" s="81"/>
      <c r="N111" s="82">
        <f t="shared" ref="N111:N115" si="72">L111*$L$73+M111*$M$73</f>
        <v>1800</v>
      </c>
    </row>
    <row r="112" ht="12.75" customHeight="1">
      <c r="A112" s="97">
        <f>A109+3</f>
        <v>43206</v>
      </c>
      <c r="B112" s="59">
        <v>770.0</v>
      </c>
      <c r="C112" s="59">
        <v>167.98</v>
      </c>
      <c r="D112" s="59">
        <v>930.0</v>
      </c>
      <c r="E112" s="59">
        <v>100.0</v>
      </c>
      <c r="F112" s="104">
        <f t="shared" ref="F112:F116" si="73">SUM(B112:E112)</f>
        <v>1967.98</v>
      </c>
      <c r="G112" s="59">
        <v>36.0</v>
      </c>
      <c r="H112" s="59">
        <v>4.0</v>
      </c>
      <c r="I112" s="59">
        <v>100.0</v>
      </c>
      <c r="K112" s="81" t="s">
        <v>71</v>
      </c>
      <c r="L112" s="81">
        <v>15.0</v>
      </c>
      <c r="M112" s="81"/>
      <c r="N112" s="82">
        <f t="shared" si="72"/>
        <v>1350</v>
      </c>
    </row>
    <row r="113" ht="12.75" customHeight="1">
      <c r="A113" s="97">
        <f t="shared" ref="A113:A116" si="74">A112+1</f>
        <v>43207</v>
      </c>
      <c r="B113" s="81">
        <v>150.0</v>
      </c>
      <c r="C113" s="81">
        <v>243.95</v>
      </c>
      <c r="D113" s="81">
        <v>1690.0</v>
      </c>
      <c r="E113" s="81">
        <v>0.0</v>
      </c>
      <c r="F113" s="104">
        <f t="shared" si="73"/>
        <v>2083.95</v>
      </c>
      <c r="G113" s="81">
        <v>36.0</v>
      </c>
      <c r="H113" s="81">
        <v>6.0</v>
      </c>
      <c r="I113" s="81">
        <v>0.0</v>
      </c>
      <c r="K113" s="81" t="s">
        <v>72</v>
      </c>
      <c r="L113" s="81">
        <v>13.0</v>
      </c>
      <c r="M113" s="81"/>
      <c r="N113" s="82">
        <f t="shared" si="72"/>
        <v>1170</v>
      </c>
    </row>
    <row r="114" ht="12.75" customHeight="1">
      <c r="A114" s="97">
        <f t="shared" si="74"/>
        <v>43208</v>
      </c>
      <c r="B114" s="81">
        <v>370.0</v>
      </c>
      <c r="C114" s="81">
        <v>235.16</v>
      </c>
      <c r="D114" s="81">
        <v>540.0</v>
      </c>
      <c r="E114" s="81">
        <v>70.0</v>
      </c>
      <c r="F114" s="104">
        <f t="shared" si="73"/>
        <v>1215.16</v>
      </c>
      <c r="G114" s="81">
        <v>26.0</v>
      </c>
      <c r="H114" s="81">
        <v>6.0</v>
      </c>
      <c r="I114" s="81">
        <v>70.0</v>
      </c>
      <c r="K114" s="81" t="s">
        <v>73</v>
      </c>
      <c r="L114" s="84"/>
      <c r="M114" s="84"/>
      <c r="N114" s="82">
        <f t="shared" si="72"/>
        <v>0</v>
      </c>
    </row>
    <row r="115" ht="12.75" customHeight="1">
      <c r="A115" s="97">
        <f t="shared" si="74"/>
        <v>43209</v>
      </c>
      <c r="B115" s="81">
        <v>380.0</v>
      </c>
      <c r="C115" s="81">
        <v>123.38</v>
      </c>
      <c r="D115" s="81">
        <v>1200.0</v>
      </c>
      <c r="E115" s="81">
        <v>190.0</v>
      </c>
      <c r="F115" s="139">
        <f t="shared" si="73"/>
        <v>1893.38</v>
      </c>
      <c r="G115" s="81">
        <v>32.0</v>
      </c>
      <c r="H115" s="81">
        <v>3.0</v>
      </c>
      <c r="I115" s="81">
        <v>200.0</v>
      </c>
      <c r="K115" s="81" t="s">
        <v>74</v>
      </c>
      <c r="L115" s="84"/>
      <c r="M115" s="84"/>
      <c r="N115" s="82">
        <f t="shared" si="72"/>
        <v>0</v>
      </c>
    </row>
    <row r="116" ht="12.75" customHeight="1">
      <c r="A116" s="97">
        <f t="shared" si="74"/>
        <v>43210</v>
      </c>
      <c r="B116" s="89">
        <v>470.0</v>
      </c>
      <c r="C116" s="89">
        <v>112.48</v>
      </c>
      <c r="D116" s="89">
        <v>600.0</v>
      </c>
      <c r="E116" s="89">
        <v>120.0</v>
      </c>
      <c r="F116" s="139">
        <f t="shared" si="73"/>
        <v>1302.48</v>
      </c>
      <c r="G116" s="89">
        <v>22.0</v>
      </c>
      <c r="H116" s="89">
        <v>2.0</v>
      </c>
      <c r="I116" s="89">
        <v>120.0</v>
      </c>
    </row>
    <row r="117" ht="12.75" customHeight="1">
      <c r="A117" s="67"/>
      <c r="B117" s="91">
        <f t="shared" ref="B117:I117" si="75">SUM(B112:B116)</f>
        <v>2140</v>
      </c>
      <c r="C117" s="91">
        <f t="shared" si="75"/>
        <v>882.95</v>
      </c>
      <c r="D117" s="91">
        <f t="shared" si="75"/>
        <v>4960</v>
      </c>
      <c r="E117" s="91">
        <f t="shared" si="75"/>
        <v>480</v>
      </c>
      <c r="F117" s="68">
        <f t="shared" si="75"/>
        <v>8462.95</v>
      </c>
      <c r="G117" s="140">
        <f t="shared" si="75"/>
        <v>152</v>
      </c>
      <c r="H117" s="70">
        <f t="shared" si="75"/>
        <v>21</v>
      </c>
      <c r="I117" s="91">
        <f t="shared" si="75"/>
        <v>490</v>
      </c>
    </row>
    <row r="118" ht="12.75" customHeight="1">
      <c r="A118" s="74"/>
      <c r="B118" s="74"/>
      <c r="C118" s="74"/>
      <c r="D118" s="74"/>
      <c r="E118" s="74"/>
      <c r="F118" s="75"/>
      <c r="G118" s="75"/>
      <c r="H118" s="76"/>
      <c r="I118" s="74"/>
    </row>
    <row r="119" ht="12.75" customHeight="1">
      <c r="A119" s="97">
        <f>A116+3</f>
        <v>43213</v>
      </c>
      <c r="B119" s="59">
        <v>400.0</v>
      </c>
      <c r="C119" s="59">
        <v>160.88</v>
      </c>
      <c r="D119" s="59">
        <v>500.0</v>
      </c>
      <c r="E119" s="59">
        <v>100.0</v>
      </c>
      <c r="F119" s="141">
        <f t="shared" ref="F119:F123" si="76">SUM(B119:E119)</f>
        <v>1160.88</v>
      </c>
      <c r="G119" s="59">
        <v>20.0</v>
      </c>
      <c r="H119" s="59">
        <v>4.0</v>
      </c>
      <c r="I119" s="61">
        <v>100.0</v>
      </c>
    </row>
    <row r="120" ht="12.75" customHeight="1">
      <c r="A120" s="102">
        <f t="shared" ref="A120:A123" si="77">A119+1</f>
        <v>43214</v>
      </c>
      <c r="B120" s="81">
        <v>280.0</v>
      </c>
      <c r="C120" s="81">
        <v>193.8</v>
      </c>
      <c r="D120" s="81">
        <v>390.0</v>
      </c>
      <c r="E120" s="81">
        <v>100.0</v>
      </c>
      <c r="F120" s="142">
        <f t="shared" si="76"/>
        <v>963.8</v>
      </c>
      <c r="G120" s="81">
        <v>20.0</v>
      </c>
      <c r="H120" s="81">
        <v>4.0</v>
      </c>
      <c r="I120" s="81">
        <v>100.0</v>
      </c>
    </row>
    <row r="121" ht="12.75" customHeight="1">
      <c r="A121" s="102">
        <f t="shared" si="77"/>
        <v>43215</v>
      </c>
      <c r="B121" s="81">
        <v>520.0</v>
      </c>
      <c r="C121" s="81">
        <v>320.68</v>
      </c>
      <c r="D121" s="81">
        <v>370.0</v>
      </c>
      <c r="E121" s="81">
        <v>100.0</v>
      </c>
      <c r="F121" s="141">
        <f t="shared" si="76"/>
        <v>1310.68</v>
      </c>
      <c r="G121" s="124">
        <v>27.0</v>
      </c>
      <c r="H121" s="124">
        <v>8.0</v>
      </c>
      <c r="I121" s="143">
        <v>60.0</v>
      </c>
    </row>
    <row r="122" ht="12.75" customHeight="1">
      <c r="A122" s="102">
        <f t="shared" si="77"/>
        <v>43216</v>
      </c>
      <c r="B122" s="89">
        <v>510.0</v>
      </c>
      <c r="C122" s="89">
        <v>356.28</v>
      </c>
      <c r="D122" s="89">
        <v>1240.0</v>
      </c>
      <c r="E122" s="89">
        <v>100.0</v>
      </c>
      <c r="F122" s="144">
        <f t="shared" si="76"/>
        <v>2206.28</v>
      </c>
      <c r="G122" s="89">
        <v>36.0</v>
      </c>
      <c r="H122" s="89">
        <v>7.0</v>
      </c>
      <c r="I122" s="90">
        <v>90.0</v>
      </c>
    </row>
    <row r="123" ht="12.75" customHeight="1">
      <c r="A123" s="252">
        <f t="shared" si="77"/>
        <v>43217</v>
      </c>
      <c r="B123" s="81">
        <v>120.0</v>
      </c>
      <c r="C123" s="81">
        <v>232.7</v>
      </c>
      <c r="D123" s="81">
        <v>1255.07</v>
      </c>
      <c r="E123" s="81">
        <v>70.0</v>
      </c>
      <c r="F123" s="144">
        <f t="shared" si="76"/>
        <v>1677.77</v>
      </c>
      <c r="G123" s="81">
        <v>28.0</v>
      </c>
      <c r="H123" s="81">
        <v>5.0</v>
      </c>
      <c r="I123" s="81">
        <v>80.0</v>
      </c>
    </row>
    <row r="124" ht="12.75" customHeight="1">
      <c r="A124" s="67"/>
      <c r="B124" s="253">
        <f t="shared" ref="B124:I124" si="78">SUM(B119:B123)</f>
        <v>1830</v>
      </c>
      <c r="C124" s="145">
        <f t="shared" si="78"/>
        <v>1264.34</v>
      </c>
      <c r="D124" s="145">
        <f t="shared" si="78"/>
        <v>3755.07</v>
      </c>
      <c r="E124" s="145">
        <f t="shared" si="78"/>
        <v>470</v>
      </c>
      <c r="F124" s="91">
        <f t="shared" si="78"/>
        <v>7319.41</v>
      </c>
      <c r="G124" s="140">
        <f t="shared" si="78"/>
        <v>131</v>
      </c>
      <c r="H124" s="140">
        <f t="shared" si="78"/>
        <v>28</v>
      </c>
      <c r="I124" s="145">
        <f t="shared" si="78"/>
        <v>430</v>
      </c>
    </row>
    <row r="125" ht="12.75" customHeight="1">
      <c r="A125" s="74"/>
      <c r="B125" s="77"/>
      <c r="C125" s="74"/>
      <c r="D125" s="74"/>
      <c r="E125" s="74"/>
      <c r="F125" s="74"/>
      <c r="G125" s="75"/>
      <c r="H125" s="75"/>
      <c r="I125" s="74"/>
    </row>
    <row r="126" ht="12.75" customHeight="1">
      <c r="A126" s="102">
        <f>A123+3</f>
        <v>43220</v>
      </c>
      <c r="B126" s="89">
        <v>540.0</v>
      </c>
      <c r="C126" s="89">
        <v>183.14</v>
      </c>
      <c r="D126" s="89">
        <v>1090.0</v>
      </c>
      <c r="E126" s="89">
        <v>240.0</v>
      </c>
      <c r="F126" s="144">
        <f>SUM(B126:E126)</f>
        <v>2053.14</v>
      </c>
      <c r="G126" s="81">
        <v>32.0</v>
      </c>
      <c r="H126" s="81">
        <v>5.0</v>
      </c>
      <c r="I126" s="89"/>
    </row>
    <row r="127" ht="12.75" customHeight="1">
      <c r="A127" s="64"/>
      <c r="B127" s="91">
        <f t="shared" ref="B127:I127" si="79">SUM(B126)</f>
        <v>540</v>
      </c>
      <c r="C127" s="91">
        <f t="shared" si="79"/>
        <v>183.14</v>
      </c>
      <c r="D127" s="91">
        <f t="shared" si="79"/>
        <v>1090</v>
      </c>
      <c r="E127" s="91">
        <f t="shared" si="79"/>
        <v>240</v>
      </c>
      <c r="F127" s="91">
        <f t="shared" si="79"/>
        <v>2053.14</v>
      </c>
      <c r="G127" s="140">
        <f t="shared" si="79"/>
        <v>32</v>
      </c>
      <c r="H127" s="140">
        <f t="shared" si="79"/>
        <v>5</v>
      </c>
      <c r="I127" s="91">
        <f t="shared" si="79"/>
        <v>0</v>
      </c>
    </row>
    <row r="128" ht="12.75" customHeight="1">
      <c r="A128" s="66"/>
      <c r="B128" s="74"/>
      <c r="C128" s="74"/>
      <c r="D128" s="74"/>
      <c r="E128" s="74"/>
      <c r="F128" s="74"/>
      <c r="G128" s="75"/>
      <c r="H128" s="75"/>
      <c r="I128" s="74"/>
    </row>
    <row r="129" ht="12.75" customHeight="1">
      <c r="A129" s="58">
        <v>43221.0</v>
      </c>
      <c r="B129" s="84"/>
      <c r="C129" s="84"/>
      <c r="D129" s="84"/>
      <c r="E129" s="84"/>
      <c r="F129" s="85">
        <f t="shared" ref="F129:F132" si="80">SUM(B129:E129)</f>
        <v>0</v>
      </c>
      <c r="G129" s="84"/>
      <c r="H129" s="84"/>
      <c r="I129" s="86"/>
    </row>
    <row r="130" ht="12.75" customHeight="1">
      <c r="A130" s="58">
        <f t="shared" ref="A130:A132" si="81">A129+1</f>
        <v>43222</v>
      </c>
      <c r="B130" s="84"/>
      <c r="C130" s="84"/>
      <c r="D130" s="84"/>
      <c r="E130" s="84"/>
      <c r="F130" s="85">
        <f t="shared" si="80"/>
        <v>0</v>
      </c>
      <c r="G130" s="84"/>
      <c r="H130" s="84"/>
      <c r="I130" s="86"/>
    </row>
    <row r="131" ht="12.75" customHeight="1">
      <c r="A131" s="58">
        <f t="shared" si="81"/>
        <v>43223</v>
      </c>
      <c r="B131" s="84"/>
      <c r="C131" s="84"/>
      <c r="D131" s="84"/>
      <c r="E131" s="84"/>
      <c r="F131" s="85">
        <f t="shared" si="80"/>
        <v>0</v>
      </c>
      <c r="G131" s="84"/>
      <c r="H131" s="84"/>
      <c r="I131" s="86"/>
    </row>
    <row r="132" ht="12.75" customHeight="1">
      <c r="A132" s="58">
        <f t="shared" si="81"/>
        <v>43224</v>
      </c>
      <c r="B132" s="84"/>
      <c r="C132" s="84"/>
      <c r="D132" s="84"/>
      <c r="E132" s="84"/>
      <c r="F132" s="85">
        <f t="shared" si="80"/>
        <v>0</v>
      </c>
      <c r="G132" s="84"/>
      <c r="H132" s="84"/>
      <c r="I132" s="86"/>
    </row>
    <row r="133" ht="12.75" customHeight="1">
      <c r="A133" s="67"/>
      <c r="B133" s="254">
        <f t="shared" ref="B133:I133" si="82">SUM(B129:B132)</f>
        <v>0</v>
      </c>
      <c r="C133" s="254">
        <f t="shared" si="82"/>
        <v>0</v>
      </c>
      <c r="D133" s="254">
        <f t="shared" si="82"/>
        <v>0</v>
      </c>
      <c r="E133" s="254">
        <f t="shared" si="82"/>
        <v>0</v>
      </c>
      <c r="F133" s="254">
        <f t="shared" si="82"/>
        <v>0</v>
      </c>
      <c r="G133" s="255">
        <f t="shared" si="82"/>
        <v>0</v>
      </c>
      <c r="H133" s="255">
        <f t="shared" si="82"/>
        <v>0</v>
      </c>
      <c r="I133" s="256">
        <f t="shared" si="82"/>
        <v>0</v>
      </c>
    </row>
    <row r="134" ht="12.75" customHeight="1">
      <c r="A134" s="74"/>
      <c r="B134" s="75"/>
      <c r="C134" s="75"/>
      <c r="D134" s="75"/>
      <c r="E134" s="75"/>
      <c r="F134" s="75"/>
      <c r="G134" s="257"/>
      <c r="H134" s="257"/>
      <c r="I134" s="74"/>
    </row>
    <row r="135" ht="12.75" customHeight="1">
      <c r="A135" s="58">
        <f>A132+3</f>
        <v>43227</v>
      </c>
      <c r="B135" s="59">
        <v>400.0</v>
      </c>
      <c r="C135" s="59">
        <v>224.96</v>
      </c>
      <c r="D135" s="59">
        <v>900.0</v>
      </c>
      <c r="E135" s="59">
        <v>460.0</v>
      </c>
      <c r="F135" s="60">
        <f t="shared" ref="F135:F139" si="83">SUM(B135:E135)</f>
        <v>1984.96</v>
      </c>
      <c r="G135" s="81">
        <v>34.0</v>
      </c>
      <c r="H135" s="81">
        <v>4.0</v>
      </c>
      <c r="I135" s="83">
        <v>450.0</v>
      </c>
    </row>
    <row r="136" ht="12.75" customHeight="1">
      <c r="A136" s="58">
        <f t="shared" ref="A136:A139" si="84">A135+1</f>
        <v>43228</v>
      </c>
      <c r="B136" s="138"/>
      <c r="C136" s="138"/>
      <c r="D136" s="138"/>
      <c r="E136" s="138"/>
      <c r="F136" s="85">
        <f t="shared" si="83"/>
        <v>0</v>
      </c>
      <c r="G136" s="84"/>
      <c r="H136" s="84"/>
      <c r="I136" s="86"/>
    </row>
    <row r="137" ht="12.75" customHeight="1">
      <c r="A137" s="58">
        <f t="shared" si="84"/>
        <v>43229</v>
      </c>
      <c r="B137" s="81">
        <v>540.0</v>
      </c>
      <c r="C137" s="81">
        <v>316.12</v>
      </c>
      <c r="D137" s="81">
        <v>460.0</v>
      </c>
      <c r="E137" s="81">
        <v>150.0</v>
      </c>
      <c r="F137" s="60">
        <f t="shared" si="83"/>
        <v>1466.12</v>
      </c>
      <c r="G137" s="81">
        <v>32.0</v>
      </c>
      <c r="H137" s="81">
        <v>10.0</v>
      </c>
      <c r="I137" s="83">
        <v>150.0</v>
      </c>
    </row>
    <row r="138" ht="12.75" customHeight="1">
      <c r="A138" s="58">
        <f t="shared" si="84"/>
        <v>43230</v>
      </c>
      <c r="B138" s="84"/>
      <c r="C138" s="84"/>
      <c r="D138" s="84"/>
      <c r="E138" s="84"/>
      <c r="F138" s="85">
        <f t="shared" si="83"/>
        <v>0</v>
      </c>
      <c r="G138" s="138"/>
      <c r="H138" s="138"/>
      <c r="I138" s="146"/>
    </row>
    <row r="139" ht="12.75" customHeight="1">
      <c r="A139" s="58">
        <f t="shared" si="84"/>
        <v>43231</v>
      </c>
      <c r="B139" s="81">
        <v>550.0</v>
      </c>
      <c r="C139" s="81">
        <v>153.14</v>
      </c>
      <c r="D139" s="81">
        <v>670.0</v>
      </c>
      <c r="E139" s="81">
        <v>0.0</v>
      </c>
      <c r="F139" s="60">
        <f t="shared" si="83"/>
        <v>1373.14</v>
      </c>
      <c r="G139" s="81">
        <v>23.0</v>
      </c>
      <c r="H139" s="81">
        <v>3.0</v>
      </c>
      <c r="I139" s="83">
        <v>0.0</v>
      </c>
    </row>
    <row r="140" ht="12.75" customHeight="1">
      <c r="A140" s="67"/>
      <c r="B140" s="68">
        <f t="shared" ref="B140:I140" si="85">SUM(B135:B139)</f>
        <v>1490</v>
      </c>
      <c r="C140" s="68">
        <f t="shared" si="85"/>
        <v>694.22</v>
      </c>
      <c r="D140" s="68">
        <f t="shared" si="85"/>
        <v>2030</v>
      </c>
      <c r="E140" s="91">
        <f t="shared" si="85"/>
        <v>610</v>
      </c>
      <c r="F140" s="68">
        <f t="shared" si="85"/>
        <v>4824.22</v>
      </c>
      <c r="G140" s="70">
        <f t="shared" si="85"/>
        <v>89</v>
      </c>
      <c r="H140" s="70">
        <f t="shared" si="85"/>
        <v>17</v>
      </c>
      <c r="I140" s="91">
        <f t="shared" si="85"/>
        <v>600</v>
      </c>
    </row>
    <row r="141" ht="12.75" customHeight="1">
      <c r="A141" s="74"/>
      <c r="B141" s="75"/>
      <c r="C141" s="75"/>
      <c r="D141" s="75"/>
      <c r="E141" s="74"/>
      <c r="F141" s="75"/>
      <c r="G141" s="76"/>
      <c r="H141" s="76"/>
      <c r="I141" s="74"/>
    </row>
    <row r="142" ht="12.75" customHeight="1">
      <c r="A142" s="97">
        <f>A139+3</f>
        <v>43234</v>
      </c>
      <c r="B142" s="112">
        <v>480.0</v>
      </c>
      <c r="C142" s="59">
        <v>263.86</v>
      </c>
      <c r="D142" s="59">
        <v>1146.36</v>
      </c>
      <c r="E142" s="59">
        <v>50.0</v>
      </c>
      <c r="F142" s="60">
        <f t="shared" ref="F142:F146" si="86">SUM(B142:E142)</f>
        <v>1940.22</v>
      </c>
      <c r="G142" s="59">
        <v>32.0</v>
      </c>
      <c r="H142" s="59">
        <v>5.0</v>
      </c>
      <c r="I142" s="61">
        <v>50.0</v>
      </c>
    </row>
    <row r="143" ht="12.75" customHeight="1">
      <c r="A143" s="97">
        <f t="shared" ref="A143:A145" si="87">A142+1</f>
        <v>43235</v>
      </c>
      <c r="B143" s="81">
        <v>150.0</v>
      </c>
      <c r="C143" s="81">
        <v>215.46</v>
      </c>
      <c r="D143" s="81">
        <v>660.0</v>
      </c>
      <c r="E143" s="81">
        <v>140.0</v>
      </c>
      <c r="F143" s="60">
        <f t="shared" si="86"/>
        <v>1165.46</v>
      </c>
      <c r="G143" s="81">
        <v>21.0</v>
      </c>
      <c r="H143" s="81">
        <v>3.0</v>
      </c>
      <c r="I143" s="83">
        <v>140.0</v>
      </c>
    </row>
    <row r="144" ht="12.75" customHeight="1">
      <c r="A144" s="97">
        <f t="shared" si="87"/>
        <v>43236</v>
      </c>
      <c r="B144" s="81">
        <v>200.0</v>
      </c>
      <c r="C144" s="81">
        <v>395.32</v>
      </c>
      <c r="D144" s="81">
        <v>550.0</v>
      </c>
      <c r="E144" s="81">
        <v>150.0</v>
      </c>
      <c r="F144" s="60">
        <f t="shared" si="86"/>
        <v>1295.32</v>
      </c>
      <c r="G144" s="81">
        <v>26.0</v>
      </c>
      <c r="H144" s="81">
        <v>10.0</v>
      </c>
      <c r="I144" s="83">
        <v>150.0</v>
      </c>
    </row>
    <row r="145" ht="12.75" customHeight="1">
      <c r="A145" s="97">
        <f t="shared" si="87"/>
        <v>43237</v>
      </c>
      <c r="B145" s="84"/>
      <c r="C145" s="84"/>
      <c r="D145" s="84"/>
      <c r="E145" s="84"/>
      <c r="F145" s="85">
        <f t="shared" si="86"/>
        <v>0</v>
      </c>
      <c r="G145" s="138"/>
      <c r="H145" s="138"/>
      <c r="I145" s="146"/>
    </row>
    <row r="146" ht="12.75" customHeight="1">
      <c r="A146" s="97">
        <f>A143+3</f>
        <v>43238</v>
      </c>
      <c r="B146" s="84"/>
      <c r="C146" s="84"/>
      <c r="D146" s="84"/>
      <c r="E146" s="84"/>
      <c r="F146" s="85">
        <f t="shared" si="86"/>
        <v>0</v>
      </c>
      <c r="G146" s="84"/>
      <c r="H146" s="84"/>
      <c r="I146" s="86"/>
    </row>
    <row r="147" ht="12.75" customHeight="1">
      <c r="A147" s="131"/>
      <c r="B147" s="68">
        <f t="shared" ref="B147:I147" si="88">SUM(B142:B146)</f>
        <v>830</v>
      </c>
      <c r="C147" s="68">
        <f t="shared" si="88"/>
        <v>874.64</v>
      </c>
      <c r="D147" s="68">
        <f t="shared" si="88"/>
        <v>2356.36</v>
      </c>
      <c r="E147" s="68">
        <f t="shared" si="88"/>
        <v>340</v>
      </c>
      <c r="F147" s="68">
        <f t="shared" si="88"/>
        <v>4401</v>
      </c>
      <c r="G147" s="147">
        <f t="shared" si="88"/>
        <v>79</v>
      </c>
      <c r="H147" s="147">
        <f t="shared" si="88"/>
        <v>18</v>
      </c>
      <c r="I147" s="91">
        <f t="shared" si="88"/>
        <v>340</v>
      </c>
    </row>
    <row r="148" ht="12.75" customHeight="1">
      <c r="A148" s="148"/>
      <c r="B148" s="75"/>
      <c r="C148" s="75"/>
      <c r="D148" s="75"/>
      <c r="E148" s="75"/>
      <c r="F148" s="75"/>
      <c r="G148" s="75"/>
      <c r="H148" s="75"/>
      <c r="I148" s="74"/>
    </row>
    <row r="149" ht="12.75" customHeight="1">
      <c r="A149" s="97">
        <f>A146+3</f>
        <v>43241</v>
      </c>
      <c r="B149" s="150"/>
      <c r="C149" s="138"/>
      <c r="D149" s="138"/>
      <c r="E149" s="138"/>
      <c r="F149" s="151">
        <f t="shared" ref="F149:F153" si="89">SUM(B149:E149)</f>
        <v>0</v>
      </c>
      <c r="G149" s="119"/>
      <c r="H149" s="119"/>
      <c r="I149" s="152"/>
    </row>
    <row r="150" ht="12.75" customHeight="1">
      <c r="A150" s="97">
        <f t="shared" ref="A150:A153" si="90">A149+1</f>
        <v>43242</v>
      </c>
      <c r="B150" s="154"/>
      <c r="C150" s="154"/>
      <c r="D150" s="138"/>
      <c r="E150" s="138"/>
      <c r="F150" s="151">
        <f t="shared" si="89"/>
        <v>0</v>
      </c>
      <c r="G150" s="119"/>
      <c r="H150" s="119"/>
      <c r="I150" s="152"/>
    </row>
    <row r="151" ht="12.75" customHeight="1">
      <c r="A151" s="97">
        <f t="shared" si="90"/>
        <v>43243</v>
      </c>
      <c r="B151" s="59">
        <v>340.0</v>
      </c>
      <c r="C151" s="59">
        <v>187.75</v>
      </c>
      <c r="D151" s="59">
        <v>871.67</v>
      </c>
      <c r="E151" s="59">
        <v>240.0</v>
      </c>
      <c r="F151" s="141">
        <f t="shared" si="89"/>
        <v>1639.42</v>
      </c>
      <c r="G151" s="124">
        <v>30.0</v>
      </c>
      <c r="H151" s="124">
        <v>5.0</v>
      </c>
      <c r="I151" s="149">
        <v>250.0</v>
      </c>
    </row>
    <row r="152" ht="12.75" customHeight="1">
      <c r="A152" s="97">
        <f t="shared" si="90"/>
        <v>43244</v>
      </c>
      <c r="B152" s="59">
        <v>410.0</v>
      </c>
      <c r="C152" s="59">
        <v>439.16</v>
      </c>
      <c r="D152" s="59">
        <v>890.0</v>
      </c>
      <c r="E152" s="59">
        <v>120.0</v>
      </c>
      <c r="F152" s="141">
        <f t="shared" si="89"/>
        <v>1859.16</v>
      </c>
      <c r="G152" s="124">
        <v>34.0</v>
      </c>
      <c r="H152" s="124">
        <v>10.0</v>
      </c>
      <c r="I152" s="149">
        <v>110.0</v>
      </c>
    </row>
    <row r="153" ht="12.75" customHeight="1">
      <c r="A153" s="97">
        <f t="shared" si="90"/>
        <v>43245</v>
      </c>
      <c r="B153" s="59">
        <v>380.0</v>
      </c>
      <c r="C153" s="59">
        <v>239.71</v>
      </c>
      <c r="D153" s="59">
        <v>675.07</v>
      </c>
      <c r="E153" s="59">
        <v>210.0</v>
      </c>
      <c r="F153" s="141">
        <f t="shared" si="89"/>
        <v>1504.78</v>
      </c>
      <c r="G153" s="124">
        <v>24.0</v>
      </c>
      <c r="H153" s="124">
        <v>4.0</v>
      </c>
      <c r="I153" s="149">
        <v>210.0</v>
      </c>
    </row>
    <row r="154" ht="12.75" customHeight="1">
      <c r="A154" s="131"/>
      <c r="B154" s="68">
        <f t="shared" ref="B154:I154" si="91">SUM(B149:B153)</f>
        <v>1130</v>
      </c>
      <c r="C154" s="68">
        <f t="shared" si="91"/>
        <v>866.62</v>
      </c>
      <c r="D154" s="68">
        <f t="shared" si="91"/>
        <v>2436.74</v>
      </c>
      <c r="E154" s="68">
        <f t="shared" si="91"/>
        <v>570</v>
      </c>
      <c r="F154" s="68">
        <f t="shared" si="91"/>
        <v>5003.36</v>
      </c>
      <c r="G154" s="147">
        <f t="shared" si="91"/>
        <v>88</v>
      </c>
      <c r="H154" s="147">
        <f t="shared" si="91"/>
        <v>19</v>
      </c>
      <c r="I154" s="91">
        <f t="shared" si="91"/>
        <v>570</v>
      </c>
    </row>
    <row r="155" ht="12.75" customHeight="1">
      <c r="A155" s="148"/>
      <c r="B155" s="75"/>
      <c r="C155" s="75"/>
      <c r="D155" s="75"/>
      <c r="E155" s="75"/>
      <c r="F155" s="75"/>
      <c r="G155" s="75"/>
      <c r="H155" s="75"/>
      <c r="I155" s="74"/>
    </row>
    <row r="156" ht="12.75" customHeight="1">
      <c r="A156" s="97">
        <f>A153+3</f>
        <v>43248</v>
      </c>
      <c r="B156" s="112">
        <v>470.0</v>
      </c>
      <c r="C156" s="59">
        <v>120.22</v>
      </c>
      <c r="D156" s="59">
        <v>1320.0</v>
      </c>
      <c r="E156" s="59">
        <v>120.0</v>
      </c>
      <c r="F156" s="141">
        <f t="shared" ref="F156:F159" si="92">SUM(B156:E156)</f>
        <v>2030.22</v>
      </c>
      <c r="G156" s="124">
        <v>35.0</v>
      </c>
      <c r="H156" s="124">
        <v>3.0</v>
      </c>
      <c r="I156" s="149">
        <v>110.0</v>
      </c>
    </row>
    <row r="157" ht="12.75" customHeight="1">
      <c r="A157" s="97">
        <f t="shared" ref="A157:A159" si="93">A156+1</f>
        <v>43249</v>
      </c>
      <c r="B157" s="112">
        <v>290.0</v>
      </c>
      <c r="C157" s="59">
        <v>79.56</v>
      </c>
      <c r="D157" s="59">
        <v>340.0</v>
      </c>
      <c r="E157" s="59">
        <v>135.0</v>
      </c>
      <c r="F157" s="141">
        <f t="shared" si="92"/>
        <v>844.56</v>
      </c>
      <c r="G157" s="124">
        <v>17.0</v>
      </c>
      <c r="H157" s="124">
        <v>2.0</v>
      </c>
      <c r="I157" s="149">
        <v>130.0</v>
      </c>
    </row>
    <row r="158" ht="12.75" customHeight="1">
      <c r="A158" s="97">
        <f t="shared" si="93"/>
        <v>43250</v>
      </c>
      <c r="B158" s="112">
        <v>510.0</v>
      </c>
      <c r="C158" s="59">
        <v>165.08</v>
      </c>
      <c r="D158" s="59">
        <v>530.0</v>
      </c>
      <c r="E158" s="59">
        <v>0.0</v>
      </c>
      <c r="F158" s="141">
        <f t="shared" si="92"/>
        <v>1205.08</v>
      </c>
      <c r="G158" s="124">
        <v>22.0</v>
      </c>
      <c r="H158" s="124">
        <v>4.0</v>
      </c>
      <c r="I158" s="149">
        <v>0.0</v>
      </c>
    </row>
    <row r="159" ht="12.75" customHeight="1">
      <c r="A159" s="97">
        <f t="shared" si="93"/>
        <v>43251</v>
      </c>
      <c r="B159" s="112">
        <v>280.0</v>
      </c>
      <c r="C159" s="59">
        <v>140.94</v>
      </c>
      <c r="D159" s="59">
        <v>1370.0</v>
      </c>
      <c r="E159" s="59">
        <v>132.2</v>
      </c>
      <c r="F159" s="141">
        <f t="shared" si="92"/>
        <v>1923.14</v>
      </c>
      <c r="G159" s="124">
        <v>33.0</v>
      </c>
      <c r="H159" s="124">
        <v>3.0</v>
      </c>
      <c r="I159" s="149">
        <v>150.0</v>
      </c>
    </row>
    <row r="160" ht="12.75" customHeight="1">
      <c r="A160" s="131"/>
      <c r="B160" s="68">
        <f t="shared" ref="B160:I160" si="94">SUM(B156:B159)</f>
        <v>1550</v>
      </c>
      <c r="C160" s="68">
        <f t="shared" si="94"/>
        <v>505.8</v>
      </c>
      <c r="D160" s="68">
        <f t="shared" si="94"/>
        <v>3560</v>
      </c>
      <c r="E160" s="68">
        <f t="shared" si="94"/>
        <v>387.2</v>
      </c>
      <c r="F160" s="68">
        <f t="shared" si="94"/>
        <v>6003</v>
      </c>
      <c r="G160" s="147">
        <f t="shared" si="94"/>
        <v>107</v>
      </c>
      <c r="H160" s="147">
        <f t="shared" si="94"/>
        <v>12</v>
      </c>
      <c r="I160" s="91">
        <f t="shared" si="94"/>
        <v>390</v>
      </c>
    </row>
    <row r="161" ht="12.75" customHeight="1">
      <c r="A161" s="148"/>
      <c r="B161" s="75"/>
      <c r="C161" s="75"/>
      <c r="D161" s="75"/>
      <c r="E161" s="75"/>
      <c r="F161" s="75"/>
      <c r="G161" s="75"/>
      <c r="H161" s="75"/>
      <c r="I161" s="74"/>
    </row>
    <row r="162" ht="12.75" customHeight="1">
      <c r="A162" s="80">
        <v>43252.0</v>
      </c>
      <c r="B162" s="59">
        <v>240.0</v>
      </c>
      <c r="C162" s="59">
        <v>195.2</v>
      </c>
      <c r="D162" s="59">
        <v>750.0</v>
      </c>
      <c r="E162" s="59">
        <v>210.0</v>
      </c>
      <c r="F162" s="60">
        <f>SUM(B162:E162)</f>
        <v>1395.2</v>
      </c>
      <c r="G162" s="59">
        <v>24.0</v>
      </c>
      <c r="H162" s="59">
        <v>4.0</v>
      </c>
      <c r="I162" s="153">
        <v>200.0</v>
      </c>
    </row>
    <row r="163" ht="12.75" customHeight="1">
      <c r="A163" s="67"/>
      <c r="B163" s="68">
        <f t="shared" ref="B163:I163" si="95">SUM(B162)</f>
        <v>240</v>
      </c>
      <c r="C163" s="69">
        <f t="shared" si="95"/>
        <v>195.2</v>
      </c>
      <c r="D163" s="69">
        <f t="shared" si="95"/>
        <v>750</v>
      </c>
      <c r="E163" s="69">
        <f t="shared" si="95"/>
        <v>210</v>
      </c>
      <c r="F163" s="69">
        <f t="shared" si="95"/>
        <v>1395.2</v>
      </c>
      <c r="G163" s="70">
        <f t="shared" si="95"/>
        <v>24</v>
      </c>
      <c r="H163" s="70">
        <f t="shared" si="95"/>
        <v>4</v>
      </c>
      <c r="I163" s="71">
        <f t="shared" si="95"/>
        <v>200</v>
      </c>
    </row>
    <row r="164" ht="12.75" customHeight="1">
      <c r="A164" s="74"/>
      <c r="B164" s="75"/>
      <c r="C164" s="76"/>
      <c r="D164" s="76"/>
      <c r="E164" s="76"/>
      <c r="F164" s="76"/>
      <c r="G164" s="76"/>
      <c r="H164" s="76"/>
      <c r="I164" s="77"/>
    </row>
    <row r="165" ht="12.75" customHeight="1">
      <c r="A165" s="58">
        <f>A162+3</f>
        <v>43255</v>
      </c>
      <c r="B165" s="81">
        <v>100.0</v>
      </c>
      <c r="C165" s="81">
        <v>164.04</v>
      </c>
      <c r="D165" s="81">
        <v>630.0</v>
      </c>
      <c r="E165" s="81">
        <v>90.0</v>
      </c>
      <c r="F165" s="60">
        <f t="shared" ref="F165:F169" si="96">SUM(B165:E165)</f>
        <v>984.04</v>
      </c>
      <c r="G165" s="81">
        <v>18.0</v>
      </c>
      <c r="H165" s="81">
        <v>4.0</v>
      </c>
      <c r="I165" s="81">
        <v>100.0</v>
      </c>
    </row>
    <row r="166" ht="12.75" customHeight="1">
      <c r="A166" s="58">
        <f t="shared" ref="A166:A169" si="97">A165+1</f>
        <v>43256</v>
      </c>
      <c r="B166" s="81">
        <v>210.0</v>
      </c>
      <c r="C166" s="81">
        <v>0.0</v>
      </c>
      <c r="D166" s="81">
        <v>730.0</v>
      </c>
      <c r="E166" s="81">
        <v>100.0</v>
      </c>
      <c r="F166" s="60">
        <f t="shared" si="96"/>
        <v>1040</v>
      </c>
      <c r="G166" s="81">
        <v>19.0</v>
      </c>
      <c r="H166" s="81">
        <v>0.0</v>
      </c>
      <c r="I166" s="83">
        <v>100.0</v>
      </c>
    </row>
    <row r="167" ht="12.75" customHeight="1">
      <c r="A167" s="58">
        <f t="shared" si="97"/>
        <v>43257</v>
      </c>
      <c r="B167" s="59">
        <v>220.0</v>
      </c>
      <c r="C167" s="59">
        <v>305.46</v>
      </c>
      <c r="D167" s="66">
        <v>560.0</v>
      </c>
      <c r="E167" s="59">
        <v>0.0</v>
      </c>
      <c r="F167" s="60">
        <f t="shared" si="96"/>
        <v>1085.46</v>
      </c>
      <c r="G167" s="59">
        <v>22.0</v>
      </c>
      <c r="H167" s="59">
        <v>4.0</v>
      </c>
      <c r="I167" s="153">
        <v>0.0</v>
      </c>
    </row>
    <row r="168" ht="12.75" customHeight="1">
      <c r="A168" s="58">
        <f t="shared" si="97"/>
        <v>43258</v>
      </c>
      <c r="B168" s="59">
        <v>470.0</v>
      </c>
      <c r="C168" s="59">
        <v>153.14</v>
      </c>
      <c r="D168" s="59">
        <v>990.0</v>
      </c>
      <c r="E168" s="59">
        <v>90.0</v>
      </c>
      <c r="F168" s="60">
        <f t="shared" si="96"/>
        <v>1703.14</v>
      </c>
      <c r="G168" s="59">
        <v>28.0</v>
      </c>
      <c r="H168" s="59">
        <v>3.0</v>
      </c>
      <c r="I168" s="153">
        <v>100.0</v>
      </c>
    </row>
    <row r="169" ht="12.75" customHeight="1">
      <c r="A169" s="58">
        <f t="shared" si="97"/>
        <v>43259</v>
      </c>
      <c r="B169" s="59">
        <v>400.0</v>
      </c>
      <c r="C169" s="59">
        <v>40.66</v>
      </c>
      <c r="D169" s="59">
        <v>1150.0</v>
      </c>
      <c r="E169" s="59">
        <v>50.0</v>
      </c>
      <c r="F169" s="60">
        <f t="shared" si="96"/>
        <v>1640.66</v>
      </c>
      <c r="G169" s="59">
        <v>23.0</v>
      </c>
      <c r="H169" s="59">
        <v>1.0</v>
      </c>
      <c r="I169" s="153">
        <v>50.0</v>
      </c>
    </row>
    <row r="170" ht="12.75" customHeight="1">
      <c r="A170" s="67"/>
      <c r="B170" s="68">
        <f t="shared" ref="B170:I170" si="98">SUM(B165:B169)</f>
        <v>1400</v>
      </c>
      <c r="C170" s="68">
        <f t="shared" si="98"/>
        <v>663.3</v>
      </c>
      <c r="D170" s="68">
        <f t="shared" si="98"/>
        <v>4060</v>
      </c>
      <c r="E170" s="68">
        <f t="shared" si="98"/>
        <v>330</v>
      </c>
      <c r="F170" s="68">
        <f t="shared" si="98"/>
        <v>6453.3</v>
      </c>
      <c r="G170" s="70">
        <f t="shared" si="98"/>
        <v>110</v>
      </c>
      <c r="H170" s="70">
        <f t="shared" si="98"/>
        <v>12</v>
      </c>
      <c r="I170" s="91">
        <f t="shared" si="98"/>
        <v>350</v>
      </c>
    </row>
    <row r="171" ht="12.75" customHeight="1">
      <c r="A171" s="74"/>
      <c r="B171" s="75"/>
      <c r="C171" s="75"/>
      <c r="D171" s="75"/>
      <c r="E171" s="75"/>
      <c r="F171" s="75"/>
      <c r="G171" s="76"/>
      <c r="H171" s="76"/>
      <c r="I171" s="74"/>
    </row>
    <row r="172" ht="12.75" customHeight="1">
      <c r="A172" s="58">
        <f>A169+3</f>
        <v>43262</v>
      </c>
      <c r="B172" s="81">
        <v>760.0</v>
      </c>
      <c r="C172" s="81">
        <v>109.78</v>
      </c>
      <c r="D172" s="81">
        <v>802.2</v>
      </c>
      <c r="E172" s="81">
        <v>200.0</v>
      </c>
      <c r="F172" s="60">
        <f t="shared" ref="F172:F176" si="99">SUM(B172:E172)</f>
        <v>1871.98</v>
      </c>
      <c r="G172" s="81">
        <v>32.0</v>
      </c>
      <c r="H172" s="81">
        <v>3.0</v>
      </c>
      <c r="I172" s="81">
        <v>200.0</v>
      </c>
    </row>
    <row r="173" ht="12.75" customHeight="1">
      <c r="A173" s="58">
        <f t="shared" ref="A173:A176" si="100">A172+1</f>
        <v>43263</v>
      </c>
      <c r="B173" s="81">
        <v>70.0</v>
      </c>
      <c r="C173" s="81">
        <v>120.22</v>
      </c>
      <c r="D173" s="81">
        <v>380.0</v>
      </c>
      <c r="E173" s="81">
        <v>50.0</v>
      </c>
      <c r="F173" s="60">
        <f t="shared" si="99"/>
        <v>620.22</v>
      </c>
      <c r="G173" s="81">
        <v>12.0</v>
      </c>
      <c r="H173" s="81">
        <v>3.0</v>
      </c>
      <c r="I173" s="83">
        <v>50.0</v>
      </c>
    </row>
    <row r="174" ht="12.75" customHeight="1">
      <c r="A174" s="58">
        <f t="shared" si="100"/>
        <v>43264</v>
      </c>
      <c r="B174" s="81">
        <v>151.67</v>
      </c>
      <c r="C174" s="81">
        <v>263.79</v>
      </c>
      <c r="D174" s="81">
        <v>890.0</v>
      </c>
      <c r="E174" s="81">
        <v>0.0</v>
      </c>
      <c r="F174" s="60">
        <f t="shared" si="99"/>
        <v>1305.46</v>
      </c>
      <c r="G174" s="81">
        <v>24.0</v>
      </c>
      <c r="H174" s="81">
        <v>7.0</v>
      </c>
      <c r="I174" s="83">
        <v>0.0</v>
      </c>
    </row>
    <row r="175" ht="12.75" customHeight="1">
      <c r="A175" s="58">
        <f t="shared" si="100"/>
        <v>43265</v>
      </c>
      <c r="B175" s="81">
        <v>420.0</v>
      </c>
      <c r="C175" s="81">
        <v>40.66</v>
      </c>
      <c r="D175" s="81">
        <v>940.0</v>
      </c>
      <c r="E175" s="81">
        <v>270.0</v>
      </c>
      <c r="F175" s="60">
        <f t="shared" si="99"/>
        <v>1670.66</v>
      </c>
      <c r="G175" s="81">
        <v>26.0</v>
      </c>
      <c r="H175" s="81">
        <v>1.0</v>
      </c>
      <c r="I175" s="83">
        <v>250.0</v>
      </c>
    </row>
    <row r="176" ht="12.75" customHeight="1">
      <c r="A176" s="58">
        <f t="shared" si="100"/>
        <v>43266</v>
      </c>
      <c r="B176" s="81">
        <v>420.0</v>
      </c>
      <c r="C176" s="81">
        <v>88.6</v>
      </c>
      <c r="D176" s="81">
        <v>450.0</v>
      </c>
      <c r="E176" s="81">
        <v>90.0</v>
      </c>
      <c r="F176" s="60">
        <f t="shared" si="99"/>
        <v>1048.6</v>
      </c>
      <c r="G176" s="81">
        <v>16.0</v>
      </c>
      <c r="H176" s="81">
        <v>2.0</v>
      </c>
      <c r="I176" s="83">
        <v>100.0</v>
      </c>
    </row>
    <row r="177" ht="12.75" customHeight="1">
      <c r="A177" s="67"/>
      <c r="B177" s="68">
        <f t="shared" ref="B177:I177" si="101">SUM(B172:B176)</f>
        <v>1821.67</v>
      </c>
      <c r="C177" s="68">
        <f t="shared" si="101"/>
        <v>623.05</v>
      </c>
      <c r="D177" s="68">
        <f t="shared" si="101"/>
        <v>3462.2</v>
      </c>
      <c r="E177" s="68">
        <f t="shared" si="101"/>
        <v>610</v>
      </c>
      <c r="F177" s="68">
        <f t="shared" si="101"/>
        <v>6516.92</v>
      </c>
      <c r="G177" s="70">
        <f t="shared" si="101"/>
        <v>110</v>
      </c>
      <c r="H177" s="70">
        <f t="shared" si="101"/>
        <v>16</v>
      </c>
      <c r="I177" s="91">
        <f t="shared" si="101"/>
        <v>600</v>
      </c>
    </row>
    <row r="178" ht="12.75" customHeight="1">
      <c r="A178" s="74"/>
      <c r="B178" s="92"/>
      <c r="C178" s="92"/>
      <c r="D178" s="92"/>
      <c r="E178" s="92"/>
      <c r="F178" s="75"/>
      <c r="G178" s="93"/>
      <c r="H178" s="93"/>
      <c r="I178" s="94"/>
    </row>
    <row r="179" ht="12.75" customHeight="1">
      <c r="A179" s="97">
        <f>A176+3</f>
        <v>43269</v>
      </c>
      <c r="B179" s="81">
        <v>300.0</v>
      </c>
      <c r="C179" s="81">
        <v>315.78</v>
      </c>
      <c r="D179" s="81">
        <v>190.0</v>
      </c>
      <c r="E179" s="81">
        <v>140.0</v>
      </c>
      <c r="F179" s="60">
        <f t="shared" ref="F179:F183" si="102">SUM(B179:E179)</f>
        <v>945.78</v>
      </c>
      <c r="G179" s="81">
        <v>18.0</v>
      </c>
      <c r="H179" s="81">
        <v>3.0</v>
      </c>
      <c r="I179" s="81">
        <v>140.0</v>
      </c>
    </row>
    <row r="180" ht="12.75" customHeight="1">
      <c r="A180" s="97">
        <f t="shared" ref="A180:A183" si="103">A179+1</f>
        <v>43270</v>
      </c>
      <c r="B180" s="81">
        <v>100.0</v>
      </c>
      <c r="C180" s="81">
        <v>159.12</v>
      </c>
      <c r="D180" s="81">
        <v>460.0</v>
      </c>
      <c r="E180" s="81">
        <v>140.0</v>
      </c>
      <c r="F180" s="60">
        <f t="shared" si="102"/>
        <v>859.12</v>
      </c>
      <c r="G180" s="81">
        <v>18.0</v>
      </c>
      <c r="H180" s="81">
        <v>4.0</v>
      </c>
      <c r="I180" s="83">
        <v>140.0</v>
      </c>
    </row>
    <row r="181" ht="12.75" customHeight="1">
      <c r="A181" s="97">
        <f t="shared" si="103"/>
        <v>43271</v>
      </c>
      <c r="B181" s="81">
        <v>410.0</v>
      </c>
      <c r="C181" s="81">
        <v>155.6</v>
      </c>
      <c r="D181" s="81">
        <v>460.0</v>
      </c>
      <c r="E181" s="81">
        <v>50.0</v>
      </c>
      <c r="F181" s="60">
        <f t="shared" si="102"/>
        <v>1075.6</v>
      </c>
      <c r="G181" s="81">
        <v>20.0</v>
      </c>
      <c r="H181" s="81">
        <v>4.0</v>
      </c>
      <c r="I181" s="83">
        <v>50.0</v>
      </c>
    </row>
    <row r="182" ht="12.75" customHeight="1">
      <c r="A182" s="97">
        <f t="shared" si="103"/>
        <v>43272</v>
      </c>
      <c r="B182" s="81">
        <v>600.0</v>
      </c>
      <c r="C182" s="81">
        <v>203.3</v>
      </c>
      <c r="D182" s="81">
        <v>860.0</v>
      </c>
      <c r="E182" s="81">
        <v>280.0</v>
      </c>
      <c r="F182" s="60">
        <f t="shared" si="102"/>
        <v>1943.3</v>
      </c>
      <c r="G182" s="81">
        <v>33.0</v>
      </c>
      <c r="H182" s="81">
        <v>5.0</v>
      </c>
      <c r="I182" s="83">
        <v>300.0</v>
      </c>
    </row>
    <row r="183" ht="12.75" customHeight="1">
      <c r="A183" s="97">
        <f t="shared" si="103"/>
        <v>43273</v>
      </c>
      <c r="B183" s="84"/>
      <c r="C183" s="84"/>
      <c r="D183" s="84"/>
      <c r="E183" s="84"/>
      <c r="F183" s="85">
        <f t="shared" si="102"/>
        <v>0</v>
      </c>
      <c r="G183" s="84"/>
      <c r="H183" s="84"/>
      <c r="I183" s="86"/>
    </row>
    <row r="184" ht="12.75" customHeight="1">
      <c r="A184" s="131"/>
      <c r="B184" s="68">
        <f t="shared" ref="B184:I184" si="104">SUM(B179:B183)</f>
        <v>1410</v>
      </c>
      <c r="C184" s="132">
        <f t="shared" si="104"/>
        <v>833.8</v>
      </c>
      <c r="D184" s="132">
        <f t="shared" si="104"/>
        <v>1970</v>
      </c>
      <c r="E184" s="132">
        <f t="shared" si="104"/>
        <v>610</v>
      </c>
      <c r="F184" s="132">
        <f t="shared" si="104"/>
        <v>4823.8</v>
      </c>
      <c r="G184" s="155">
        <f t="shared" si="104"/>
        <v>89</v>
      </c>
      <c r="H184" s="155">
        <f t="shared" si="104"/>
        <v>16</v>
      </c>
      <c r="I184" s="134">
        <f t="shared" si="104"/>
        <v>630</v>
      </c>
    </row>
    <row r="185" ht="12.75" customHeight="1">
      <c r="A185" s="148"/>
      <c r="B185" s="75"/>
      <c r="C185" s="136"/>
      <c r="D185" s="136"/>
      <c r="E185" s="136"/>
      <c r="F185" s="136"/>
      <c r="G185" s="136"/>
      <c r="H185" s="136"/>
      <c r="I185" s="137"/>
    </row>
    <row r="186" ht="12.75" customHeight="1">
      <c r="A186" s="97">
        <f>A183+3</f>
        <v>43276</v>
      </c>
      <c r="B186" s="81">
        <v>360.0</v>
      </c>
      <c r="C186" s="81">
        <v>40.66</v>
      </c>
      <c r="D186" s="81">
        <v>1280.0</v>
      </c>
      <c r="E186" s="81">
        <v>150.0</v>
      </c>
      <c r="F186" s="60">
        <f t="shared" ref="F186:F190" si="105">SUM(B186:E186)</f>
        <v>1830.66</v>
      </c>
      <c r="G186" s="81">
        <v>30.0</v>
      </c>
      <c r="H186" s="81">
        <v>1.0</v>
      </c>
      <c r="I186" s="81">
        <v>130.0</v>
      </c>
    </row>
    <row r="187" ht="12.75" customHeight="1">
      <c r="A187" s="97">
        <f t="shared" ref="A187:A190" si="106">A186+1</f>
        <v>43277</v>
      </c>
      <c r="B187" s="81">
        <v>320.0</v>
      </c>
      <c r="C187" s="81">
        <v>81.32</v>
      </c>
      <c r="D187" s="81">
        <v>350.0</v>
      </c>
      <c r="E187" s="81">
        <v>120.0</v>
      </c>
      <c r="F187" s="60">
        <f t="shared" si="105"/>
        <v>871.32</v>
      </c>
      <c r="G187" s="81">
        <v>18.0</v>
      </c>
      <c r="H187" s="81">
        <v>2.0</v>
      </c>
      <c r="I187" s="81">
        <v>120.0</v>
      </c>
    </row>
    <row r="188" ht="12.75" customHeight="1">
      <c r="A188" s="97">
        <f t="shared" si="106"/>
        <v>43278</v>
      </c>
      <c r="B188" s="81">
        <v>410.0</v>
      </c>
      <c r="C188" s="81">
        <v>332.13</v>
      </c>
      <c r="D188" s="81">
        <v>684.29</v>
      </c>
      <c r="E188" s="81">
        <v>0.0</v>
      </c>
      <c r="F188" s="60">
        <f t="shared" si="105"/>
        <v>1426.42</v>
      </c>
      <c r="G188" s="81">
        <v>30.0</v>
      </c>
      <c r="H188" s="81">
        <v>9.0</v>
      </c>
      <c r="I188" s="81">
        <v>0.0</v>
      </c>
    </row>
    <row r="189" ht="12.75" customHeight="1">
      <c r="A189" s="97">
        <f t="shared" si="106"/>
        <v>43279</v>
      </c>
      <c r="B189" s="81">
        <v>660.0</v>
      </c>
      <c r="C189" s="81">
        <v>189.87</v>
      </c>
      <c r="D189" s="81">
        <v>771.67</v>
      </c>
      <c r="E189" s="81">
        <v>0.0</v>
      </c>
      <c r="F189" s="60">
        <f t="shared" si="105"/>
        <v>1621.54</v>
      </c>
      <c r="G189" s="81">
        <v>30.0</v>
      </c>
      <c r="H189" s="81">
        <v>5.0</v>
      </c>
      <c r="I189" s="81">
        <v>0.0</v>
      </c>
    </row>
    <row r="190" ht="12.75" customHeight="1">
      <c r="A190" s="97">
        <f t="shared" si="106"/>
        <v>43280</v>
      </c>
      <c r="B190" s="81">
        <v>150.0</v>
      </c>
      <c r="C190" s="81">
        <v>364.49</v>
      </c>
      <c r="D190" s="81">
        <v>565.07</v>
      </c>
      <c r="E190" s="81">
        <v>190.0</v>
      </c>
      <c r="F190" s="60">
        <f t="shared" si="105"/>
        <v>1269.56</v>
      </c>
      <c r="G190" s="81">
        <v>22.0</v>
      </c>
      <c r="H190" s="81">
        <v>7.0</v>
      </c>
      <c r="I190" s="81">
        <v>190.0</v>
      </c>
    </row>
    <row r="191" ht="12.75" customHeight="1">
      <c r="A191" s="131"/>
      <c r="B191" s="68">
        <f t="shared" ref="B191:I191" si="107">SUM(B186:B190)</f>
        <v>1900</v>
      </c>
      <c r="C191" s="68">
        <f t="shared" si="107"/>
        <v>1008.47</v>
      </c>
      <c r="D191" s="68">
        <f t="shared" si="107"/>
        <v>3651.03</v>
      </c>
      <c r="E191" s="68">
        <f t="shared" si="107"/>
        <v>460</v>
      </c>
      <c r="F191" s="68">
        <f t="shared" si="107"/>
        <v>7019.5</v>
      </c>
      <c r="G191" s="147">
        <f t="shared" si="107"/>
        <v>130</v>
      </c>
      <c r="H191" s="147">
        <f t="shared" si="107"/>
        <v>24</v>
      </c>
      <c r="I191" s="91">
        <f t="shared" si="107"/>
        <v>440</v>
      </c>
    </row>
    <row r="192" ht="12.75" customHeight="1">
      <c r="A192" s="148"/>
      <c r="B192" s="75"/>
      <c r="C192" s="75"/>
      <c r="D192" s="75"/>
      <c r="E192" s="75"/>
      <c r="F192" s="75"/>
      <c r="G192" s="75"/>
      <c r="H192" s="75"/>
      <c r="I192" s="74"/>
    </row>
    <row r="193" ht="12.75" customHeight="1">
      <c r="A193" s="58">
        <v>43283.0</v>
      </c>
      <c r="B193" s="59">
        <v>410.0</v>
      </c>
      <c r="C193" s="59">
        <v>241.84</v>
      </c>
      <c r="D193" s="59">
        <v>1380.0</v>
      </c>
      <c r="E193" s="59">
        <v>240.0</v>
      </c>
      <c r="F193" s="156">
        <f t="shared" ref="F193:F194" si="108">SUM(B193:E193)</f>
        <v>2271.84</v>
      </c>
      <c r="G193" s="59">
        <v>40.0</v>
      </c>
      <c r="H193" s="59">
        <v>6.0</v>
      </c>
      <c r="I193" s="59">
        <v>240.0</v>
      </c>
    </row>
    <row r="194" ht="12.75" customHeight="1">
      <c r="A194" s="58">
        <f t="shared" ref="A194:A197" si="109">A193+1</f>
        <v>43284</v>
      </c>
      <c r="B194" s="59">
        <v>210.0</v>
      </c>
      <c r="C194" s="59">
        <v>148.68</v>
      </c>
      <c r="D194" s="59">
        <v>212.0</v>
      </c>
      <c r="E194" s="59">
        <v>50.0</v>
      </c>
      <c r="F194" s="156">
        <f t="shared" si="108"/>
        <v>620.68</v>
      </c>
      <c r="G194" s="59">
        <v>12.0</v>
      </c>
      <c r="H194" s="59">
        <v>5.0</v>
      </c>
      <c r="I194" s="59">
        <v>50.0</v>
      </c>
    </row>
    <row r="195" ht="12.75" customHeight="1">
      <c r="A195" s="58">
        <f t="shared" si="109"/>
        <v>43285</v>
      </c>
      <c r="B195" s="138"/>
      <c r="C195" s="138"/>
      <c r="D195" s="138"/>
      <c r="E195" s="138"/>
      <c r="F195" s="187"/>
      <c r="G195" s="138"/>
      <c r="H195" s="138"/>
      <c r="I195" s="138"/>
    </row>
    <row r="196" ht="12.75" customHeight="1">
      <c r="A196" s="58">
        <f t="shared" si="109"/>
        <v>43286</v>
      </c>
      <c r="B196" s="138"/>
      <c r="C196" s="138"/>
      <c r="D196" s="138"/>
      <c r="E196" s="138"/>
      <c r="F196" s="187"/>
      <c r="G196" s="138"/>
      <c r="H196" s="138"/>
      <c r="I196" s="138"/>
    </row>
    <row r="197" ht="12.75" customHeight="1">
      <c r="A197" s="58">
        <f t="shared" si="109"/>
        <v>43287</v>
      </c>
      <c r="B197" s="138"/>
      <c r="C197" s="138"/>
      <c r="D197" s="138"/>
      <c r="E197" s="138"/>
      <c r="F197" s="187"/>
      <c r="G197" s="138"/>
      <c r="H197" s="138"/>
      <c r="I197" s="138"/>
    </row>
    <row r="198" ht="12.75" customHeight="1">
      <c r="A198" s="67"/>
      <c r="B198" s="68">
        <f t="shared" ref="B198:I198" si="110">SUM(B193:B197)</f>
        <v>620</v>
      </c>
      <c r="C198" s="68">
        <f t="shared" si="110"/>
        <v>390.52</v>
      </c>
      <c r="D198" s="68">
        <f t="shared" si="110"/>
        <v>1592</v>
      </c>
      <c r="E198" s="68">
        <f t="shared" si="110"/>
        <v>290</v>
      </c>
      <c r="F198" s="157">
        <f t="shared" si="110"/>
        <v>2892.52</v>
      </c>
      <c r="G198" s="70">
        <f t="shared" si="110"/>
        <v>52</v>
      </c>
      <c r="H198" s="70">
        <f t="shared" si="110"/>
        <v>11</v>
      </c>
      <c r="I198" s="91">
        <f t="shared" si="110"/>
        <v>290</v>
      </c>
    </row>
    <row r="199" ht="12.75" customHeight="1">
      <c r="A199" s="74"/>
      <c r="B199" s="92"/>
      <c r="C199" s="92"/>
      <c r="D199" s="92"/>
      <c r="E199" s="92"/>
      <c r="F199" s="75"/>
      <c r="G199" s="93"/>
      <c r="H199" s="93"/>
      <c r="I199" s="94"/>
    </row>
    <row r="200" ht="12.75" customHeight="1">
      <c r="A200" s="97">
        <f>A197+3</f>
        <v>43290</v>
      </c>
      <c r="B200" s="175"/>
      <c r="C200" s="176"/>
      <c r="D200" s="176"/>
      <c r="E200" s="176"/>
      <c r="F200" s="176"/>
      <c r="G200" s="176"/>
      <c r="H200" s="176"/>
      <c r="I200" s="176"/>
    </row>
    <row r="201" ht="12.75" customHeight="1">
      <c r="A201" s="97">
        <f t="shared" ref="A201:A204" si="111">A200+1</f>
        <v>43291</v>
      </c>
      <c r="B201" s="150"/>
      <c r="C201" s="119"/>
      <c r="D201" s="119"/>
      <c r="E201" s="119"/>
      <c r="F201" s="119"/>
      <c r="G201" s="119"/>
      <c r="H201" s="119"/>
      <c r="I201" s="119"/>
    </row>
    <row r="202" ht="12.75" customHeight="1">
      <c r="A202" s="97">
        <f t="shared" si="111"/>
        <v>43292</v>
      </c>
      <c r="B202" s="150"/>
      <c r="C202" s="119"/>
      <c r="D202" s="119"/>
      <c r="E202" s="119"/>
      <c r="F202" s="119"/>
      <c r="G202" s="119"/>
      <c r="H202" s="119"/>
      <c r="I202" s="119"/>
    </row>
    <row r="203" ht="12.75" customHeight="1">
      <c r="A203" s="97">
        <f t="shared" si="111"/>
        <v>43293</v>
      </c>
      <c r="B203" s="112">
        <v>330.0</v>
      </c>
      <c r="C203" s="124">
        <v>288.2</v>
      </c>
      <c r="D203" s="124">
        <v>1030.0</v>
      </c>
      <c r="E203" s="124">
        <v>100.0</v>
      </c>
      <c r="F203" s="158">
        <f t="shared" ref="F203:F204" si="112">SUM(B203:E203)</f>
        <v>1748.2</v>
      </c>
      <c r="G203" s="124">
        <v>29.0</v>
      </c>
      <c r="H203" s="124">
        <v>7.0</v>
      </c>
      <c r="I203" s="124">
        <v>100.0</v>
      </c>
    </row>
    <row r="204" ht="12.75" customHeight="1">
      <c r="A204" s="97">
        <f t="shared" si="111"/>
        <v>43294</v>
      </c>
      <c r="B204" s="112">
        <v>200.0</v>
      </c>
      <c r="C204" s="124">
        <v>184.3</v>
      </c>
      <c r="D204" s="124">
        <v>840.0</v>
      </c>
      <c r="E204" s="124">
        <v>160.0</v>
      </c>
      <c r="F204" s="158">
        <f t="shared" si="112"/>
        <v>1384.3</v>
      </c>
      <c r="G204" s="124">
        <v>24.0</v>
      </c>
      <c r="H204" s="124">
        <v>3.0</v>
      </c>
      <c r="I204" s="124">
        <v>150.0</v>
      </c>
    </row>
    <row r="205" ht="12.75" customHeight="1">
      <c r="A205" s="67"/>
      <c r="B205" s="121">
        <f t="shared" ref="B205:I205" si="113">SUM(B200:B204)</f>
        <v>530</v>
      </c>
      <c r="C205" s="121">
        <f t="shared" si="113"/>
        <v>472.5</v>
      </c>
      <c r="D205" s="121">
        <f t="shared" si="113"/>
        <v>1870</v>
      </c>
      <c r="E205" s="121">
        <f t="shared" si="113"/>
        <v>260</v>
      </c>
      <c r="F205" s="160">
        <f t="shared" si="113"/>
        <v>3132.5</v>
      </c>
      <c r="G205" s="70">
        <f t="shared" si="113"/>
        <v>53</v>
      </c>
      <c r="H205" s="70">
        <f t="shared" si="113"/>
        <v>10</v>
      </c>
      <c r="I205" s="91">
        <f t="shared" si="113"/>
        <v>250</v>
      </c>
    </row>
    <row r="206" ht="12.75" customHeight="1">
      <c r="A206" s="74"/>
      <c r="B206" s="75"/>
      <c r="C206" s="75"/>
      <c r="D206" s="75"/>
      <c r="E206" s="75"/>
      <c r="F206" s="75"/>
      <c r="G206" s="76"/>
      <c r="H206" s="76"/>
      <c r="I206" s="74"/>
    </row>
    <row r="207" ht="12.75" customHeight="1">
      <c r="A207" s="161">
        <f>A204+3</f>
        <v>43297</v>
      </c>
      <c r="B207" s="112">
        <v>170.0</v>
      </c>
      <c r="C207" s="112">
        <v>121.98</v>
      </c>
      <c r="D207" s="112">
        <v>530.0</v>
      </c>
      <c r="E207" s="112">
        <v>0.0</v>
      </c>
      <c r="F207" s="158">
        <f t="shared" ref="F207:F210" si="114">SUM(B207:E207)</f>
        <v>821.98</v>
      </c>
      <c r="G207" s="112">
        <v>17.0</v>
      </c>
      <c r="H207" s="112">
        <v>3.0</v>
      </c>
      <c r="I207" s="112">
        <v>0.0</v>
      </c>
    </row>
    <row r="208" ht="12.75" customHeight="1">
      <c r="A208" s="162">
        <f t="shared" ref="A208:A211" si="115">A207+1</f>
        <v>43298</v>
      </c>
      <c r="B208" s="112">
        <v>100.0</v>
      </c>
      <c r="C208" s="112">
        <v>82.72</v>
      </c>
      <c r="D208" s="112">
        <v>380.0</v>
      </c>
      <c r="E208" s="112">
        <v>270.0</v>
      </c>
      <c r="F208" s="158">
        <f t="shared" si="114"/>
        <v>832.72</v>
      </c>
      <c r="G208" s="112">
        <v>15.0</v>
      </c>
      <c r="H208" s="112">
        <v>2.0</v>
      </c>
      <c r="I208" s="112">
        <v>260.0</v>
      </c>
    </row>
    <row r="209" ht="12.75" customHeight="1">
      <c r="A209" s="162">
        <f t="shared" si="115"/>
        <v>43299</v>
      </c>
      <c r="B209" s="66">
        <v>120.0</v>
      </c>
      <c r="C209" s="112">
        <v>119.86</v>
      </c>
      <c r="D209" s="112">
        <v>900.0</v>
      </c>
      <c r="E209" s="112">
        <v>70.0</v>
      </c>
      <c r="F209" s="158">
        <f t="shared" si="114"/>
        <v>1209.86</v>
      </c>
      <c r="G209" s="112">
        <v>22.0</v>
      </c>
      <c r="H209" s="112">
        <v>3.0</v>
      </c>
      <c r="I209" s="112">
        <v>50.0</v>
      </c>
    </row>
    <row r="210" ht="12.75" customHeight="1">
      <c r="A210" s="162">
        <f t="shared" si="115"/>
        <v>43300</v>
      </c>
      <c r="B210" s="112">
        <v>250.0</v>
      </c>
      <c r="C210" s="112">
        <v>356.08</v>
      </c>
      <c r="D210" s="112">
        <v>850.0</v>
      </c>
      <c r="E210" s="112">
        <v>50.0</v>
      </c>
      <c r="F210" s="158">
        <f t="shared" si="114"/>
        <v>1506.08</v>
      </c>
      <c r="G210" s="112">
        <v>29.0</v>
      </c>
      <c r="H210" s="112">
        <v>8.0</v>
      </c>
      <c r="I210" s="112">
        <v>50.0</v>
      </c>
    </row>
    <row r="211" ht="12.75" customHeight="1">
      <c r="A211" s="163">
        <f t="shared" si="115"/>
        <v>43301</v>
      </c>
      <c r="B211" s="150"/>
      <c r="C211" s="150"/>
      <c r="D211" s="150"/>
      <c r="E211" s="150"/>
      <c r="F211" s="150"/>
      <c r="G211" s="150"/>
      <c r="H211" s="150"/>
      <c r="I211" s="150"/>
    </row>
    <row r="212" ht="12.75" customHeight="1">
      <c r="A212" s="67"/>
      <c r="B212" s="68">
        <f t="shared" ref="B212:I212" si="116">SUM(B207:B211)</f>
        <v>640</v>
      </c>
      <c r="C212" s="68">
        <f t="shared" si="116"/>
        <v>680.64</v>
      </c>
      <c r="D212" s="68">
        <f t="shared" si="116"/>
        <v>2660</v>
      </c>
      <c r="E212" s="68">
        <f t="shared" si="116"/>
        <v>390</v>
      </c>
      <c r="F212" s="157">
        <f t="shared" si="116"/>
        <v>4370.64</v>
      </c>
      <c r="G212" s="70">
        <f t="shared" si="116"/>
        <v>83</v>
      </c>
      <c r="H212" s="70">
        <f t="shared" si="116"/>
        <v>16</v>
      </c>
      <c r="I212" s="71">
        <f t="shared" si="116"/>
        <v>360</v>
      </c>
    </row>
    <row r="213" ht="12.75" customHeight="1">
      <c r="A213" s="74"/>
      <c r="B213" s="75"/>
      <c r="C213" s="75"/>
      <c r="D213" s="75"/>
      <c r="E213" s="75"/>
      <c r="F213" s="75"/>
      <c r="G213" s="76"/>
      <c r="H213" s="76"/>
      <c r="I213" s="77"/>
    </row>
    <row r="214" ht="12.75" customHeight="1">
      <c r="A214" s="162">
        <f>A211+3</f>
        <v>43304</v>
      </c>
      <c r="B214" s="150"/>
      <c r="C214" s="150"/>
      <c r="D214" s="150"/>
      <c r="E214" s="150"/>
      <c r="F214" s="119"/>
      <c r="G214" s="119"/>
      <c r="H214" s="119"/>
      <c r="I214" s="150"/>
    </row>
    <row r="215" ht="12.75" customHeight="1">
      <c r="A215" s="162">
        <f t="shared" ref="A215:A218" si="117">A214+1</f>
        <v>43305</v>
      </c>
      <c r="B215" s="150"/>
      <c r="C215" s="150"/>
      <c r="D215" s="150"/>
      <c r="E215" s="150"/>
      <c r="F215" s="119"/>
      <c r="G215" s="119"/>
      <c r="H215" s="119"/>
      <c r="I215" s="150"/>
    </row>
    <row r="216" ht="12.75" customHeight="1">
      <c r="A216" s="162">
        <f t="shared" si="117"/>
        <v>43306</v>
      </c>
      <c r="B216" s="112">
        <v>70.0</v>
      </c>
      <c r="C216" s="112">
        <v>235.56</v>
      </c>
      <c r="D216" s="112">
        <v>850.0</v>
      </c>
      <c r="E216" s="112">
        <v>160.0</v>
      </c>
      <c r="F216" s="164">
        <f t="shared" ref="F216:F218" si="118">SUM(B216:E216)</f>
        <v>1315.56</v>
      </c>
      <c r="G216" s="124">
        <v>28.0</v>
      </c>
      <c r="H216" s="124">
        <v>6.0</v>
      </c>
      <c r="I216" s="112">
        <v>160.0</v>
      </c>
    </row>
    <row r="217" ht="12.75" customHeight="1">
      <c r="A217" s="162">
        <f t="shared" si="117"/>
        <v>43307</v>
      </c>
      <c r="B217" s="112">
        <v>340.0</v>
      </c>
      <c r="C217" s="112">
        <v>347.18</v>
      </c>
      <c r="D217" s="112">
        <v>690.0</v>
      </c>
      <c r="E217" s="112">
        <v>120.0</v>
      </c>
      <c r="F217" s="164">
        <f t="shared" si="118"/>
        <v>1497.18</v>
      </c>
      <c r="G217" s="124">
        <v>27.0</v>
      </c>
      <c r="H217" s="124">
        <v>8.0</v>
      </c>
      <c r="I217" s="112">
        <v>120.0</v>
      </c>
    </row>
    <row r="218" ht="12.75" customHeight="1">
      <c r="A218" s="162">
        <f t="shared" si="117"/>
        <v>43308</v>
      </c>
      <c r="B218" s="112">
        <v>90.0</v>
      </c>
      <c r="C218" s="112">
        <v>439.19</v>
      </c>
      <c r="D218" s="112">
        <v>805.07</v>
      </c>
      <c r="E218" s="112">
        <v>170.0</v>
      </c>
      <c r="F218" s="164">
        <f t="shared" si="118"/>
        <v>1504.26</v>
      </c>
      <c r="G218" s="124">
        <v>26.0</v>
      </c>
      <c r="H218" s="124">
        <v>10.0</v>
      </c>
      <c r="I218" s="112">
        <v>170.0</v>
      </c>
    </row>
    <row r="219" ht="12.75" customHeight="1">
      <c r="A219" s="67"/>
      <c r="B219" s="68">
        <f t="shared" ref="B219:I219" si="119">SUM(B214:B218)</f>
        <v>500</v>
      </c>
      <c r="C219" s="68">
        <f t="shared" si="119"/>
        <v>1021.93</v>
      </c>
      <c r="D219" s="68">
        <f t="shared" si="119"/>
        <v>2345.07</v>
      </c>
      <c r="E219" s="68">
        <f t="shared" si="119"/>
        <v>450</v>
      </c>
      <c r="F219" s="157">
        <f t="shared" si="119"/>
        <v>4317</v>
      </c>
      <c r="G219" s="70">
        <f t="shared" si="119"/>
        <v>81</v>
      </c>
      <c r="H219" s="70">
        <f t="shared" si="119"/>
        <v>24</v>
      </c>
      <c r="I219" s="91">
        <f t="shared" si="119"/>
        <v>450</v>
      </c>
    </row>
    <row r="220" ht="12.75" customHeight="1">
      <c r="A220" s="74"/>
      <c r="B220" s="75"/>
      <c r="C220" s="75"/>
      <c r="D220" s="75"/>
      <c r="E220" s="75"/>
      <c r="F220" s="75"/>
      <c r="G220" s="76"/>
      <c r="H220" s="76"/>
      <c r="I220" s="74"/>
    </row>
    <row r="221" ht="12.75" customHeight="1">
      <c r="A221" s="162">
        <f>A218+3</f>
        <v>43311</v>
      </c>
      <c r="B221" s="112">
        <v>542.2</v>
      </c>
      <c r="C221" s="112">
        <v>233.16</v>
      </c>
      <c r="D221" s="112">
        <v>780.0</v>
      </c>
      <c r="E221" s="112">
        <v>140.0</v>
      </c>
      <c r="F221" s="164">
        <f t="shared" ref="F221:F222" si="120">SUM(B221:E221)</f>
        <v>1695.36</v>
      </c>
      <c r="G221" s="124">
        <v>30.0</v>
      </c>
      <c r="H221" s="124">
        <v>6.0</v>
      </c>
      <c r="I221" s="112">
        <v>150.0</v>
      </c>
    </row>
    <row r="222" ht="12.75" customHeight="1">
      <c r="A222" s="162">
        <f>A221+1</f>
        <v>43312</v>
      </c>
      <c r="B222" s="112">
        <v>140.0</v>
      </c>
      <c r="C222" s="112">
        <v>40.66</v>
      </c>
      <c r="D222" s="112">
        <v>420.0</v>
      </c>
      <c r="E222" s="112">
        <v>260.0</v>
      </c>
      <c r="F222" s="164">
        <f t="shared" si="120"/>
        <v>860.66</v>
      </c>
      <c r="G222" s="124">
        <v>16.0</v>
      </c>
      <c r="H222" s="124">
        <v>1.0</v>
      </c>
      <c r="I222" s="112">
        <v>260.0</v>
      </c>
    </row>
    <row r="223" ht="12.75" customHeight="1">
      <c r="A223" s="67"/>
      <c r="B223" s="68">
        <f t="shared" ref="B223:I223" si="121">SUM(B221:B222)</f>
        <v>682.2</v>
      </c>
      <c r="C223" s="68">
        <f t="shared" si="121"/>
        <v>273.82</v>
      </c>
      <c r="D223" s="68">
        <f t="shared" si="121"/>
        <v>1200</v>
      </c>
      <c r="E223" s="68">
        <f t="shared" si="121"/>
        <v>400</v>
      </c>
      <c r="F223" s="157">
        <f t="shared" si="121"/>
        <v>2556.02</v>
      </c>
      <c r="G223" s="70">
        <f t="shared" si="121"/>
        <v>46</v>
      </c>
      <c r="H223" s="70">
        <f t="shared" si="121"/>
        <v>7</v>
      </c>
      <c r="I223" s="69">
        <f t="shared" si="121"/>
        <v>410</v>
      </c>
    </row>
    <row r="224" ht="12.75" customHeight="1">
      <c r="A224" s="74"/>
      <c r="B224" s="92"/>
      <c r="C224" s="92"/>
      <c r="D224" s="92"/>
      <c r="E224" s="92"/>
      <c r="F224" s="92"/>
      <c r="G224" s="76"/>
      <c r="H224" s="76"/>
      <c r="I224" s="76"/>
    </row>
    <row r="225" ht="12.75" customHeight="1">
      <c r="A225" s="58">
        <v>43313.0</v>
      </c>
      <c r="B225" s="98">
        <v>440.0</v>
      </c>
      <c r="C225" s="99">
        <v>116.7</v>
      </c>
      <c r="D225" s="99">
        <v>510.0</v>
      </c>
      <c r="E225" s="99">
        <v>220.0</v>
      </c>
      <c r="F225" s="165">
        <f t="shared" ref="F225:F227" si="122">SUM(B225:E225)</f>
        <v>1286.7</v>
      </c>
      <c r="G225" s="99">
        <v>26.0</v>
      </c>
      <c r="H225" s="99">
        <v>9.0</v>
      </c>
      <c r="I225" s="101">
        <v>220.0</v>
      </c>
    </row>
    <row r="226" ht="12.75" customHeight="1">
      <c r="A226" s="58">
        <f t="shared" ref="A226:A227" si="123">A225+1</f>
        <v>43314</v>
      </c>
      <c r="B226" s="112">
        <v>260.0</v>
      </c>
      <c r="C226" s="124">
        <v>275.12</v>
      </c>
      <c r="D226" s="124">
        <v>1260.0</v>
      </c>
      <c r="E226" s="124">
        <v>100.0</v>
      </c>
      <c r="F226" s="165">
        <f t="shared" si="122"/>
        <v>1895.12</v>
      </c>
      <c r="G226" s="59">
        <v>32.0</v>
      </c>
      <c r="H226" s="59">
        <v>6.0</v>
      </c>
      <c r="I226" s="61">
        <v>100.0</v>
      </c>
    </row>
    <row r="227" ht="12.75" customHeight="1">
      <c r="A227" s="58">
        <f t="shared" si="123"/>
        <v>43315</v>
      </c>
      <c r="B227" s="112">
        <v>50.0</v>
      </c>
      <c r="C227" s="124">
        <v>307.68</v>
      </c>
      <c r="D227" s="124">
        <v>680.0</v>
      </c>
      <c r="E227" s="124">
        <v>0.0</v>
      </c>
      <c r="F227" s="165">
        <f t="shared" si="122"/>
        <v>1037.68</v>
      </c>
      <c r="G227" s="81">
        <v>18.0</v>
      </c>
      <c r="H227" s="81">
        <v>6.0</v>
      </c>
      <c r="I227" s="83">
        <v>0.0</v>
      </c>
    </row>
    <row r="228" ht="12.75" customHeight="1">
      <c r="A228" s="67"/>
      <c r="B228" s="91">
        <f t="shared" ref="B228:I228" si="124">SUM(B225:B227)</f>
        <v>750</v>
      </c>
      <c r="C228" s="91">
        <f t="shared" si="124"/>
        <v>699.5</v>
      </c>
      <c r="D228" s="91">
        <f t="shared" si="124"/>
        <v>2450</v>
      </c>
      <c r="E228" s="91">
        <f t="shared" si="124"/>
        <v>320</v>
      </c>
      <c r="F228" s="157">
        <f t="shared" si="124"/>
        <v>4219.5</v>
      </c>
      <c r="G228" s="70">
        <f t="shared" si="124"/>
        <v>76</v>
      </c>
      <c r="H228" s="70">
        <f t="shared" si="124"/>
        <v>21</v>
      </c>
      <c r="I228" s="168">
        <f t="shared" si="124"/>
        <v>320</v>
      </c>
    </row>
    <row r="229" ht="12.75" customHeight="1">
      <c r="A229" s="74"/>
      <c r="B229" s="74"/>
      <c r="C229" s="74"/>
      <c r="D229" s="74"/>
      <c r="E229" s="74"/>
      <c r="F229" s="75"/>
      <c r="G229" s="76"/>
      <c r="H229" s="76"/>
      <c r="I229" s="74"/>
    </row>
    <row r="230" ht="12.75" customHeight="1">
      <c r="A230" s="97">
        <f>A227+3</f>
        <v>43318</v>
      </c>
      <c r="B230" s="98">
        <v>330.0</v>
      </c>
      <c r="C230" s="99">
        <v>275.12</v>
      </c>
      <c r="D230" s="99">
        <v>850.0</v>
      </c>
      <c r="E230" s="99">
        <v>390.0</v>
      </c>
      <c r="F230" s="258">
        <f t="shared" ref="F230:F234" si="125">SUM(B230:E230)</f>
        <v>1845.12</v>
      </c>
      <c r="G230" s="99">
        <v>33.0</v>
      </c>
      <c r="H230" s="99">
        <v>6.0</v>
      </c>
      <c r="I230" s="101">
        <v>400.0</v>
      </c>
    </row>
    <row r="231" ht="12.75" customHeight="1">
      <c r="A231" s="97">
        <f t="shared" ref="A231:A234" si="126">A230+1</f>
        <v>43319</v>
      </c>
      <c r="B231" s="112">
        <v>160.0</v>
      </c>
      <c r="C231" s="124">
        <v>313.86</v>
      </c>
      <c r="D231" s="124">
        <v>1190.0</v>
      </c>
      <c r="E231" s="124">
        <v>70.0</v>
      </c>
      <c r="F231" s="258">
        <f t="shared" si="125"/>
        <v>1733.86</v>
      </c>
      <c r="G231" s="81">
        <v>28.0</v>
      </c>
      <c r="H231" s="81">
        <v>6.0</v>
      </c>
      <c r="I231" s="83">
        <v>70.0</v>
      </c>
    </row>
    <row r="232" ht="12.75" customHeight="1">
      <c r="A232" s="97">
        <f t="shared" si="126"/>
        <v>43320</v>
      </c>
      <c r="B232" s="112">
        <v>190.0</v>
      </c>
      <c r="C232" s="124">
        <v>291.26</v>
      </c>
      <c r="D232" s="124">
        <v>220.0</v>
      </c>
      <c r="E232" s="124">
        <v>40.0</v>
      </c>
      <c r="F232" s="258">
        <f t="shared" si="125"/>
        <v>741.26</v>
      </c>
      <c r="G232" s="81">
        <v>16.0</v>
      </c>
      <c r="H232" s="81">
        <v>4.0</v>
      </c>
      <c r="I232" s="83">
        <v>40.0</v>
      </c>
    </row>
    <row r="233" ht="12.75" customHeight="1">
      <c r="A233" s="97">
        <f t="shared" si="126"/>
        <v>43321</v>
      </c>
      <c r="B233" s="112">
        <v>250.0</v>
      </c>
      <c r="C233" s="124">
        <v>123.38</v>
      </c>
      <c r="D233" s="124">
        <v>1360.0</v>
      </c>
      <c r="E233" s="124">
        <v>220.0</v>
      </c>
      <c r="F233" s="258">
        <f t="shared" si="125"/>
        <v>1953.38</v>
      </c>
      <c r="G233" s="81">
        <v>31.0</v>
      </c>
      <c r="H233" s="81">
        <v>3.0</v>
      </c>
      <c r="I233" s="83">
        <v>220.0</v>
      </c>
    </row>
    <row r="234" ht="12.75" customHeight="1">
      <c r="A234" s="97">
        <f t="shared" si="126"/>
        <v>43322</v>
      </c>
      <c r="B234" s="112">
        <v>90.0</v>
      </c>
      <c r="C234" s="124">
        <v>143.6</v>
      </c>
      <c r="D234" s="124">
        <v>190.0</v>
      </c>
      <c r="E234" s="124">
        <v>0.0</v>
      </c>
      <c r="F234" s="258">
        <f t="shared" si="125"/>
        <v>423.6</v>
      </c>
      <c r="G234" s="81">
        <v>10.0</v>
      </c>
      <c r="H234" s="81">
        <v>2.0</v>
      </c>
      <c r="I234" s="83">
        <v>0.0</v>
      </c>
    </row>
    <row r="235" ht="12.75" customHeight="1">
      <c r="A235" s="67"/>
      <c r="B235" s="91">
        <f t="shared" ref="B235:I235" si="127">SUM(B230:B234)</f>
        <v>1020</v>
      </c>
      <c r="C235" s="91">
        <f t="shared" si="127"/>
        <v>1147.22</v>
      </c>
      <c r="D235" s="91">
        <f t="shared" si="127"/>
        <v>3810</v>
      </c>
      <c r="E235" s="91">
        <f t="shared" si="127"/>
        <v>720</v>
      </c>
      <c r="F235" s="157">
        <f t="shared" si="127"/>
        <v>6697.22</v>
      </c>
      <c r="G235" s="70">
        <f t="shared" si="127"/>
        <v>118</v>
      </c>
      <c r="H235" s="70">
        <f t="shared" si="127"/>
        <v>21</v>
      </c>
      <c r="I235" s="168">
        <f t="shared" si="127"/>
        <v>730</v>
      </c>
    </row>
    <row r="236" ht="12.75" customHeight="1">
      <c r="A236" s="74"/>
      <c r="B236" s="74"/>
      <c r="C236" s="74"/>
      <c r="D236" s="74"/>
      <c r="E236" s="74"/>
      <c r="F236" s="75"/>
      <c r="G236" s="76"/>
      <c r="H236" s="76"/>
      <c r="I236" s="74"/>
    </row>
    <row r="237" ht="12.75" customHeight="1">
      <c r="A237" s="161">
        <f>A234+3</f>
        <v>43325</v>
      </c>
      <c r="B237" s="175"/>
      <c r="C237" s="176"/>
      <c r="D237" s="176"/>
      <c r="E237" s="176"/>
      <c r="F237" s="177"/>
      <c r="G237" s="176"/>
      <c r="H237" s="176"/>
      <c r="I237" s="178"/>
    </row>
    <row r="238" ht="12.75" customHeight="1">
      <c r="A238" s="162">
        <f t="shared" ref="A238:A241" si="128">A237+1</f>
        <v>43326</v>
      </c>
      <c r="B238" s="150"/>
      <c r="C238" s="119"/>
      <c r="D238" s="119"/>
      <c r="E238" s="119"/>
      <c r="F238" s="177"/>
      <c r="G238" s="84"/>
      <c r="H238" s="84"/>
      <c r="I238" s="86"/>
    </row>
    <row r="239" ht="12.75" customHeight="1">
      <c r="A239" s="162">
        <f t="shared" si="128"/>
        <v>43327</v>
      </c>
      <c r="B239" s="150"/>
      <c r="C239" s="119"/>
      <c r="D239" s="119"/>
      <c r="E239" s="119"/>
      <c r="F239" s="177"/>
      <c r="G239" s="84"/>
      <c r="H239" s="84"/>
      <c r="I239" s="86"/>
    </row>
    <row r="240" ht="12.75" customHeight="1">
      <c r="A240" s="162">
        <f t="shared" si="128"/>
        <v>43328</v>
      </c>
      <c r="B240" s="150"/>
      <c r="C240" s="119"/>
      <c r="D240" s="119"/>
      <c r="E240" s="119"/>
      <c r="F240" s="177"/>
      <c r="G240" s="84"/>
      <c r="H240" s="84"/>
      <c r="I240" s="86"/>
    </row>
    <row r="241" ht="12.75" customHeight="1">
      <c r="A241" s="163">
        <f t="shared" si="128"/>
        <v>43329</v>
      </c>
      <c r="B241" s="169"/>
      <c r="C241" s="170"/>
      <c r="D241" s="170"/>
      <c r="E241" s="170"/>
      <c r="F241" s="177"/>
      <c r="G241" s="172"/>
      <c r="H241" s="172"/>
      <c r="I241" s="173"/>
    </row>
    <row r="242" ht="12.75" customHeight="1">
      <c r="A242" s="67"/>
      <c r="B242" s="179">
        <f t="shared" ref="B242:I242" si="129">SUM(B237:B241)</f>
        <v>0</v>
      </c>
      <c r="C242" s="179">
        <f t="shared" si="129"/>
        <v>0</v>
      </c>
      <c r="D242" s="179">
        <f t="shared" si="129"/>
        <v>0</v>
      </c>
      <c r="E242" s="179">
        <f t="shared" si="129"/>
        <v>0</v>
      </c>
      <c r="F242" s="157">
        <f t="shared" si="129"/>
        <v>0</v>
      </c>
      <c r="G242" s="180">
        <f t="shared" si="129"/>
        <v>0</v>
      </c>
      <c r="H242" s="180">
        <f t="shared" si="129"/>
        <v>0</v>
      </c>
      <c r="I242" s="179">
        <f t="shared" si="129"/>
        <v>0</v>
      </c>
    </row>
    <row r="243" ht="12.75" customHeight="1">
      <c r="A243" s="74"/>
      <c r="B243" s="74"/>
      <c r="C243" s="74"/>
      <c r="D243" s="74"/>
      <c r="E243" s="74"/>
      <c r="F243" s="75"/>
      <c r="G243" s="74"/>
      <c r="H243" s="74"/>
      <c r="I243" s="74"/>
    </row>
    <row r="244" ht="12.75" customHeight="1">
      <c r="A244" s="97">
        <f>A241+3</f>
        <v>43332</v>
      </c>
      <c r="B244" s="175"/>
      <c r="C244" s="176"/>
      <c r="D244" s="176"/>
      <c r="E244" s="176"/>
      <c r="F244" s="177"/>
      <c r="G244" s="176"/>
      <c r="H244" s="176"/>
      <c r="I244" s="178"/>
    </row>
    <row r="245" ht="12.75" customHeight="1">
      <c r="A245" s="162">
        <f t="shared" ref="A245:A248" si="130">A244+1</f>
        <v>43333</v>
      </c>
      <c r="B245" s="150"/>
      <c r="C245" s="119"/>
      <c r="D245" s="119"/>
      <c r="E245" s="119"/>
      <c r="F245" s="196"/>
      <c r="G245" s="84"/>
      <c r="H245" s="84"/>
      <c r="I245" s="86"/>
    </row>
    <row r="246" ht="12.75" customHeight="1">
      <c r="A246" s="97">
        <f t="shared" si="130"/>
        <v>43334</v>
      </c>
      <c r="B246" s="150"/>
      <c r="C246" s="119"/>
      <c r="D246" s="119"/>
      <c r="E246" s="119"/>
      <c r="F246" s="196"/>
      <c r="G246" s="84"/>
      <c r="H246" s="84"/>
      <c r="I246" s="86"/>
    </row>
    <row r="247" ht="12.75" customHeight="1">
      <c r="A247" s="162">
        <f t="shared" si="130"/>
        <v>43335</v>
      </c>
      <c r="B247" s="150"/>
      <c r="C247" s="119"/>
      <c r="D247" s="119"/>
      <c r="E247" s="119"/>
      <c r="F247" s="196"/>
      <c r="G247" s="84"/>
      <c r="H247" s="84"/>
      <c r="I247" s="86"/>
    </row>
    <row r="248" ht="12.75" customHeight="1">
      <c r="A248" s="97">
        <f t="shared" si="130"/>
        <v>43336</v>
      </c>
      <c r="B248" s="169"/>
      <c r="C248" s="170"/>
      <c r="D248" s="170"/>
      <c r="E248" s="170"/>
      <c r="F248" s="177"/>
      <c r="G248" s="172"/>
      <c r="H248" s="172"/>
      <c r="I248" s="173"/>
    </row>
    <row r="249" ht="12.75" customHeight="1">
      <c r="A249" s="67"/>
      <c r="B249" s="179">
        <f t="shared" ref="B249:I249" si="131">SUM(B241:B248)</f>
        <v>0</v>
      </c>
      <c r="C249" s="179">
        <f t="shared" si="131"/>
        <v>0</v>
      </c>
      <c r="D249" s="179">
        <f t="shared" si="131"/>
        <v>0</v>
      </c>
      <c r="E249" s="179">
        <f t="shared" si="131"/>
        <v>0</v>
      </c>
      <c r="F249" s="179">
        <f t="shared" si="131"/>
        <v>0</v>
      </c>
      <c r="G249" s="180">
        <f t="shared" si="131"/>
        <v>0</v>
      </c>
      <c r="H249" s="180">
        <f t="shared" si="131"/>
        <v>0</v>
      </c>
      <c r="I249" s="179">
        <f t="shared" si="131"/>
        <v>0</v>
      </c>
    </row>
    <row r="250" ht="12.75" customHeight="1">
      <c r="A250" s="74"/>
      <c r="B250" s="94"/>
      <c r="C250" s="94"/>
      <c r="D250" s="94"/>
      <c r="E250" s="94"/>
      <c r="F250" s="94"/>
      <c r="G250" s="94"/>
      <c r="H250" s="94"/>
      <c r="I250" s="94"/>
    </row>
    <row r="251" ht="12.75" customHeight="1">
      <c r="A251" s="97">
        <f>A248+3</f>
        <v>43339</v>
      </c>
      <c r="B251" s="175"/>
      <c r="C251" s="176"/>
      <c r="D251" s="176"/>
      <c r="E251" s="176"/>
      <c r="F251" s="177"/>
      <c r="G251" s="176"/>
      <c r="H251" s="176"/>
      <c r="I251" s="178"/>
    </row>
    <row r="252" ht="12.75" customHeight="1">
      <c r="A252" s="97">
        <f t="shared" ref="A252:A253" si="132">A251+1</f>
        <v>43340</v>
      </c>
      <c r="B252" s="150"/>
      <c r="C252" s="138"/>
      <c r="D252" s="138"/>
      <c r="E252" s="138"/>
      <c r="F252" s="196"/>
      <c r="G252" s="138"/>
      <c r="H252" s="138"/>
      <c r="I252" s="146"/>
    </row>
    <row r="253" ht="12.75" customHeight="1">
      <c r="A253" s="97">
        <f t="shared" si="132"/>
        <v>43341</v>
      </c>
      <c r="B253" s="259"/>
      <c r="C253" s="84"/>
      <c r="D253" s="84"/>
      <c r="E253" s="84"/>
      <c r="F253" s="196"/>
      <c r="G253" s="84"/>
      <c r="H253" s="84"/>
      <c r="I253" s="86"/>
    </row>
    <row r="254" ht="12.75" customHeight="1">
      <c r="A254" s="97">
        <f t="shared" ref="A254:A255" si="133">A251+3</f>
        <v>43342</v>
      </c>
      <c r="B254" s="184"/>
      <c r="C254" s="172"/>
      <c r="D254" s="172"/>
      <c r="E254" s="172"/>
      <c r="F254" s="196"/>
      <c r="G254" s="172"/>
      <c r="H254" s="172"/>
      <c r="I254" s="173"/>
    </row>
    <row r="255" ht="12.75" customHeight="1">
      <c r="A255" s="97">
        <f t="shared" si="133"/>
        <v>43343</v>
      </c>
      <c r="B255" s="184"/>
      <c r="C255" s="172"/>
      <c r="D255" s="172"/>
      <c r="E255" s="172"/>
      <c r="F255" s="196"/>
      <c r="G255" s="172"/>
      <c r="H255" s="172"/>
      <c r="I255" s="173"/>
    </row>
    <row r="256" ht="12.75" customHeight="1">
      <c r="A256" s="67"/>
      <c r="B256" s="145">
        <f t="shared" ref="B256:I256" si="134">SUM(B251:B254)</f>
        <v>0</v>
      </c>
      <c r="C256" s="145">
        <f t="shared" si="134"/>
        <v>0</v>
      </c>
      <c r="D256" s="145">
        <f t="shared" si="134"/>
        <v>0</v>
      </c>
      <c r="E256" s="145">
        <f t="shared" si="134"/>
        <v>0</v>
      </c>
      <c r="F256" s="160">
        <f t="shared" si="134"/>
        <v>0</v>
      </c>
      <c r="G256" s="174">
        <f t="shared" si="134"/>
        <v>0</v>
      </c>
      <c r="H256" s="174">
        <f t="shared" si="134"/>
        <v>0</v>
      </c>
      <c r="I256" s="186">
        <f t="shared" si="134"/>
        <v>0</v>
      </c>
    </row>
    <row r="257" ht="12.75" customHeight="1">
      <c r="A257" s="74"/>
      <c r="B257" s="74"/>
      <c r="C257" s="74"/>
      <c r="D257" s="74"/>
      <c r="E257" s="74"/>
      <c r="F257" s="75"/>
      <c r="G257" s="74"/>
      <c r="H257" s="74"/>
      <c r="I257" s="74"/>
    </row>
    <row r="258" ht="12.75" customHeight="1">
      <c r="A258" s="58">
        <v>43346.0</v>
      </c>
      <c r="B258" s="189">
        <v>470.0</v>
      </c>
      <c r="C258" s="189">
        <v>275.12</v>
      </c>
      <c r="D258" s="189">
        <v>1230.0</v>
      </c>
      <c r="E258" s="189">
        <v>100.0</v>
      </c>
      <c r="F258" s="156">
        <f t="shared" ref="F258:F262" si="135">SUM(B258:E258)</f>
        <v>2075.12</v>
      </c>
      <c r="G258" s="59">
        <v>34.0</v>
      </c>
      <c r="H258" s="59">
        <v>6.0</v>
      </c>
      <c r="I258" s="189">
        <v>90.0</v>
      </c>
    </row>
    <row r="259" ht="12.75" customHeight="1">
      <c r="A259" s="58">
        <f t="shared" ref="A259:A262" si="136">A258+1</f>
        <v>43347</v>
      </c>
      <c r="B259" s="189">
        <v>340.0</v>
      </c>
      <c r="C259" s="189">
        <v>121.98</v>
      </c>
      <c r="D259" s="189">
        <v>430.0</v>
      </c>
      <c r="E259" s="189">
        <v>0.0</v>
      </c>
      <c r="F259" s="156">
        <f t="shared" si="135"/>
        <v>891.98</v>
      </c>
      <c r="G259" s="59">
        <v>18.0</v>
      </c>
      <c r="H259" s="59">
        <v>3.0</v>
      </c>
      <c r="I259" s="189">
        <v>0.0</v>
      </c>
    </row>
    <row r="260" ht="12.75" customHeight="1">
      <c r="A260" s="58">
        <f t="shared" si="136"/>
        <v>43348</v>
      </c>
      <c r="B260" s="189">
        <v>390.0</v>
      </c>
      <c r="C260" s="189">
        <v>242.73</v>
      </c>
      <c r="D260" s="189">
        <v>519.0</v>
      </c>
      <c r="E260" s="189">
        <v>61.67</v>
      </c>
      <c r="F260" s="156">
        <f t="shared" si="135"/>
        <v>1213.4</v>
      </c>
      <c r="G260" s="59">
        <v>24.0</v>
      </c>
      <c r="H260" s="59">
        <v>7.0</v>
      </c>
      <c r="I260" s="189">
        <v>50.0</v>
      </c>
    </row>
    <row r="261" ht="12.75" customHeight="1">
      <c r="A261" s="58">
        <f t="shared" si="136"/>
        <v>43349</v>
      </c>
      <c r="B261" s="189">
        <v>490.0</v>
      </c>
      <c r="C261" s="189">
        <v>420.16</v>
      </c>
      <c r="D261" s="189">
        <v>610.0</v>
      </c>
      <c r="E261" s="189">
        <v>140.0</v>
      </c>
      <c r="F261" s="156">
        <f t="shared" si="135"/>
        <v>1660.16</v>
      </c>
      <c r="G261" s="59">
        <v>27.0</v>
      </c>
      <c r="H261" s="59">
        <v>8.0</v>
      </c>
      <c r="I261" s="189">
        <v>140.0</v>
      </c>
    </row>
    <row r="262" ht="12.75" customHeight="1">
      <c r="A262" s="58">
        <f t="shared" si="136"/>
        <v>43350</v>
      </c>
      <c r="B262" s="189">
        <v>90.0</v>
      </c>
      <c r="C262" s="189">
        <v>206.1</v>
      </c>
      <c r="D262" s="189">
        <v>830.0</v>
      </c>
      <c r="E262" s="189">
        <v>140.0</v>
      </c>
      <c r="F262" s="156">
        <f t="shared" si="135"/>
        <v>1266.1</v>
      </c>
      <c r="G262" s="59">
        <v>21.0</v>
      </c>
      <c r="H262" s="59">
        <v>5.0</v>
      </c>
      <c r="I262" s="189">
        <v>140.0</v>
      </c>
    </row>
    <row r="263" ht="12.75" customHeight="1">
      <c r="A263" s="131"/>
      <c r="B263" s="157">
        <f t="shared" ref="B263:I263" si="137">SUM(B258:B262)</f>
        <v>1780</v>
      </c>
      <c r="C263" s="190">
        <f t="shared" si="137"/>
        <v>1266.09</v>
      </c>
      <c r="D263" s="190">
        <f t="shared" si="137"/>
        <v>3619</v>
      </c>
      <c r="E263" s="190">
        <f t="shared" si="137"/>
        <v>441.67</v>
      </c>
      <c r="F263" s="190">
        <f t="shared" si="137"/>
        <v>7106.76</v>
      </c>
      <c r="G263" s="133">
        <f t="shared" si="137"/>
        <v>124</v>
      </c>
      <c r="H263" s="133">
        <f t="shared" si="137"/>
        <v>29</v>
      </c>
      <c r="I263" s="191">
        <f t="shared" si="137"/>
        <v>420</v>
      </c>
    </row>
    <row r="264" ht="12.75" customHeight="1">
      <c r="A264" s="148"/>
      <c r="B264" s="75"/>
      <c r="C264" s="136"/>
      <c r="D264" s="136"/>
      <c r="E264" s="136"/>
      <c r="F264" s="136"/>
      <c r="G264" s="136"/>
      <c r="H264" s="136"/>
      <c r="I264" s="137"/>
    </row>
    <row r="265" ht="12.75" customHeight="1">
      <c r="A265" s="97">
        <f>A262+3</f>
        <v>43353</v>
      </c>
      <c r="B265" s="189">
        <v>200.0</v>
      </c>
      <c r="C265" s="189">
        <v>242.2</v>
      </c>
      <c r="D265" s="189">
        <v>330.0</v>
      </c>
      <c r="E265" s="189">
        <v>210.0</v>
      </c>
      <c r="F265" s="156">
        <f t="shared" ref="F265:F269" si="138">SUM(B265:E265)</f>
        <v>982.2</v>
      </c>
      <c r="G265" s="59">
        <v>19.0</v>
      </c>
      <c r="H265" s="59">
        <v>6.0</v>
      </c>
      <c r="I265" s="189">
        <v>200.0</v>
      </c>
    </row>
    <row r="266" ht="12.75" customHeight="1">
      <c r="A266" s="97">
        <f t="shared" ref="A266:A269" si="139">A265+1</f>
        <v>43354</v>
      </c>
      <c r="B266" s="192">
        <v>120.0</v>
      </c>
      <c r="C266" s="192">
        <v>80.96106</v>
      </c>
      <c r="D266" s="192">
        <v>1060.0</v>
      </c>
      <c r="E266" s="192">
        <v>90.0</v>
      </c>
      <c r="F266" s="193">
        <f t="shared" si="138"/>
        <v>1350.96106</v>
      </c>
      <c r="G266" s="81">
        <v>23.0</v>
      </c>
      <c r="H266" s="81">
        <v>2.0</v>
      </c>
      <c r="I266" s="192">
        <v>90.0</v>
      </c>
    </row>
    <row r="267" ht="12.75" customHeight="1">
      <c r="A267" s="97">
        <f t="shared" si="139"/>
        <v>43355</v>
      </c>
      <c r="B267" s="192">
        <v>400.0</v>
      </c>
      <c r="C267" s="192">
        <v>38.9</v>
      </c>
      <c r="D267" s="192">
        <v>200.0</v>
      </c>
      <c r="E267" s="192">
        <v>100.0</v>
      </c>
      <c r="F267" s="193">
        <f t="shared" si="138"/>
        <v>738.9</v>
      </c>
      <c r="G267" s="81">
        <v>15.0</v>
      </c>
      <c r="H267" s="81">
        <v>1.0</v>
      </c>
      <c r="I267" s="192">
        <v>100.0</v>
      </c>
    </row>
    <row r="268" ht="12.75" customHeight="1">
      <c r="A268" s="97">
        <f t="shared" si="139"/>
        <v>43356</v>
      </c>
      <c r="B268" s="192">
        <v>70.0</v>
      </c>
      <c r="C268" s="192">
        <v>123.02</v>
      </c>
      <c r="D268" s="192">
        <v>1000.0</v>
      </c>
      <c r="E268" s="192">
        <v>290.0</v>
      </c>
      <c r="F268" s="193">
        <f t="shared" si="138"/>
        <v>1483.02</v>
      </c>
      <c r="G268" s="81">
        <v>27.0</v>
      </c>
      <c r="H268" s="81">
        <v>3.0</v>
      </c>
      <c r="I268" s="192">
        <v>290.0</v>
      </c>
    </row>
    <row r="269" ht="12.75" customHeight="1">
      <c r="A269" s="97">
        <f t="shared" si="139"/>
        <v>43357</v>
      </c>
      <c r="B269" s="194">
        <v>100.0</v>
      </c>
      <c r="C269" s="194">
        <v>123.38</v>
      </c>
      <c r="D269" s="194">
        <v>660.0</v>
      </c>
      <c r="E269" s="194">
        <v>150.0</v>
      </c>
      <c r="F269" s="195">
        <f t="shared" si="138"/>
        <v>1033.38</v>
      </c>
      <c r="G269" s="89">
        <v>18.0</v>
      </c>
      <c r="H269" s="89">
        <v>3.0</v>
      </c>
      <c r="I269" s="194">
        <v>150.0</v>
      </c>
    </row>
    <row r="270" ht="12.75" customHeight="1">
      <c r="A270" s="131"/>
      <c r="B270" s="157">
        <f t="shared" ref="B270:I270" si="140">SUM(B265:B269)</f>
        <v>890</v>
      </c>
      <c r="C270" s="190">
        <f t="shared" si="140"/>
        <v>608.46106</v>
      </c>
      <c r="D270" s="190">
        <f t="shared" si="140"/>
        <v>3250</v>
      </c>
      <c r="E270" s="190">
        <f t="shared" si="140"/>
        <v>840</v>
      </c>
      <c r="F270" s="190">
        <f t="shared" si="140"/>
        <v>5588.46106</v>
      </c>
      <c r="G270" s="133">
        <f t="shared" si="140"/>
        <v>102</v>
      </c>
      <c r="H270" s="133">
        <f t="shared" si="140"/>
        <v>15</v>
      </c>
      <c r="I270" s="191">
        <f t="shared" si="140"/>
        <v>830</v>
      </c>
    </row>
    <row r="271" ht="12.75" customHeight="1">
      <c r="A271" s="148"/>
      <c r="B271" s="75"/>
      <c r="C271" s="136"/>
      <c r="D271" s="136"/>
      <c r="E271" s="136"/>
      <c r="F271" s="136"/>
      <c r="G271" s="136"/>
      <c r="H271" s="136"/>
      <c r="I271" s="137"/>
    </row>
    <row r="272" ht="12.75" customHeight="1">
      <c r="A272" s="97">
        <f>A269+3</f>
        <v>43360</v>
      </c>
      <c r="B272" s="189">
        <v>400.0</v>
      </c>
      <c r="C272" s="189">
        <v>315.66</v>
      </c>
      <c r="D272" s="189">
        <v>990.0</v>
      </c>
      <c r="E272" s="189">
        <v>240.0</v>
      </c>
      <c r="F272" s="156">
        <f t="shared" ref="F272:F276" si="141">SUM(B272:E272)</f>
        <v>1945.66</v>
      </c>
      <c r="G272" s="59">
        <v>35.0</v>
      </c>
      <c r="H272" s="59">
        <v>8.0</v>
      </c>
      <c r="I272" s="189">
        <v>250.0</v>
      </c>
    </row>
    <row r="273" ht="12.75" customHeight="1">
      <c r="A273" s="97">
        <f t="shared" ref="A273:A276" si="142">A272+1</f>
        <v>43361</v>
      </c>
      <c r="B273" s="192">
        <v>100.0</v>
      </c>
      <c r="C273" s="192">
        <v>150.44</v>
      </c>
      <c r="D273" s="192">
        <v>302.2</v>
      </c>
      <c r="E273" s="192">
        <v>250.0</v>
      </c>
      <c r="F273" s="193">
        <f t="shared" si="141"/>
        <v>802.64</v>
      </c>
      <c r="G273" s="81">
        <v>16.0</v>
      </c>
      <c r="H273" s="81">
        <v>4.0</v>
      </c>
      <c r="I273" s="192">
        <v>250.0</v>
      </c>
    </row>
    <row r="274" ht="12.75" customHeight="1">
      <c r="A274" s="97">
        <f t="shared" si="142"/>
        <v>43362</v>
      </c>
      <c r="B274" s="192">
        <v>150.0</v>
      </c>
      <c r="C274" s="192">
        <v>281.78</v>
      </c>
      <c r="D274" s="192">
        <v>740.0</v>
      </c>
      <c r="E274" s="192">
        <v>0.0</v>
      </c>
      <c r="F274" s="193">
        <f t="shared" si="141"/>
        <v>1171.78</v>
      </c>
      <c r="G274" s="81">
        <v>22.0</v>
      </c>
      <c r="H274" s="81">
        <v>7.0</v>
      </c>
      <c r="I274" s="192">
        <v>0.0</v>
      </c>
    </row>
    <row r="275" ht="12.75" customHeight="1">
      <c r="A275" s="97">
        <f t="shared" si="142"/>
        <v>43363</v>
      </c>
      <c r="B275" s="192">
        <v>400.0</v>
      </c>
      <c r="C275" s="192">
        <v>241.63</v>
      </c>
      <c r="D275" s="192">
        <v>1080.0</v>
      </c>
      <c r="E275" s="192">
        <v>100.0</v>
      </c>
      <c r="F275" s="193">
        <f t="shared" si="141"/>
        <v>1821.63</v>
      </c>
      <c r="G275" s="81">
        <v>31.0</v>
      </c>
      <c r="H275" s="81">
        <v>5.0</v>
      </c>
      <c r="I275" s="192">
        <v>100.0</v>
      </c>
    </row>
    <row r="276" ht="12.75" customHeight="1">
      <c r="A276" s="97">
        <f t="shared" si="142"/>
        <v>43364</v>
      </c>
      <c r="B276" s="192">
        <v>300.0</v>
      </c>
      <c r="C276" s="192">
        <v>130.6</v>
      </c>
      <c r="D276" s="192">
        <v>760.0</v>
      </c>
      <c r="E276" s="192">
        <v>70.0</v>
      </c>
      <c r="F276" s="193">
        <f t="shared" si="141"/>
        <v>1260.6</v>
      </c>
      <c r="G276" s="81">
        <v>22.0</v>
      </c>
      <c r="H276" s="81">
        <v>3.0</v>
      </c>
      <c r="I276" s="192">
        <v>70.0</v>
      </c>
    </row>
    <row r="277" ht="12.75" customHeight="1">
      <c r="A277" s="131"/>
      <c r="B277" s="157">
        <f t="shared" ref="B277:I277" si="143">SUM(B272:B276)</f>
        <v>1350</v>
      </c>
      <c r="C277" s="190">
        <f t="shared" si="143"/>
        <v>1120.11</v>
      </c>
      <c r="D277" s="190">
        <f t="shared" si="143"/>
        <v>3872.2</v>
      </c>
      <c r="E277" s="190">
        <f t="shared" si="143"/>
        <v>660</v>
      </c>
      <c r="F277" s="190">
        <f t="shared" si="143"/>
        <v>7002.31</v>
      </c>
      <c r="G277" s="133">
        <f t="shared" si="143"/>
        <v>126</v>
      </c>
      <c r="H277" s="133">
        <f t="shared" si="143"/>
        <v>27</v>
      </c>
      <c r="I277" s="191">
        <f t="shared" si="143"/>
        <v>670</v>
      </c>
    </row>
    <row r="278" ht="12.75" customHeight="1">
      <c r="A278" s="135"/>
      <c r="B278" s="75"/>
      <c r="C278" s="136"/>
      <c r="D278" s="136"/>
      <c r="E278" s="136"/>
      <c r="F278" s="136"/>
      <c r="G278" s="136"/>
      <c r="H278" s="136"/>
      <c r="I278" s="137"/>
    </row>
    <row r="279" ht="12.75" customHeight="1">
      <c r="A279" s="198">
        <f>A276+3</f>
        <v>43367</v>
      </c>
      <c r="B279" s="126">
        <v>70.0</v>
      </c>
      <c r="C279" s="126">
        <v>361.84</v>
      </c>
      <c r="D279" s="126">
        <v>650.0</v>
      </c>
      <c r="E279" s="199">
        <v>252.2</v>
      </c>
      <c r="F279" s="156">
        <f t="shared" ref="F279:F283" si="144">SUM(B279:E279)</f>
        <v>1334.04</v>
      </c>
      <c r="G279" s="59">
        <v>21.0</v>
      </c>
      <c r="H279" s="59">
        <v>7.0</v>
      </c>
      <c r="I279" s="189">
        <v>260.0</v>
      </c>
    </row>
    <row r="280" ht="12.75" customHeight="1">
      <c r="A280" s="200">
        <f t="shared" ref="A280:A283" si="145">A279+1</f>
        <v>43368</v>
      </c>
      <c r="B280" s="106">
        <v>440.0</v>
      </c>
      <c r="C280" s="106">
        <v>40.66</v>
      </c>
      <c r="D280" s="106">
        <v>370.0</v>
      </c>
      <c r="E280" s="201">
        <v>210.0</v>
      </c>
      <c r="F280" s="193">
        <f t="shared" si="144"/>
        <v>1060.66</v>
      </c>
      <c r="G280" s="202">
        <v>21.0</v>
      </c>
      <c r="H280" s="99">
        <v>1.0</v>
      </c>
      <c r="I280" s="101">
        <v>200.0</v>
      </c>
    </row>
    <row r="281" ht="12.75" customHeight="1">
      <c r="A281" s="200">
        <f t="shared" si="145"/>
        <v>43369</v>
      </c>
      <c r="B281" s="106">
        <v>270.0</v>
      </c>
      <c r="C281" s="106">
        <v>392.28</v>
      </c>
      <c r="D281" s="106">
        <v>512.62</v>
      </c>
      <c r="E281" s="201">
        <v>120.0</v>
      </c>
      <c r="F281" s="193">
        <f t="shared" si="144"/>
        <v>1294.9</v>
      </c>
      <c r="G281" s="203">
        <v>27.0</v>
      </c>
      <c r="H281" s="106">
        <v>10.0</v>
      </c>
      <c r="I281" s="108">
        <v>120.0</v>
      </c>
    </row>
    <row r="282" ht="12.75" customHeight="1">
      <c r="A282" s="200">
        <f t="shared" si="145"/>
        <v>43370</v>
      </c>
      <c r="B282" s="106">
        <v>250.0</v>
      </c>
      <c r="C282" s="106">
        <v>202.94</v>
      </c>
      <c r="D282" s="106">
        <v>1090.0</v>
      </c>
      <c r="E282" s="201">
        <v>140.0</v>
      </c>
      <c r="F282" s="193">
        <f t="shared" si="144"/>
        <v>1682.94</v>
      </c>
      <c r="G282" s="203">
        <v>28.0</v>
      </c>
      <c r="H282" s="106">
        <v>5.0</v>
      </c>
      <c r="I282" s="108">
        <v>140.0</v>
      </c>
    </row>
    <row r="283" ht="12.75" customHeight="1">
      <c r="A283" s="200">
        <f t="shared" si="145"/>
        <v>43371</v>
      </c>
      <c r="B283" s="106">
        <v>50.0</v>
      </c>
      <c r="C283" s="106">
        <v>162.64</v>
      </c>
      <c r="D283" s="106">
        <v>530.0</v>
      </c>
      <c r="E283" s="201">
        <v>150.0</v>
      </c>
      <c r="F283" s="193">
        <f t="shared" si="144"/>
        <v>892.64</v>
      </c>
      <c r="G283" s="203">
        <v>17.0</v>
      </c>
      <c r="H283" s="106">
        <v>4.0</v>
      </c>
      <c r="I283" s="108">
        <v>160.0</v>
      </c>
    </row>
    <row r="284" ht="12.75" customHeight="1">
      <c r="A284" s="204"/>
      <c r="B284" s="160">
        <f t="shared" ref="B284:I284" si="146">SUM(B279:B283)</f>
        <v>1080</v>
      </c>
      <c r="C284" s="160">
        <f t="shared" si="146"/>
        <v>1160.36</v>
      </c>
      <c r="D284" s="160">
        <f t="shared" si="146"/>
        <v>3152.62</v>
      </c>
      <c r="E284" s="160">
        <f t="shared" si="146"/>
        <v>872.2</v>
      </c>
      <c r="F284" s="205">
        <f t="shared" si="146"/>
        <v>6265.18</v>
      </c>
      <c r="G284" s="206">
        <f t="shared" si="146"/>
        <v>114</v>
      </c>
      <c r="H284" s="206">
        <f t="shared" si="146"/>
        <v>27</v>
      </c>
      <c r="I284" s="191">
        <f t="shared" si="146"/>
        <v>880</v>
      </c>
    </row>
    <row r="285" ht="12.75" customHeight="1">
      <c r="A285" s="148"/>
      <c r="B285" s="75"/>
      <c r="C285" s="75"/>
      <c r="D285" s="75"/>
      <c r="E285" s="75"/>
      <c r="F285" s="136"/>
      <c r="G285" s="136"/>
      <c r="H285" s="136"/>
      <c r="I285" s="207"/>
    </row>
    <row r="286" ht="12.75" customHeight="1">
      <c r="A286" s="58">
        <v>43374.0</v>
      </c>
      <c r="B286" s="59">
        <v>430.0</v>
      </c>
      <c r="C286" s="59">
        <v>284.36</v>
      </c>
      <c r="D286" s="66">
        <v>820.0</v>
      </c>
      <c r="E286" s="59">
        <v>240.0</v>
      </c>
      <c r="F286" s="60">
        <f t="shared" ref="F286:F290" si="147">SUM(B286:E286)</f>
        <v>1774.36</v>
      </c>
      <c r="G286" s="59">
        <v>33.0</v>
      </c>
      <c r="H286" s="59">
        <v>7.0</v>
      </c>
      <c r="I286" s="59">
        <v>240.0</v>
      </c>
    </row>
    <row r="287" ht="12.75" customHeight="1">
      <c r="A287" s="58">
        <f t="shared" ref="A287:A290" si="148">A286+1</f>
        <v>43375</v>
      </c>
      <c r="B287" s="59">
        <v>50.0</v>
      </c>
      <c r="C287" s="59">
        <v>284.62</v>
      </c>
      <c r="D287" s="59">
        <v>1280.0</v>
      </c>
      <c r="E287" s="59">
        <v>50.0</v>
      </c>
      <c r="F287" s="60">
        <f t="shared" si="147"/>
        <v>1664.62</v>
      </c>
      <c r="G287" s="59">
        <v>29.0</v>
      </c>
      <c r="H287" s="59">
        <v>7.0</v>
      </c>
      <c r="I287" s="59">
        <v>50.0</v>
      </c>
    </row>
    <row r="288" ht="12.75" customHeight="1">
      <c r="A288" s="58">
        <f t="shared" si="148"/>
        <v>43376</v>
      </c>
      <c r="B288" s="138"/>
      <c r="C288" s="138"/>
      <c r="D288" s="138"/>
      <c r="E288" s="138"/>
      <c r="F288" s="85">
        <f t="shared" si="147"/>
        <v>0</v>
      </c>
      <c r="G288" s="138"/>
      <c r="H288" s="138"/>
      <c r="I288" s="138"/>
    </row>
    <row r="289" ht="12.75" customHeight="1">
      <c r="A289" s="58">
        <f t="shared" si="148"/>
        <v>43377</v>
      </c>
      <c r="B289" s="138"/>
      <c r="C289" s="138"/>
      <c r="D289" s="138"/>
      <c r="E289" s="138"/>
      <c r="F289" s="85">
        <f t="shared" si="147"/>
        <v>0</v>
      </c>
      <c r="G289" s="138"/>
      <c r="H289" s="138"/>
      <c r="I289" s="138"/>
    </row>
    <row r="290" ht="12.75" customHeight="1">
      <c r="A290" s="58">
        <f t="shared" si="148"/>
        <v>43378</v>
      </c>
      <c r="B290" s="138"/>
      <c r="C290" s="138"/>
      <c r="D290" s="138"/>
      <c r="E290" s="138"/>
      <c r="F290" s="85">
        <f t="shared" si="147"/>
        <v>0</v>
      </c>
      <c r="G290" s="138"/>
      <c r="H290" s="138"/>
      <c r="I290" s="138"/>
    </row>
    <row r="291" ht="12.75" customHeight="1">
      <c r="A291" s="67"/>
      <c r="B291" s="68">
        <f t="shared" ref="B291:I291" si="149">SUM(B286:B290)</f>
        <v>480</v>
      </c>
      <c r="C291" s="68">
        <f t="shared" si="149"/>
        <v>568.98</v>
      </c>
      <c r="D291" s="68">
        <f t="shared" si="149"/>
        <v>2100</v>
      </c>
      <c r="E291" s="68">
        <f t="shared" si="149"/>
        <v>290</v>
      </c>
      <c r="F291" s="68">
        <f t="shared" si="149"/>
        <v>3438.98</v>
      </c>
      <c r="G291" s="70">
        <f t="shared" si="149"/>
        <v>62</v>
      </c>
      <c r="H291" s="70">
        <f t="shared" si="149"/>
        <v>14</v>
      </c>
      <c r="I291" s="91">
        <f t="shared" si="149"/>
        <v>290</v>
      </c>
    </row>
    <row r="292" ht="12.75" customHeight="1">
      <c r="A292" s="74"/>
      <c r="B292" s="92"/>
      <c r="C292" s="92"/>
      <c r="D292" s="92"/>
      <c r="E292" s="92"/>
      <c r="F292" s="75"/>
      <c r="G292" s="93"/>
      <c r="H292" s="93"/>
      <c r="I292" s="74"/>
    </row>
    <row r="293" ht="12.75" customHeight="1">
      <c r="A293" s="97">
        <f>A290+3</f>
        <v>43381</v>
      </c>
      <c r="B293" s="98">
        <v>100.0</v>
      </c>
      <c r="C293" s="99">
        <v>249.42</v>
      </c>
      <c r="D293" s="99">
        <v>490.0</v>
      </c>
      <c r="E293" s="99">
        <v>100.0</v>
      </c>
      <c r="F293" s="141">
        <f t="shared" ref="F293:F297" si="150">SUM(B293:E293)</f>
        <v>939.42</v>
      </c>
      <c r="G293" s="99">
        <v>18.0</v>
      </c>
      <c r="H293" s="99">
        <v>6.0</v>
      </c>
      <c r="I293" s="101">
        <v>100.0</v>
      </c>
    </row>
    <row r="294" ht="12.75" customHeight="1">
      <c r="A294" s="97">
        <f t="shared" ref="A294:A297" si="151">A293+1</f>
        <v>43382</v>
      </c>
      <c r="B294" s="112">
        <v>260.0</v>
      </c>
      <c r="C294" s="124">
        <v>244.38</v>
      </c>
      <c r="D294" s="124">
        <v>310.0</v>
      </c>
      <c r="E294" s="124">
        <v>90.0</v>
      </c>
      <c r="F294" s="141">
        <f t="shared" si="150"/>
        <v>904.38</v>
      </c>
      <c r="G294" s="124">
        <v>16.0</v>
      </c>
      <c r="H294" s="124">
        <v>6.0</v>
      </c>
      <c r="I294" s="208">
        <v>90.0</v>
      </c>
    </row>
    <row r="295" ht="12.75" customHeight="1">
      <c r="A295" s="97">
        <f t="shared" si="151"/>
        <v>43383</v>
      </c>
      <c r="B295" s="112">
        <v>120.0</v>
      </c>
      <c r="C295" s="124">
        <v>272.3</v>
      </c>
      <c r="D295" s="124">
        <v>770.0</v>
      </c>
      <c r="E295" s="124">
        <v>70.0</v>
      </c>
      <c r="F295" s="141">
        <f t="shared" si="150"/>
        <v>1232.3</v>
      </c>
      <c r="G295" s="124">
        <v>25.0</v>
      </c>
      <c r="H295" s="124">
        <v>7.0</v>
      </c>
      <c r="I295" s="208">
        <v>70.0</v>
      </c>
    </row>
    <row r="296" ht="12.75" customHeight="1">
      <c r="A296" s="97">
        <f t="shared" si="151"/>
        <v>43384</v>
      </c>
      <c r="B296" s="112">
        <v>240.0</v>
      </c>
      <c r="C296" s="124">
        <v>272.55</v>
      </c>
      <c r="D296" s="124">
        <v>1000.0</v>
      </c>
      <c r="E296" s="124">
        <v>70.0</v>
      </c>
      <c r="F296" s="141">
        <f t="shared" si="150"/>
        <v>1582.55</v>
      </c>
      <c r="G296" s="124">
        <v>26.0</v>
      </c>
      <c r="H296" s="124">
        <v>6.0</v>
      </c>
      <c r="I296" s="208">
        <v>70.0</v>
      </c>
    </row>
    <row r="297" ht="12.75" customHeight="1">
      <c r="A297" s="97">
        <f t="shared" si="151"/>
        <v>43385</v>
      </c>
      <c r="B297" s="166">
        <v>230.0</v>
      </c>
      <c r="C297" s="124">
        <v>164.04</v>
      </c>
      <c r="D297" s="124">
        <v>890.0</v>
      </c>
      <c r="E297" s="124">
        <v>260.0</v>
      </c>
      <c r="F297" s="141">
        <f t="shared" si="150"/>
        <v>1544.04</v>
      </c>
      <c r="G297" s="124">
        <v>24.0</v>
      </c>
      <c r="H297" s="124">
        <v>4.0</v>
      </c>
      <c r="I297" s="208">
        <v>270.0</v>
      </c>
    </row>
    <row r="298" ht="12.75" customHeight="1">
      <c r="A298" s="67"/>
      <c r="B298" s="91">
        <f t="shared" ref="B298:I298" si="152">SUM(B293:B297)</f>
        <v>950</v>
      </c>
      <c r="C298" s="91">
        <f t="shared" si="152"/>
        <v>1202.69</v>
      </c>
      <c r="D298" s="91">
        <f t="shared" si="152"/>
        <v>3460</v>
      </c>
      <c r="E298" s="91">
        <f t="shared" si="152"/>
        <v>590</v>
      </c>
      <c r="F298" s="91">
        <f t="shared" si="152"/>
        <v>6202.69</v>
      </c>
      <c r="G298" s="70">
        <f t="shared" si="152"/>
        <v>109</v>
      </c>
      <c r="H298" s="70">
        <f t="shared" si="152"/>
        <v>29</v>
      </c>
      <c r="I298" s="91">
        <f t="shared" si="152"/>
        <v>600</v>
      </c>
    </row>
    <row r="299" ht="12.75" customHeight="1">
      <c r="A299" s="74"/>
      <c r="B299" s="74"/>
      <c r="C299" s="74"/>
      <c r="D299" s="74"/>
      <c r="E299" s="74"/>
      <c r="F299" s="74"/>
      <c r="G299" s="93"/>
      <c r="H299" s="93"/>
      <c r="I299" s="74"/>
    </row>
    <row r="300" ht="12.75" customHeight="1">
      <c r="A300" s="64">
        <f>A297+3</f>
        <v>43388</v>
      </c>
      <c r="B300" s="112">
        <v>570.0</v>
      </c>
      <c r="C300" s="124">
        <v>164.04</v>
      </c>
      <c r="D300" s="124">
        <v>840.0</v>
      </c>
      <c r="E300" s="124">
        <v>170.0</v>
      </c>
      <c r="F300" s="141">
        <f t="shared" ref="F300:F304" si="153">SUM(B300:E300)</f>
        <v>1744.04</v>
      </c>
      <c r="G300" s="99">
        <v>31.0</v>
      </c>
      <c r="H300" s="99">
        <v>4.0</v>
      </c>
      <c r="I300" s="59">
        <v>200.0</v>
      </c>
    </row>
    <row r="301" ht="12.75" customHeight="1">
      <c r="A301" s="64">
        <f t="shared" ref="A301:A304" si="154">A300+1</f>
        <v>43389</v>
      </c>
      <c r="B301" s="112">
        <v>170.0</v>
      </c>
      <c r="C301" s="124">
        <v>201.98</v>
      </c>
      <c r="D301" s="124">
        <v>640.0</v>
      </c>
      <c r="E301" s="124">
        <v>140.0</v>
      </c>
      <c r="F301" s="141">
        <f t="shared" si="153"/>
        <v>1151.98</v>
      </c>
      <c r="G301" s="99">
        <v>21.0</v>
      </c>
      <c r="H301" s="99">
        <v>5.0</v>
      </c>
      <c r="I301" s="59">
        <v>140.0</v>
      </c>
    </row>
    <row r="302" ht="12.75" customHeight="1">
      <c r="A302" s="64">
        <f t="shared" si="154"/>
        <v>43390</v>
      </c>
      <c r="B302" s="112">
        <v>320.0</v>
      </c>
      <c r="C302" s="124">
        <v>311.2</v>
      </c>
      <c r="D302" s="124">
        <v>740.0</v>
      </c>
      <c r="E302" s="124">
        <v>0.0</v>
      </c>
      <c r="F302" s="141">
        <f t="shared" si="153"/>
        <v>1371.2</v>
      </c>
      <c r="G302" s="99">
        <v>28.0</v>
      </c>
      <c r="H302" s="99">
        <v>8.0</v>
      </c>
      <c r="I302" s="59">
        <v>0.0</v>
      </c>
    </row>
    <row r="303" ht="12.75" customHeight="1">
      <c r="A303" s="64">
        <f t="shared" si="154"/>
        <v>43391</v>
      </c>
      <c r="B303" s="112">
        <v>710.0</v>
      </c>
      <c r="C303" s="124">
        <v>204.7</v>
      </c>
      <c r="D303" s="124">
        <v>930.0</v>
      </c>
      <c r="E303" s="124">
        <v>70.0</v>
      </c>
      <c r="F303" s="141">
        <f t="shared" si="153"/>
        <v>1914.7</v>
      </c>
      <c r="G303" s="99">
        <v>32.0</v>
      </c>
      <c r="H303" s="99">
        <v>6.0</v>
      </c>
      <c r="I303" s="59">
        <v>70.0</v>
      </c>
    </row>
    <row r="304" ht="12.75" customHeight="1">
      <c r="A304" s="64">
        <f t="shared" si="154"/>
        <v>43392</v>
      </c>
      <c r="B304" s="112">
        <v>290.0</v>
      </c>
      <c r="C304" s="124">
        <v>174.75</v>
      </c>
      <c r="D304" s="124">
        <v>770.0</v>
      </c>
      <c r="E304" s="124">
        <v>85.0</v>
      </c>
      <c r="F304" s="141">
        <f t="shared" si="153"/>
        <v>1319.75</v>
      </c>
      <c r="G304" s="99">
        <v>23.0</v>
      </c>
      <c r="H304" s="99">
        <v>4.0</v>
      </c>
      <c r="I304" s="59">
        <v>80.0</v>
      </c>
    </row>
    <row r="305" ht="12.75" customHeight="1">
      <c r="A305" s="67"/>
      <c r="B305" s="68">
        <f t="shared" ref="B305:I305" si="155">SUM(B300:B304)</f>
        <v>2060</v>
      </c>
      <c r="C305" s="68">
        <f t="shared" si="155"/>
        <v>1056.67</v>
      </c>
      <c r="D305" s="68">
        <f t="shared" si="155"/>
        <v>3920</v>
      </c>
      <c r="E305" s="68">
        <f t="shared" si="155"/>
        <v>465</v>
      </c>
      <c r="F305" s="68">
        <f t="shared" si="155"/>
        <v>7501.67</v>
      </c>
      <c r="G305" s="140">
        <f t="shared" si="155"/>
        <v>135</v>
      </c>
      <c r="H305" s="140">
        <f t="shared" si="155"/>
        <v>27</v>
      </c>
      <c r="I305" s="91">
        <f t="shared" si="155"/>
        <v>490</v>
      </c>
    </row>
    <row r="306" ht="12.75" customHeight="1">
      <c r="A306" s="74"/>
      <c r="B306" s="75"/>
      <c r="C306" s="75"/>
      <c r="D306" s="75"/>
      <c r="E306" s="75"/>
      <c r="F306" s="75"/>
      <c r="G306" s="92"/>
      <c r="H306" s="92"/>
      <c r="I306" s="74"/>
    </row>
    <row r="307" ht="12.75" customHeight="1">
      <c r="A307" s="161">
        <f>A304+3</f>
        <v>43395</v>
      </c>
      <c r="B307" s="112">
        <v>710.0</v>
      </c>
      <c r="C307" s="112">
        <v>245.36</v>
      </c>
      <c r="D307" s="112">
        <v>780.0</v>
      </c>
      <c r="E307" s="112">
        <v>90.0</v>
      </c>
      <c r="F307" s="209">
        <f t="shared" ref="F307:F311" si="156">SUM(B307:E307)</f>
        <v>1825.36</v>
      </c>
      <c r="G307" s="98">
        <v>35.0</v>
      </c>
      <c r="H307" s="101">
        <v>7.0</v>
      </c>
      <c r="I307" s="59">
        <v>100.0</v>
      </c>
    </row>
    <row r="308" ht="12.75" customHeight="1">
      <c r="A308" s="162">
        <f t="shared" ref="A308:A311" si="157">A307+1</f>
        <v>43396</v>
      </c>
      <c r="B308" s="112">
        <v>290.0</v>
      </c>
      <c r="C308" s="112">
        <v>192.64</v>
      </c>
      <c r="D308" s="112">
        <v>990.0</v>
      </c>
      <c r="E308" s="112">
        <v>290.0</v>
      </c>
      <c r="F308" s="209">
        <f t="shared" si="156"/>
        <v>1762.64</v>
      </c>
      <c r="G308" s="112">
        <v>32.0</v>
      </c>
      <c r="H308" s="112">
        <v>6.0</v>
      </c>
      <c r="I308" s="59">
        <v>280.0</v>
      </c>
    </row>
    <row r="309" ht="12.75" customHeight="1">
      <c r="A309" s="162">
        <f t="shared" si="157"/>
        <v>43397</v>
      </c>
      <c r="B309" s="112">
        <v>390.0</v>
      </c>
      <c r="C309" s="112">
        <v>223.94</v>
      </c>
      <c r="D309" s="112">
        <v>550.0</v>
      </c>
      <c r="E309" s="112">
        <v>282.62</v>
      </c>
      <c r="F309" s="209">
        <f t="shared" si="156"/>
        <v>1446.56</v>
      </c>
      <c r="G309" s="112">
        <v>27.0</v>
      </c>
      <c r="H309" s="112">
        <v>6.0</v>
      </c>
      <c r="I309" s="59">
        <v>280.0</v>
      </c>
    </row>
    <row r="310" ht="12.75" customHeight="1">
      <c r="A310" s="162">
        <f t="shared" si="157"/>
        <v>43398</v>
      </c>
      <c r="B310" s="112">
        <v>440.0</v>
      </c>
      <c r="C310" s="112">
        <v>160.88</v>
      </c>
      <c r="D310" s="112">
        <v>1010.0</v>
      </c>
      <c r="E310" s="112">
        <v>70.0</v>
      </c>
      <c r="F310" s="209">
        <f t="shared" si="156"/>
        <v>1680.88</v>
      </c>
      <c r="G310" s="112">
        <v>31.0</v>
      </c>
      <c r="H310" s="112">
        <v>4.0</v>
      </c>
      <c r="I310" s="59">
        <v>70.0</v>
      </c>
    </row>
    <row r="311" ht="12.75" customHeight="1">
      <c r="A311" s="162">
        <f t="shared" si="157"/>
        <v>43399</v>
      </c>
      <c r="B311" s="166">
        <v>240.0</v>
      </c>
      <c r="C311" s="166">
        <v>367.18</v>
      </c>
      <c r="D311" s="166">
        <v>540.0</v>
      </c>
      <c r="E311" s="166">
        <v>100.0</v>
      </c>
      <c r="F311" s="210">
        <f t="shared" si="156"/>
        <v>1247.18</v>
      </c>
      <c r="G311" s="166">
        <v>28.0</v>
      </c>
      <c r="H311" s="166">
        <v>14.0</v>
      </c>
      <c r="I311" s="211">
        <v>100.0</v>
      </c>
    </row>
    <row r="312" ht="12.75" customHeight="1">
      <c r="A312" s="67"/>
      <c r="B312" s="68">
        <f t="shared" ref="B312:I312" si="158">SUM(B307:B311)</f>
        <v>2070</v>
      </c>
      <c r="C312" s="68">
        <f t="shared" si="158"/>
        <v>1190</v>
      </c>
      <c r="D312" s="68">
        <f t="shared" si="158"/>
        <v>3870</v>
      </c>
      <c r="E312" s="68">
        <f t="shared" si="158"/>
        <v>832.62</v>
      </c>
      <c r="F312" s="68">
        <f t="shared" si="158"/>
        <v>7962.62</v>
      </c>
      <c r="G312" s="140">
        <f t="shared" si="158"/>
        <v>153</v>
      </c>
      <c r="H312" s="140">
        <f t="shared" si="158"/>
        <v>37</v>
      </c>
      <c r="I312" s="91">
        <f t="shared" si="158"/>
        <v>830</v>
      </c>
    </row>
    <row r="313" ht="12.75" customHeight="1">
      <c r="A313" s="74"/>
      <c r="B313" s="75"/>
      <c r="C313" s="75"/>
      <c r="D313" s="75"/>
      <c r="E313" s="75"/>
      <c r="F313" s="75"/>
      <c r="G313" s="92"/>
      <c r="H313" s="92"/>
      <c r="I313" s="94"/>
    </row>
    <row r="314" ht="12.75" customHeight="1">
      <c r="A314" s="162">
        <f>A311+3</f>
        <v>43402</v>
      </c>
      <c r="B314" s="260"/>
      <c r="C314" s="260"/>
      <c r="D314" s="260"/>
      <c r="E314" s="260"/>
      <c r="F314" s="261">
        <f t="shared" ref="F314:F315" si="159">SUM(B314:E314)</f>
        <v>0</v>
      </c>
      <c r="G314" s="175"/>
      <c r="H314" s="176"/>
      <c r="I314" s="178"/>
    </row>
    <row r="315" ht="12.75" customHeight="1">
      <c r="A315" s="162">
        <f>A314+1</f>
        <v>43403</v>
      </c>
      <c r="B315" s="260"/>
      <c r="C315" s="260"/>
      <c r="D315" s="260"/>
      <c r="E315" s="260"/>
      <c r="F315" s="262">
        <f t="shared" si="159"/>
        <v>0</v>
      </c>
      <c r="G315" s="184"/>
      <c r="H315" s="172"/>
      <c r="I315" s="173"/>
    </row>
    <row r="316" ht="12.75" customHeight="1">
      <c r="A316" s="67"/>
      <c r="B316" s="68">
        <f t="shared" ref="B316:I316" si="160">SUM(B314:B315)</f>
        <v>0</v>
      </c>
      <c r="C316" s="68">
        <f t="shared" si="160"/>
        <v>0</v>
      </c>
      <c r="D316" s="68">
        <f t="shared" si="160"/>
        <v>0</v>
      </c>
      <c r="E316" s="68">
        <f t="shared" si="160"/>
        <v>0</v>
      </c>
      <c r="F316" s="68">
        <f t="shared" si="160"/>
        <v>0</v>
      </c>
      <c r="G316" s="128">
        <f t="shared" si="160"/>
        <v>0</v>
      </c>
      <c r="H316" s="128">
        <f t="shared" si="160"/>
        <v>0</v>
      </c>
      <c r="I316" s="145">
        <f t="shared" si="160"/>
        <v>0</v>
      </c>
    </row>
    <row r="317" ht="12.75" customHeight="1">
      <c r="A317" s="74"/>
      <c r="B317" s="75"/>
      <c r="C317" s="75"/>
      <c r="D317" s="75"/>
      <c r="E317" s="75"/>
      <c r="F317" s="75"/>
      <c r="G317" s="75"/>
      <c r="H317" s="75"/>
      <c r="I317" s="74"/>
    </row>
    <row r="318" ht="12.75" customHeight="1">
      <c r="A318" s="80">
        <f>A315+1</f>
        <v>43404</v>
      </c>
      <c r="B318" s="212"/>
      <c r="C318" s="212"/>
      <c r="D318" s="212"/>
      <c r="E318" s="212"/>
      <c r="F318" s="212"/>
      <c r="G318" s="154"/>
      <c r="H318" s="154"/>
      <c r="I318" s="214"/>
    </row>
    <row r="319" ht="12.75" customHeight="1">
      <c r="A319" s="80">
        <v>43405.0</v>
      </c>
      <c r="B319" s="212"/>
      <c r="C319" s="212"/>
      <c r="D319" s="212"/>
      <c r="E319" s="212"/>
      <c r="F319" s="212"/>
      <c r="G319" s="154"/>
      <c r="H319" s="154"/>
      <c r="I319" s="214"/>
    </row>
    <row r="320" ht="12.75" customHeight="1">
      <c r="A320" s="80">
        <f>A319+1</f>
        <v>43406</v>
      </c>
      <c r="B320" s="212"/>
      <c r="C320" s="212"/>
      <c r="D320" s="212"/>
      <c r="E320" s="212"/>
      <c r="F320" s="212"/>
      <c r="G320" s="84"/>
      <c r="H320" s="84"/>
      <c r="I320" s="214"/>
    </row>
    <row r="321" ht="12.75" customHeight="1">
      <c r="A321" s="67"/>
      <c r="B321" s="217">
        <f t="shared" ref="B321:I321" si="161">SUM(B319:B320)</f>
        <v>0</v>
      </c>
      <c r="C321" s="217">
        <f t="shared" si="161"/>
        <v>0</v>
      </c>
      <c r="D321" s="217">
        <f t="shared" si="161"/>
        <v>0</v>
      </c>
      <c r="E321" s="217">
        <f t="shared" si="161"/>
        <v>0</v>
      </c>
      <c r="F321" s="217">
        <f t="shared" si="161"/>
        <v>0</v>
      </c>
      <c r="G321" s="218">
        <f t="shared" si="161"/>
        <v>0</v>
      </c>
      <c r="H321" s="218">
        <f t="shared" si="161"/>
        <v>0</v>
      </c>
      <c r="I321" s="217">
        <f t="shared" si="161"/>
        <v>0</v>
      </c>
    </row>
    <row r="322" ht="12.75" customHeight="1">
      <c r="A322" s="74"/>
      <c r="B322" s="74"/>
      <c r="C322" s="74"/>
      <c r="D322" s="74"/>
      <c r="E322" s="74"/>
      <c r="F322" s="263"/>
      <c r="G322" s="74"/>
      <c r="H322" s="74"/>
      <c r="I322" s="74"/>
    </row>
    <row r="323" ht="12.75" customHeight="1">
      <c r="A323" s="97">
        <f>A320+3</f>
        <v>43409</v>
      </c>
      <c r="B323" s="220">
        <v>150.0</v>
      </c>
      <c r="C323" s="221">
        <v>120.22</v>
      </c>
      <c r="D323" s="221">
        <v>850.0</v>
      </c>
      <c r="E323" s="221">
        <v>50.0</v>
      </c>
      <c r="F323" s="222">
        <f t="shared" ref="F323:F327" si="162">SUM(B323:E323)</f>
        <v>1170.22</v>
      </c>
      <c r="G323" s="99">
        <v>20.0</v>
      </c>
      <c r="H323" s="99">
        <v>3.0</v>
      </c>
      <c r="I323" s="223">
        <v>50.0</v>
      </c>
    </row>
    <row r="324" ht="12.75" customHeight="1">
      <c r="A324" s="97">
        <f t="shared" ref="A324:A327" si="163">A323+1</f>
        <v>43410</v>
      </c>
      <c r="B324" s="224">
        <v>190.0</v>
      </c>
      <c r="C324" s="225">
        <v>242.2</v>
      </c>
      <c r="D324" s="225">
        <v>610.0</v>
      </c>
      <c r="E324" s="225">
        <v>220.0</v>
      </c>
      <c r="F324" s="222">
        <f t="shared" si="162"/>
        <v>1262.2</v>
      </c>
      <c r="G324" s="81">
        <v>23.0</v>
      </c>
      <c r="H324" s="81">
        <v>7.0</v>
      </c>
      <c r="I324" s="226">
        <v>200.0</v>
      </c>
    </row>
    <row r="325" ht="12.75" customHeight="1">
      <c r="A325" s="97">
        <f t="shared" si="163"/>
        <v>43411</v>
      </c>
      <c r="B325" s="224">
        <v>170.0</v>
      </c>
      <c r="C325" s="225">
        <v>278.62</v>
      </c>
      <c r="D325" s="225">
        <v>780.0</v>
      </c>
      <c r="E325" s="225">
        <v>50.0</v>
      </c>
      <c r="F325" s="222">
        <f t="shared" si="162"/>
        <v>1278.62</v>
      </c>
      <c r="G325" s="81">
        <v>28.0</v>
      </c>
      <c r="H325" s="81">
        <v>7.0</v>
      </c>
      <c r="I325" s="226">
        <v>50.0</v>
      </c>
    </row>
    <row r="326" ht="12.75" customHeight="1">
      <c r="A326" s="97">
        <f t="shared" si="163"/>
        <v>43412</v>
      </c>
      <c r="B326" s="224">
        <v>720.0</v>
      </c>
      <c r="C326" s="225">
        <v>124.78</v>
      </c>
      <c r="D326" s="225">
        <v>970.0</v>
      </c>
      <c r="E326" s="225">
        <v>100.0</v>
      </c>
      <c r="F326" s="222">
        <f t="shared" si="162"/>
        <v>1914.78</v>
      </c>
      <c r="G326" s="81">
        <v>29.0</v>
      </c>
      <c r="H326" s="81">
        <v>3.0</v>
      </c>
      <c r="I326" s="226">
        <v>100.0</v>
      </c>
    </row>
    <row r="327" ht="12.75" customHeight="1">
      <c r="A327" s="97">
        <f t="shared" si="163"/>
        <v>43413</v>
      </c>
      <c r="B327" s="224">
        <f>150+18.84</f>
        <v>168.84</v>
      </c>
      <c r="C327" s="225">
        <f>250.6-18.84</f>
        <v>231.76</v>
      </c>
      <c r="D327" s="225">
        <v>660.0</v>
      </c>
      <c r="E327" s="225">
        <v>0.0</v>
      </c>
      <c r="F327" s="222">
        <f t="shared" si="162"/>
        <v>1060.6</v>
      </c>
      <c r="G327" s="81">
        <v>17.0</v>
      </c>
      <c r="H327" s="81">
        <v>5.0</v>
      </c>
      <c r="I327" s="226">
        <v>0.0</v>
      </c>
    </row>
    <row r="328" ht="12.75" customHeight="1">
      <c r="A328" s="131"/>
      <c r="B328" s="217">
        <f t="shared" ref="B328:I328" si="164">SUM(B323:B327)</f>
        <v>1398.84</v>
      </c>
      <c r="C328" s="217">
        <f t="shared" si="164"/>
        <v>997.58</v>
      </c>
      <c r="D328" s="217">
        <f t="shared" si="164"/>
        <v>3870</v>
      </c>
      <c r="E328" s="217">
        <f t="shared" si="164"/>
        <v>420</v>
      </c>
      <c r="F328" s="217">
        <f t="shared" si="164"/>
        <v>6686.42</v>
      </c>
      <c r="G328" s="218">
        <f t="shared" si="164"/>
        <v>117</v>
      </c>
      <c r="H328" s="218">
        <f t="shared" si="164"/>
        <v>25</v>
      </c>
      <c r="I328" s="217">
        <f t="shared" si="164"/>
        <v>400</v>
      </c>
    </row>
    <row r="329" ht="12.75" customHeight="1">
      <c r="A329" s="148"/>
      <c r="B329" s="74"/>
      <c r="C329" s="74"/>
      <c r="D329" s="74"/>
      <c r="E329" s="74"/>
      <c r="F329" s="74"/>
      <c r="G329" s="74"/>
      <c r="H329" s="74"/>
      <c r="I329" s="74"/>
    </row>
    <row r="330" ht="12.75" customHeight="1">
      <c r="A330" s="58">
        <f>A327+3</f>
        <v>43416</v>
      </c>
      <c r="B330" s="227">
        <v>150.0</v>
      </c>
      <c r="C330" s="228">
        <v>144.75</v>
      </c>
      <c r="D330" s="228">
        <v>1490.0</v>
      </c>
      <c r="E330" s="228">
        <v>150.0</v>
      </c>
      <c r="F330" s="213">
        <f t="shared" ref="F330:F334" si="165">SUM(B330:E330)</f>
        <v>1934.75</v>
      </c>
      <c r="G330" s="59">
        <v>32.0</v>
      </c>
      <c r="H330" s="59">
        <v>3.0</v>
      </c>
      <c r="I330" s="229">
        <v>130.0</v>
      </c>
    </row>
    <row r="331" ht="12.75" customHeight="1">
      <c r="A331" s="58">
        <f t="shared" ref="A331:A334" si="166">A330+1</f>
        <v>43417</v>
      </c>
      <c r="B331" s="227">
        <v>340.0</v>
      </c>
      <c r="C331" s="228">
        <v>40.66</v>
      </c>
      <c r="D331" s="228">
        <v>370.0</v>
      </c>
      <c r="E331" s="228">
        <v>50.0</v>
      </c>
      <c r="F331" s="213">
        <f t="shared" si="165"/>
        <v>800.66</v>
      </c>
      <c r="G331" s="81">
        <v>13.0</v>
      </c>
      <c r="H331" s="81">
        <v>1.0</v>
      </c>
      <c r="I331" s="229">
        <v>50.0</v>
      </c>
    </row>
    <row r="332" ht="12.75" customHeight="1">
      <c r="A332" s="58">
        <f t="shared" si="166"/>
        <v>43418</v>
      </c>
      <c r="B332" s="227">
        <v>100.0</v>
      </c>
      <c r="C332" s="228">
        <v>278.62</v>
      </c>
      <c r="D332" s="228">
        <v>770.0</v>
      </c>
      <c r="E332" s="228">
        <v>100.0</v>
      </c>
      <c r="F332" s="213">
        <f t="shared" si="165"/>
        <v>1248.62</v>
      </c>
      <c r="G332" s="81">
        <v>24.0</v>
      </c>
      <c r="H332" s="81">
        <v>7.0</v>
      </c>
      <c r="I332" s="229">
        <v>100.0</v>
      </c>
    </row>
    <row r="333" ht="12.75" customHeight="1">
      <c r="A333" s="58">
        <f t="shared" si="166"/>
        <v>43419</v>
      </c>
      <c r="B333" s="227">
        <v>270.0</v>
      </c>
      <c r="C333" s="228">
        <v>475.14</v>
      </c>
      <c r="D333" s="228">
        <v>980.0</v>
      </c>
      <c r="E333" s="228">
        <v>150.0</v>
      </c>
      <c r="F333" s="213">
        <f t="shared" si="165"/>
        <v>1875.14</v>
      </c>
      <c r="G333" s="81">
        <v>34.0</v>
      </c>
      <c r="H333" s="81">
        <v>13.0</v>
      </c>
      <c r="I333" s="229">
        <v>150.0</v>
      </c>
    </row>
    <row r="334" ht="12.75" customHeight="1">
      <c r="A334" s="58">
        <f t="shared" si="166"/>
        <v>43420</v>
      </c>
      <c r="B334" s="227">
        <v>200.0</v>
      </c>
      <c r="C334" s="228">
        <v>321.84</v>
      </c>
      <c r="D334" s="228">
        <v>840.0</v>
      </c>
      <c r="E334" s="228">
        <v>100.0</v>
      </c>
      <c r="F334" s="213">
        <f t="shared" si="165"/>
        <v>1461.84</v>
      </c>
      <c r="G334" s="81">
        <v>26.0</v>
      </c>
      <c r="H334" s="81">
        <v>8.0</v>
      </c>
      <c r="I334" s="229">
        <v>100.0</v>
      </c>
    </row>
    <row r="335" ht="12.75" customHeight="1">
      <c r="A335" s="67"/>
      <c r="B335" s="215">
        <f t="shared" ref="B335:I335" si="167">SUM(B330:B334)</f>
        <v>1060</v>
      </c>
      <c r="C335" s="215">
        <f t="shared" si="167"/>
        <v>1261.01</v>
      </c>
      <c r="D335" s="215">
        <f t="shared" si="167"/>
        <v>4450</v>
      </c>
      <c r="E335" s="215">
        <f t="shared" si="167"/>
        <v>550</v>
      </c>
      <c r="F335" s="216">
        <f t="shared" si="167"/>
        <v>7321.01</v>
      </c>
      <c r="G335" s="218">
        <f t="shared" si="167"/>
        <v>129</v>
      </c>
      <c r="H335" s="218">
        <f t="shared" si="167"/>
        <v>32</v>
      </c>
      <c r="I335" s="217">
        <f t="shared" si="167"/>
        <v>530</v>
      </c>
    </row>
    <row r="336" ht="12.75" customHeight="1">
      <c r="A336" s="74"/>
      <c r="B336" s="92"/>
      <c r="C336" s="92"/>
      <c r="D336" s="92"/>
      <c r="E336" s="92"/>
      <c r="F336" s="234"/>
      <c r="G336" s="74"/>
      <c r="H336" s="74"/>
      <c r="I336" s="94"/>
    </row>
    <row r="337" ht="12.75" customHeight="1">
      <c r="A337" s="97">
        <f>A334+3</f>
        <v>43423</v>
      </c>
      <c r="B337" s="220">
        <v>0.0</v>
      </c>
      <c r="C337" s="221">
        <v>201.54</v>
      </c>
      <c r="D337" s="221">
        <v>660.0</v>
      </c>
      <c r="E337" s="221">
        <v>160.0</v>
      </c>
      <c r="F337" s="235">
        <f t="shared" ref="F337:F341" si="168">SUM(B337:E337)</f>
        <v>1021.54</v>
      </c>
      <c r="G337" s="59">
        <v>19.0</v>
      </c>
      <c r="H337" s="59">
        <v>5.0</v>
      </c>
      <c r="I337" s="223">
        <v>180.0</v>
      </c>
    </row>
    <row r="338" ht="12.75" customHeight="1">
      <c r="A338" s="97">
        <f t="shared" ref="A338:A341" si="169">A337+1</f>
        <v>43424</v>
      </c>
      <c r="B338" s="227">
        <v>70.0</v>
      </c>
      <c r="C338" s="228">
        <v>198.02</v>
      </c>
      <c r="D338" s="228">
        <v>610.0</v>
      </c>
      <c r="E338" s="228">
        <v>100.0</v>
      </c>
      <c r="F338" s="235">
        <f t="shared" si="168"/>
        <v>978.02</v>
      </c>
      <c r="G338" s="81">
        <v>21.0</v>
      </c>
      <c r="H338" s="81">
        <v>5.0</v>
      </c>
      <c r="I338" s="236">
        <v>100.0</v>
      </c>
    </row>
    <row r="339" ht="12.75" customHeight="1">
      <c r="A339" s="97">
        <f t="shared" si="169"/>
        <v>43425</v>
      </c>
      <c r="B339" s="227">
        <v>220.0</v>
      </c>
      <c r="C339" s="228">
        <v>197.66</v>
      </c>
      <c r="D339" s="228">
        <v>540.0</v>
      </c>
      <c r="E339" s="228">
        <v>150.0</v>
      </c>
      <c r="F339" s="235">
        <f t="shared" si="168"/>
        <v>1107.66</v>
      </c>
      <c r="G339" s="81">
        <v>23.0</v>
      </c>
      <c r="H339" s="81">
        <v>5.0</v>
      </c>
      <c r="I339" s="236">
        <v>150.0</v>
      </c>
    </row>
    <row r="340" ht="12.75" customHeight="1">
      <c r="A340" s="97">
        <f t="shared" si="169"/>
        <v>43426</v>
      </c>
      <c r="B340" s="227">
        <v>568.84</v>
      </c>
      <c r="C340" s="228">
        <f>208.18+101.16</f>
        <v>309.34</v>
      </c>
      <c r="D340" s="228">
        <v>400.0</v>
      </c>
      <c r="E340" s="228">
        <v>190.0</v>
      </c>
      <c r="F340" s="235">
        <f t="shared" si="168"/>
        <v>1468.18</v>
      </c>
      <c r="G340" s="81">
        <v>24.0</v>
      </c>
      <c r="H340" s="81">
        <v>5.0</v>
      </c>
      <c r="I340" s="236">
        <v>190.0</v>
      </c>
    </row>
    <row r="341" ht="12.75" customHeight="1">
      <c r="A341" s="97">
        <f t="shared" si="169"/>
        <v>43427</v>
      </c>
      <c r="B341" s="227">
        <v>440.0</v>
      </c>
      <c r="C341" s="228">
        <v>193.35</v>
      </c>
      <c r="D341" s="228">
        <f>1030+12.2</f>
        <v>1042.2</v>
      </c>
      <c r="E341" s="228">
        <v>100.0</v>
      </c>
      <c r="F341" s="235">
        <f t="shared" si="168"/>
        <v>1775.55</v>
      </c>
      <c r="G341" s="81">
        <v>30.0</v>
      </c>
      <c r="H341" s="81">
        <v>5.0</v>
      </c>
      <c r="I341" s="237">
        <v>100.0</v>
      </c>
    </row>
    <row r="342" ht="12.75" customHeight="1">
      <c r="A342" s="67"/>
      <c r="B342" s="215">
        <f t="shared" ref="B342:I342" si="170">SUM(B337:B341)</f>
        <v>1298.84</v>
      </c>
      <c r="C342" s="215">
        <f t="shared" si="170"/>
        <v>1099.91</v>
      </c>
      <c r="D342" s="215">
        <f t="shared" si="170"/>
        <v>3252.2</v>
      </c>
      <c r="E342" s="215">
        <f t="shared" si="170"/>
        <v>700</v>
      </c>
      <c r="F342" s="216">
        <f t="shared" si="170"/>
        <v>6350.95</v>
      </c>
      <c r="G342" s="218">
        <f t="shared" si="170"/>
        <v>117</v>
      </c>
      <c r="H342" s="218">
        <f t="shared" si="170"/>
        <v>25</v>
      </c>
      <c r="I342" s="217">
        <f t="shared" si="170"/>
        <v>720</v>
      </c>
    </row>
    <row r="343" ht="12.75" customHeight="1">
      <c r="A343" s="74"/>
      <c r="B343" s="92"/>
      <c r="C343" s="92"/>
      <c r="D343" s="92"/>
      <c r="E343" s="92"/>
      <c r="F343" s="234"/>
      <c r="G343" s="94"/>
      <c r="H343" s="94"/>
      <c r="I343" s="94"/>
    </row>
    <row r="344" ht="12.75" customHeight="1">
      <c r="A344" s="97">
        <f>A341+3</f>
        <v>43430</v>
      </c>
      <c r="B344" s="220">
        <v>310.0</v>
      </c>
      <c r="C344" s="221">
        <v>350.4</v>
      </c>
      <c r="D344" s="221">
        <v>600.0</v>
      </c>
      <c r="E344" s="223">
        <v>280.0</v>
      </c>
      <c r="F344" s="238">
        <f t="shared" ref="F344:F348" si="171">SUM(B344:E344)</f>
        <v>1540.4</v>
      </c>
      <c r="G344" s="98">
        <v>31.0</v>
      </c>
      <c r="H344" s="99">
        <v>8.0</v>
      </c>
      <c r="I344" s="223">
        <v>280.0</v>
      </c>
    </row>
    <row r="345" ht="12.75" customHeight="1">
      <c r="A345" s="97">
        <f t="shared" ref="A345:A348" si="172">A344+1</f>
        <v>43431</v>
      </c>
      <c r="B345" s="224">
        <v>220.0</v>
      </c>
      <c r="C345" s="225">
        <v>210.22</v>
      </c>
      <c r="D345" s="225">
        <v>600.0</v>
      </c>
      <c r="E345" s="226">
        <v>0.0</v>
      </c>
      <c r="F345" s="238">
        <f t="shared" si="171"/>
        <v>1030.22</v>
      </c>
      <c r="G345" s="103">
        <v>20.0</v>
      </c>
      <c r="H345" s="81">
        <v>6.0</v>
      </c>
      <c r="I345" s="226">
        <v>0.0</v>
      </c>
    </row>
    <row r="346" ht="12.75" customHeight="1">
      <c r="A346" s="97">
        <f t="shared" si="172"/>
        <v>43432</v>
      </c>
      <c r="B346" s="239">
        <v>410.0</v>
      </c>
      <c r="C346" s="240">
        <v>272.3</v>
      </c>
      <c r="D346" s="240">
        <v>770.0</v>
      </c>
      <c r="E346" s="241">
        <v>0.0</v>
      </c>
      <c r="F346" s="238">
        <f t="shared" si="171"/>
        <v>1452.3</v>
      </c>
      <c r="G346" s="242">
        <v>27.0</v>
      </c>
      <c r="H346" s="89">
        <v>7.0</v>
      </c>
      <c r="I346" s="241">
        <v>0.0</v>
      </c>
    </row>
    <row r="347" ht="12.75" customHeight="1">
      <c r="A347" s="97">
        <f t="shared" si="172"/>
        <v>43433</v>
      </c>
      <c r="B347" s="239">
        <v>410.0</v>
      </c>
      <c r="C347" s="240">
        <v>222.91</v>
      </c>
      <c r="D347" s="240">
        <v>740.0</v>
      </c>
      <c r="E347" s="241">
        <v>170.0</v>
      </c>
      <c r="F347" s="238">
        <f t="shared" si="171"/>
        <v>1542.91</v>
      </c>
      <c r="G347" s="242">
        <v>30.0</v>
      </c>
      <c r="H347" s="89">
        <v>5.0</v>
      </c>
      <c r="I347" s="241">
        <v>170.0</v>
      </c>
    </row>
    <row r="348" ht="12.75" customHeight="1">
      <c r="A348" s="97">
        <f t="shared" si="172"/>
        <v>43434</v>
      </c>
      <c r="B348" s="243">
        <v>190.0</v>
      </c>
      <c r="C348" s="244">
        <v>81.32</v>
      </c>
      <c r="D348" s="244">
        <v>1050.0</v>
      </c>
      <c r="E348" s="245">
        <v>80.0</v>
      </c>
      <c r="F348" s="238">
        <f t="shared" si="171"/>
        <v>1401.32</v>
      </c>
      <c r="G348" s="105">
        <v>24.0</v>
      </c>
      <c r="H348" s="106">
        <v>2.0</v>
      </c>
      <c r="I348" s="245">
        <v>80.0</v>
      </c>
    </row>
    <row r="349" ht="12.75" customHeight="1">
      <c r="A349" s="67"/>
      <c r="B349" s="246">
        <f t="shared" ref="B349:E349" si="173">SUM(B344:B348)</f>
        <v>1540</v>
      </c>
      <c r="C349" s="246">
        <f t="shared" si="173"/>
        <v>1137.15</v>
      </c>
      <c r="D349" s="246">
        <f t="shared" si="173"/>
        <v>3760</v>
      </c>
      <c r="E349" s="246">
        <f t="shared" si="173"/>
        <v>530</v>
      </c>
      <c r="F349" s="216">
        <f>SUM(F343:F348)</f>
        <v>6967.15</v>
      </c>
      <c r="G349" s="174">
        <f t="shared" ref="G349:I349" si="174">SUM(G344:G348)</f>
        <v>132</v>
      </c>
      <c r="H349" s="174">
        <f t="shared" si="174"/>
        <v>28</v>
      </c>
      <c r="I349" s="246">
        <f t="shared" si="174"/>
        <v>530</v>
      </c>
    </row>
    <row r="350" ht="12.75" customHeight="1">
      <c r="A350" s="74"/>
      <c r="B350" s="74"/>
      <c r="C350" s="74"/>
      <c r="D350" s="74"/>
      <c r="E350" s="74"/>
      <c r="F350" s="234"/>
      <c r="G350" s="74"/>
      <c r="H350" s="74"/>
      <c r="I350" s="74"/>
    </row>
    <row r="351" ht="12.75" customHeight="1">
      <c r="A351" s="58">
        <v>43437.0</v>
      </c>
      <c r="B351" s="59">
        <v>100.0</v>
      </c>
      <c r="C351" s="59">
        <v>82.72</v>
      </c>
      <c r="D351" s="59">
        <v>660.0</v>
      </c>
      <c r="E351" s="59">
        <v>50.0</v>
      </c>
      <c r="F351" s="60">
        <f t="shared" ref="F351:F355" si="175">SUM(B351:E351)</f>
        <v>892.72</v>
      </c>
      <c r="G351" s="59">
        <v>15.0</v>
      </c>
      <c r="H351" s="59">
        <v>2.0</v>
      </c>
      <c r="I351" s="61">
        <v>50.0</v>
      </c>
    </row>
    <row r="352" ht="12.75" customHeight="1">
      <c r="A352" s="58">
        <f t="shared" ref="A352:A355" si="176">A351+1</f>
        <v>43438</v>
      </c>
      <c r="B352" s="247">
        <v>120.0</v>
      </c>
      <c r="C352" s="81">
        <v>0.0</v>
      </c>
      <c r="D352" s="81">
        <v>620.0</v>
      </c>
      <c r="E352" s="81">
        <v>80.0</v>
      </c>
      <c r="F352" s="60">
        <f t="shared" si="175"/>
        <v>820</v>
      </c>
      <c r="G352" s="81">
        <v>16.0</v>
      </c>
      <c r="H352" s="81">
        <v>0.0</v>
      </c>
      <c r="I352" s="83">
        <v>80.0</v>
      </c>
    </row>
    <row r="353" ht="12.75" customHeight="1">
      <c r="A353" s="58">
        <f t="shared" si="176"/>
        <v>43439</v>
      </c>
      <c r="B353" s="81">
        <v>220.0</v>
      </c>
      <c r="C353" s="81">
        <v>395.32</v>
      </c>
      <c r="D353" s="81">
        <v>380.0</v>
      </c>
      <c r="E353" s="81">
        <v>50.0</v>
      </c>
      <c r="F353" s="60">
        <f t="shared" si="175"/>
        <v>1045.32</v>
      </c>
      <c r="G353" s="81">
        <v>22.0</v>
      </c>
      <c r="H353" s="81">
        <v>12.0</v>
      </c>
      <c r="I353" s="83">
        <v>50.0</v>
      </c>
    </row>
    <row r="354" ht="12.75" customHeight="1">
      <c r="A354" s="58">
        <f t="shared" si="176"/>
        <v>43440</v>
      </c>
      <c r="B354" s="81">
        <v>607.97</v>
      </c>
      <c r="C354" s="81">
        <v>224.31</v>
      </c>
      <c r="D354" s="81">
        <v>790.0</v>
      </c>
      <c r="E354" s="81">
        <v>150.0</v>
      </c>
      <c r="F354" s="60">
        <f t="shared" si="175"/>
        <v>1772.28</v>
      </c>
      <c r="G354" s="81">
        <v>30.0</v>
      </c>
      <c r="H354" s="81">
        <v>5.0</v>
      </c>
      <c r="I354" s="83">
        <v>150.0</v>
      </c>
    </row>
    <row r="355" ht="12.75" customHeight="1">
      <c r="A355" s="58">
        <f t="shared" si="176"/>
        <v>43441</v>
      </c>
      <c r="B355" s="81">
        <v>270.0</v>
      </c>
      <c r="C355" s="81">
        <v>238.47</v>
      </c>
      <c r="D355" s="81">
        <v>1078.84</v>
      </c>
      <c r="E355" s="81">
        <v>50.0</v>
      </c>
      <c r="F355" s="60">
        <f t="shared" si="175"/>
        <v>1637.31</v>
      </c>
      <c r="G355" s="81">
        <v>23.0</v>
      </c>
      <c r="H355" s="81">
        <v>4.0</v>
      </c>
      <c r="I355" s="83">
        <v>50.0</v>
      </c>
    </row>
    <row r="356" ht="12.75" customHeight="1">
      <c r="A356" s="67"/>
      <c r="B356" s="68">
        <f t="shared" ref="B356:I356" si="177">SUM(B351:B355)</f>
        <v>1317.97</v>
      </c>
      <c r="C356" s="68">
        <f t="shared" si="177"/>
        <v>940.82</v>
      </c>
      <c r="D356" s="68">
        <f t="shared" si="177"/>
        <v>3528.84</v>
      </c>
      <c r="E356" s="68">
        <f t="shared" si="177"/>
        <v>380</v>
      </c>
      <c r="F356" s="68">
        <f t="shared" si="177"/>
        <v>6167.63</v>
      </c>
      <c r="G356" s="70">
        <f t="shared" si="177"/>
        <v>106</v>
      </c>
      <c r="H356" s="70">
        <f t="shared" si="177"/>
        <v>23</v>
      </c>
      <c r="I356" s="91">
        <f t="shared" si="177"/>
        <v>380</v>
      </c>
    </row>
    <row r="357" ht="12.75" customHeight="1">
      <c r="A357" s="74"/>
      <c r="B357" s="75"/>
      <c r="C357" s="75"/>
      <c r="D357" s="75"/>
      <c r="E357" s="75"/>
      <c r="F357" s="75"/>
      <c r="G357" s="76"/>
      <c r="H357" s="76"/>
      <c r="I357" s="74"/>
    </row>
    <row r="358" ht="12.75" customHeight="1">
      <c r="A358" s="248">
        <f>A355+3</f>
        <v>43444</v>
      </c>
      <c r="B358" s="59">
        <v>680.0</v>
      </c>
      <c r="C358" s="59">
        <v>164.04</v>
      </c>
      <c r="D358" s="59">
        <v>1020.0</v>
      </c>
      <c r="E358" s="59">
        <v>270.0</v>
      </c>
      <c r="F358" s="60">
        <f t="shared" ref="F358:F362" si="178">SUM(B358:E358)</f>
        <v>2134.04</v>
      </c>
      <c r="G358" s="59">
        <v>37.0</v>
      </c>
      <c r="H358" s="59">
        <v>4.0</v>
      </c>
      <c r="I358" s="61">
        <v>270.0</v>
      </c>
    </row>
    <row r="359" ht="12.75" customHeight="1">
      <c r="A359" s="97">
        <f t="shared" ref="A359:A362" si="179">A358+1</f>
        <v>43445</v>
      </c>
      <c r="B359" s="59">
        <v>250.0</v>
      </c>
      <c r="C359" s="59">
        <v>141.32</v>
      </c>
      <c r="D359" s="59">
        <v>540.0</v>
      </c>
      <c r="E359" s="59">
        <v>200.0</v>
      </c>
      <c r="F359" s="141">
        <f t="shared" si="178"/>
        <v>1131.32</v>
      </c>
      <c r="G359" s="124">
        <v>23.0</v>
      </c>
      <c r="H359" s="124">
        <v>4.0</v>
      </c>
      <c r="I359" s="61">
        <v>200.0</v>
      </c>
    </row>
    <row r="360" ht="12.75" customHeight="1">
      <c r="A360" s="97">
        <f t="shared" si="179"/>
        <v>43446</v>
      </c>
      <c r="B360" s="59">
        <v>310.0</v>
      </c>
      <c r="C360" s="59">
        <v>356.42</v>
      </c>
      <c r="D360" s="59">
        <v>620.0</v>
      </c>
      <c r="E360" s="59">
        <v>70.0</v>
      </c>
      <c r="F360" s="141">
        <f t="shared" si="178"/>
        <v>1356.42</v>
      </c>
      <c r="G360" s="124">
        <v>25.0</v>
      </c>
      <c r="H360" s="124">
        <v>9.0</v>
      </c>
      <c r="I360" s="61">
        <v>70.0</v>
      </c>
    </row>
    <row r="361" ht="12.75" customHeight="1">
      <c r="A361" s="97">
        <f t="shared" si="179"/>
        <v>43447</v>
      </c>
      <c r="B361" s="59">
        <v>240.0</v>
      </c>
      <c r="C361" s="59">
        <v>160.88</v>
      </c>
      <c r="D361" s="59">
        <v>970.0</v>
      </c>
      <c r="E361" s="59">
        <v>100.0</v>
      </c>
      <c r="F361" s="141">
        <f t="shared" si="178"/>
        <v>1470.88</v>
      </c>
      <c r="G361" s="59">
        <v>28.0</v>
      </c>
      <c r="H361" s="59">
        <v>4.0</v>
      </c>
      <c r="I361" s="61">
        <v>100.0</v>
      </c>
    </row>
    <row r="362" ht="12.75" customHeight="1">
      <c r="A362" s="97">
        <f t="shared" si="179"/>
        <v>43448</v>
      </c>
      <c r="B362" s="211">
        <v>150.0</v>
      </c>
      <c r="C362" s="211">
        <v>346.16</v>
      </c>
      <c r="D362" s="211">
        <v>960.0</v>
      </c>
      <c r="E362" s="211">
        <v>0.0</v>
      </c>
      <c r="F362" s="141">
        <f t="shared" si="178"/>
        <v>1456.16</v>
      </c>
      <c r="G362" s="211">
        <v>26.0</v>
      </c>
      <c r="H362" s="211">
        <v>7.0</v>
      </c>
      <c r="I362" s="211" t="s">
        <v>87</v>
      </c>
    </row>
    <row r="363" ht="12.75" customHeight="1">
      <c r="A363" s="67"/>
      <c r="B363" s="68">
        <f t="shared" ref="B363:I363" si="180">SUM(B358:B362)</f>
        <v>1630</v>
      </c>
      <c r="C363" s="68">
        <f t="shared" si="180"/>
        <v>1168.82</v>
      </c>
      <c r="D363" s="68">
        <f t="shared" si="180"/>
        <v>4110</v>
      </c>
      <c r="E363" s="68">
        <f t="shared" si="180"/>
        <v>640</v>
      </c>
      <c r="F363" s="249">
        <f t="shared" si="180"/>
        <v>7548.82</v>
      </c>
      <c r="G363" s="218">
        <f t="shared" si="180"/>
        <v>139</v>
      </c>
      <c r="H363" s="140">
        <f t="shared" si="180"/>
        <v>28</v>
      </c>
      <c r="I363" s="91">
        <f t="shared" si="180"/>
        <v>640</v>
      </c>
    </row>
    <row r="364" ht="12.75" customHeight="1">
      <c r="A364" s="74"/>
      <c r="B364" s="75"/>
      <c r="C364" s="75"/>
      <c r="D364" s="75"/>
      <c r="E364" s="75"/>
      <c r="F364" s="234"/>
      <c r="G364" s="74"/>
      <c r="H364" s="75"/>
      <c r="I364" s="74"/>
    </row>
    <row r="365" ht="12.75" customHeight="1">
      <c r="A365" s="64">
        <f>A362+3</f>
        <v>43451</v>
      </c>
      <c r="B365" s="59">
        <v>190.0</v>
      </c>
      <c r="C365" s="59">
        <v>40.66</v>
      </c>
      <c r="D365" s="59">
        <v>600.0</v>
      </c>
      <c r="E365" s="59">
        <v>190.0</v>
      </c>
      <c r="F365" s="141">
        <f t="shared" ref="F365:F369" si="181">SUM(B365:E365)</f>
        <v>1020.66</v>
      </c>
      <c r="G365" s="59">
        <v>18.0</v>
      </c>
      <c r="H365" s="59">
        <v>1.0</v>
      </c>
      <c r="I365" s="61">
        <v>200.0</v>
      </c>
    </row>
    <row r="366" ht="12.75" customHeight="1">
      <c r="A366" s="64">
        <f t="shared" ref="A366:A369" si="182">A365+1</f>
        <v>43452</v>
      </c>
      <c r="B366" s="81">
        <v>200.0</v>
      </c>
      <c r="C366" s="81">
        <v>81.32</v>
      </c>
      <c r="D366" s="81">
        <v>600.0</v>
      </c>
      <c r="E366" s="81">
        <v>170.0</v>
      </c>
      <c r="F366" s="60">
        <f t="shared" si="181"/>
        <v>1051.32</v>
      </c>
      <c r="G366" s="81">
        <v>19.0</v>
      </c>
      <c r="H366" s="81">
        <v>2.0</v>
      </c>
      <c r="I366" s="83">
        <v>170.0</v>
      </c>
    </row>
    <row r="367" ht="12.75" customHeight="1">
      <c r="A367" s="64">
        <f t="shared" si="182"/>
        <v>43453</v>
      </c>
      <c r="B367" s="81">
        <v>450.0</v>
      </c>
      <c r="C367" s="81">
        <v>185.99</v>
      </c>
      <c r="D367" s="81">
        <v>410.0</v>
      </c>
      <c r="E367" s="81">
        <v>61.0</v>
      </c>
      <c r="F367" s="60">
        <f t="shared" si="181"/>
        <v>1106.99</v>
      </c>
      <c r="G367" s="81">
        <v>22.0</v>
      </c>
      <c r="H367" s="81">
        <v>5.0</v>
      </c>
      <c r="I367" s="83">
        <v>60.0</v>
      </c>
    </row>
    <row r="368" ht="12.75" customHeight="1">
      <c r="A368" s="64">
        <f t="shared" si="182"/>
        <v>43454</v>
      </c>
      <c r="B368" s="81">
        <v>220.0</v>
      </c>
      <c r="C368" s="81">
        <v>165.44</v>
      </c>
      <c r="D368" s="81">
        <v>990.0</v>
      </c>
      <c r="E368" s="81">
        <v>240.0</v>
      </c>
      <c r="F368" s="60">
        <f t="shared" si="181"/>
        <v>1615.44</v>
      </c>
      <c r="G368" s="81">
        <v>28.0</v>
      </c>
      <c r="H368" s="81">
        <v>4.0</v>
      </c>
      <c r="I368" s="83">
        <v>240.0</v>
      </c>
    </row>
    <row r="369" ht="12.75" customHeight="1">
      <c r="A369" s="64">
        <f t="shared" si="182"/>
        <v>43455</v>
      </c>
      <c r="B369" s="81">
        <v>210.0</v>
      </c>
      <c r="C369" s="81">
        <v>165.44</v>
      </c>
      <c r="D369" s="81">
        <v>790.0</v>
      </c>
      <c r="E369" s="81">
        <v>0.0</v>
      </c>
      <c r="F369" s="60">
        <f t="shared" si="181"/>
        <v>1165.44</v>
      </c>
      <c r="G369" s="81">
        <v>24.0</v>
      </c>
      <c r="H369" s="81">
        <v>4.0</v>
      </c>
      <c r="I369" s="83">
        <v>0.0</v>
      </c>
    </row>
    <row r="370" ht="12.75" customHeight="1">
      <c r="A370" s="131"/>
      <c r="B370" s="68">
        <f t="shared" ref="B370:I370" si="183">SUM(B365:B369)</f>
        <v>1270</v>
      </c>
      <c r="C370" s="68">
        <f t="shared" si="183"/>
        <v>638.85</v>
      </c>
      <c r="D370" s="68">
        <f t="shared" si="183"/>
        <v>3390</v>
      </c>
      <c r="E370" s="68">
        <f t="shared" si="183"/>
        <v>661</v>
      </c>
      <c r="F370" s="68">
        <f t="shared" si="183"/>
        <v>5959.85</v>
      </c>
      <c r="G370" s="70">
        <f t="shared" si="183"/>
        <v>111</v>
      </c>
      <c r="H370" s="70">
        <f t="shared" si="183"/>
        <v>16</v>
      </c>
      <c r="I370" s="91">
        <f t="shared" si="183"/>
        <v>670</v>
      </c>
    </row>
    <row r="371" ht="12.75" customHeight="1">
      <c r="A371" s="148"/>
      <c r="B371" s="75"/>
      <c r="C371" s="75"/>
      <c r="D371" s="75"/>
      <c r="E371" s="75"/>
      <c r="F371" s="75"/>
      <c r="G371" s="76"/>
      <c r="H371" s="76"/>
      <c r="I371" s="74"/>
    </row>
    <row r="372" ht="12.75" customHeight="1">
      <c r="A372" s="64">
        <f>A369+3</f>
        <v>43458</v>
      </c>
      <c r="B372" s="84"/>
      <c r="C372" s="84"/>
      <c r="D372" s="84"/>
      <c r="E372" s="84"/>
      <c r="F372" s="85">
        <f t="shared" ref="F372:F374" si="184">SUM(B372:E372)</f>
        <v>0</v>
      </c>
      <c r="G372" s="84"/>
      <c r="H372" s="84"/>
      <c r="I372" s="86"/>
    </row>
    <row r="373" ht="12.75" customHeight="1">
      <c r="A373" s="64">
        <f t="shared" ref="A373:A376" si="185">A372+1</f>
        <v>43459</v>
      </c>
      <c r="B373" s="84"/>
      <c r="C373" s="84"/>
      <c r="D373" s="84"/>
      <c r="E373" s="84"/>
      <c r="F373" s="85">
        <f t="shared" si="184"/>
        <v>0</v>
      </c>
      <c r="G373" s="84"/>
      <c r="H373" s="84"/>
      <c r="I373" s="86"/>
    </row>
    <row r="374" ht="12.75" customHeight="1">
      <c r="A374" s="64">
        <f t="shared" si="185"/>
        <v>43460</v>
      </c>
      <c r="B374" s="84"/>
      <c r="C374" s="84"/>
      <c r="D374" s="84"/>
      <c r="E374" s="84"/>
      <c r="F374" s="85">
        <f t="shared" si="184"/>
        <v>0</v>
      </c>
      <c r="G374" s="84"/>
      <c r="H374" s="84"/>
      <c r="I374" s="86"/>
    </row>
    <row r="375" ht="12.75" customHeight="1">
      <c r="A375" s="64">
        <f t="shared" si="185"/>
        <v>43461</v>
      </c>
      <c r="B375" s="84"/>
      <c r="C375" s="84"/>
      <c r="D375" s="84"/>
      <c r="E375" s="84"/>
      <c r="F375" s="85"/>
      <c r="G375" s="84"/>
      <c r="H375" s="84"/>
      <c r="I375" s="86"/>
    </row>
    <row r="376" ht="12.75" customHeight="1">
      <c r="A376" s="64">
        <f t="shared" si="185"/>
        <v>43462</v>
      </c>
      <c r="B376" s="84"/>
      <c r="C376" s="84"/>
      <c r="D376" s="84"/>
      <c r="E376" s="84"/>
      <c r="F376" s="85">
        <f>SUM(B376:E376)</f>
        <v>0</v>
      </c>
      <c r="G376" s="84"/>
      <c r="H376" s="84"/>
      <c r="I376" s="86"/>
    </row>
    <row r="377" ht="12.75" customHeight="1">
      <c r="A377" s="131"/>
      <c r="B377" s="68">
        <f t="shared" ref="B377:I377" si="186">SUM(B372:B376)</f>
        <v>0</v>
      </c>
      <c r="C377" s="68">
        <f t="shared" si="186"/>
        <v>0</v>
      </c>
      <c r="D377" s="68">
        <f t="shared" si="186"/>
        <v>0</v>
      </c>
      <c r="E377" s="68">
        <f t="shared" si="186"/>
        <v>0</v>
      </c>
      <c r="F377" s="68">
        <f t="shared" si="186"/>
        <v>0</v>
      </c>
      <c r="G377" s="70">
        <f t="shared" si="186"/>
        <v>0</v>
      </c>
      <c r="H377" s="70">
        <f t="shared" si="186"/>
        <v>0</v>
      </c>
      <c r="I377" s="68">
        <f t="shared" si="186"/>
        <v>0</v>
      </c>
    </row>
    <row r="378" ht="12.75" customHeight="1">
      <c r="A378" s="148"/>
      <c r="B378" s="75"/>
      <c r="C378" s="75"/>
      <c r="D378" s="75"/>
      <c r="E378" s="75"/>
      <c r="F378" s="75"/>
      <c r="G378" s="76"/>
      <c r="H378" s="76"/>
      <c r="I378" s="75"/>
    </row>
    <row r="379" ht="12.75" customHeight="1">
      <c r="A379" s="64">
        <f>A376+3</f>
        <v>43465</v>
      </c>
      <c r="B379" s="84"/>
      <c r="C379" s="84"/>
      <c r="D379" s="84"/>
      <c r="E379" s="84"/>
      <c r="F379" s="85">
        <f>SUM(B379:E379)</f>
        <v>0</v>
      </c>
      <c r="G379" s="84"/>
      <c r="H379" s="84"/>
      <c r="I379" s="86"/>
    </row>
    <row r="380" ht="12.75" customHeight="1">
      <c r="A380" s="131"/>
      <c r="B380" s="68">
        <f t="shared" ref="B380:I380" si="187">SUM(B379)</f>
        <v>0</v>
      </c>
      <c r="C380" s="68">
        <f t="shared" si="187"/>
        <v>0</v>
      </c>
      <c r="D380" s="68">
        <f t="shared" si="187"/>
        <v>0</v>
      </c>
      <c r="E380" s="68">
        <f t="shared" si="187"/>
        <v>0</v>
      </c>
      <c r="F380" s="68">
        <f t="shared" si="187"/>
        <v>0</v>
      </c>
      <c r="G380" s="70">
        <f t="shared" si="187"/>
        <v>0</v>
      </c>
      <c r="H380" s="70">
        <f t="shared" si="187"/>
        <v>0</v>
      </c>
      <c r="I380" s="68">
        <f t="shared" si="187"/>
        <v>0</v>
      </c>
    </row>
    <row r="381" ht="12.75" customHeight="1">
      <c r="A381" s="148"/>
      <c r="B381" s="75"/>
      <c r="C381" s="75"/>
      <c r="D381" s="75"/>
      <c r="E381" s="75"/>
      <c r="F381" s="75"/>
      <c r="G381" s="76"/>
      <c r="H381" s="76"/>
      <c r="I381" s="75"/>
    </row>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41">
    <mergeCell ref="H28:H29"/>
    <mergeCell ref="I28:I29"/>
    <mergeCell ref="A28:A29"/>
    <mergeCell ref="B28:B29"/>
    <mergeCell ref="C28:C29"/>
    <mergeCell ref="D28:D29"/>
    <mergeCell ref="E28:E29"/>
    <mergeCell ref="F28:F29"/>
    <mergeCell ref="G28:G29"/>
    <mergeCell ref="H33:H34"/>
    <mergeCell ref="I33:I34"/>
    <mergeCell ref="L35:M35"/>
    <mergeCell ref="A33:A34"/>
    <mergeCell ref="B33:B34"/>
    <mergeCell ref="C33:C34"/>
    <mergeCell ref="D33:D34"/>
    <mergeCell ref="E33:E34"/>
    <mergeCell ref="F33:F34"/>
    <mergeCell ref="G33:G34"/>
    <mergeCell ref="H45:H46"/>
    <mergeCell ref="I45:I46"/>
    <mergeCell ref="A45:A46"/>
    <mergeCell ref="B45:B46"/>
    <mergeCell ref="C45:C46"/>
    <mergeCell ref="D45:D46"/>
    <mergeCell ref="E45:E46"/>
    <mergeCell ref="F45:F46"/>
    <mergeCell ref="G45:G46"/>
    <mergeCell ref="I52:I53"/>
    <mergeCell ref="L53:M53"/>
    <mergeCell ref="B52:B53"/>
    <mergeCell ref="C52:C53"/>
    <mergeCell ref="D52:D53"/>
    <mergeCell ref="E52:E53"/>
    <mergeCell ref="F52:F53"/>
    <mergeCell ref="G52:G53"/>
    <mergeCell ref="H52:H53"/>
    <mergeCell ref="H59:H60"/>
    <mergeCell ref="I59:I60"/>
    <mergeCell ref="L62:M62"/>
    <mergeCell ref="A59:A60"/>
    <mergeCell ref="B59:B60"/>
    <mergeCell ref="C59:C60"/>
    <mergeCell ref="D59:D60"/>
    <mergeCell ref="E59:E60"/>
    <mergeCell ref="F59:F60"/>
    <mergeCell ref="G59:G60"/>
    <mergeCell ref="H64:H65"/>
    <mergeCell ref="I64:I65"/>
    <mergeCell ref="A64:A65"/>
    <mergeCell ref="B64:B65"/>
    <mergeCell ref="C64:C65"/>
    <mergeCell ref="D64:D65"/>
    <mergeCell ref="E64:E65"/>
    <mergeCell ref="F64:F65"/>
    <mergeCell ref="G64:G65"/>
    <mergeCell ref="H68:H69"/>
    <mergeCell ref="I68:I69"/>
    <mergeCell ref="L72:M72"/>
    <mergeCell ref="A68:A69"/>
    <mergeCell ref="B68:B69"/>
    <mergeCell ref="C68:C69"/>
    <mergeCell ref="D68:D69"/>
    <mergeCell ref="E68:E69"/>
    <mergeCell ref="F68:F69"/>
    <mergeCell ref="G68:G69"/>
    <mergeCell ref="H75:H76"/>
    <mergeCell ref="I75:I76"/>
    <mergeCell ref="A75:A76"/>
    <mergeCell ref="B75:B76"/>
    <mergeCell ref="C75:C76"/>
    <mergeCell ref="D75:D76"/>
    <mergeCell ref="E75:E76"/>
    <mergeCell ref="F75:F76"/>
    <mergeCell ref="G75:G76"/>
    <mergeCell ref="H82:H83"/>
    <mergeCell ref="I82:I83"/>
    <mergeCell ref="L82:M82"/>
    <mergeCell ref="A82:A83"/>
    <mergeCell ref="B82:B83"/>
    <mergeCell ref="C82:C83"/>
    <mergeCell ref="D82:D83"/>
    <mergeCell ref="E82:E83"/>
    <mergeCell ref="F82:F83"/>
    <mergeCell ref="G82:G83"/>
    <mergeCell ref="H89:H90"/>
    <mergeCell ref="I89:I90"/>
    <mergeCell ref="L90:M90"/>
    <mergeCell ref="A89:A90"/>
    <mergeCell ref="B89:B90"/>
    <mergeCell ref="C89:C90"/>
    <mergeCell ref="D89:D90"/>
    <mergeCell ref="E89:E90"/>
    <mergeCell ref="F89:F90"/>
    <mergeCell ref="G89:G90"/>
    <mergeCell ref="H96:H97"/>
    <mergeCell ref="I96:I97"/>
    <mergeCell ref="L99:M99"/>
    <mergeCell ref="A96:A97"/>
    <mergeCell ref="B96:B97"/>
    <mergeCell ref="C96:C97"/>
    <mergeCell ref="D96:D97"/>
    <mergeCell ref="E96:E97"/>
    <mergeCell ref="F96:F97"/>
    <mergeCell ref="G96:G97"/>
    <mergeCell ref="H103:H104"/>
    <mergeCell ref="I103:I104"/>
    <mergeCell ref="L108:M108"/>
    <mergeCell ref="A103:A104"/>
    <mergeCell ref="B103:B104"/>
    <mergeCell ref="C103:C104"/>
    <mergeCell ref="D103:D104"/>
    <mergeCell ref="E103:E104"/>
    <mergeCell ref="F103:F104"/>
    <mergeCell ref="G103:G104"/>
    <mergeCell ref="H110:H111"/>
    <mergeCell ref="I110:I111"/>
    <mergeCell ref="A110:A111"/>
    <mergeCell ref="B110:B111"/>
    <mergeCell ref="C110:C111"/>
    <mergeCell ref="D110:D111"/>
    <mergeCell ref="E110:E111"/>
    <mergeCell ref="F110:F111"/>
    <mergeCell ref="G110:G111"/>
    <mergeCell ref="H117:H118"/>
    <mergeCell ref="I117:I118"/>
    <mergeCell ref="A117:A118"/>
    <mergeCell ref="B117:B118"/>
    <mergeCell ref="C117:C118"/>
    <mergeCell ref="D117:D118"/>
    <mergeCell ref="E117:E118"/>
    <mergeCell ref="F117:F118"/>
    <mergeCell ref="G117:G118"/>
    <mergeCell ref="H38:H39"/>
    <mergeCell ref="I38:I39"/>
    <mergeCell ref="L44:M44"/>
    <mergeCell ref="A38:A39"/>
    <mergeCell ref="B38:B39"/>
    <mergeCell ref="C38:C39"/>
    <mergeCell ref="D38:D39"/>
    <mergeCell ref="E38:E39"/>
    <mergeCell ref="F38:F39"/>
    <mergeCell ref="G38:G39"/>
    <mergeCell ref="H124:H125"/>
    <mergeCell ref="I124:I125"/>
    <mergeCell ref="A124:A125"/>
    <mergeCell ref="B124:B125"/>
    <mergeCell ref="C124:C125"/>
    <mergeCell ref="D124:D125"/>
    <mergeCell ref="E124:E125"/>
    <mergeCell ref="F124:F125"/>
    <mergeCell ref="G124:G125"/>
    <mergeCell ref="H7:H8"/>
    <mergeCell ref="I7:I8"/>
    <mergeCell ref="L8:M8"/>
    <mergeCell ref="A7:A8"/>
    <mergeCell ref="B7:B8"/>
    <mergeCell ref="C7:C8"/>
    <mergeCell ref="D7:D8"/>
    <mergeCell ref="E7:E8"/>
    <mergeCell ref="F7:F8"/>
    <mergeCell ref="G7:G8"/>
    <mergeCell ref="H14:H15"/>
    <mergeCell ref="I14:I15"/>
    <mergeCell ref="L17:M17"/>
    <mergeCell ref="A14:A15"/>
    <mergeCell ref="B14:B15"/>
    <mergeCell ref="C14:C15"/>
    <mergeCell ref="D14:D15"/>
    <mergeCell ref="E14:E15"/>
    <mergeCell ref="F14:F15"/>
    <mergeCell ref="G14:G15"/>
    <mergeCell ref="H21:H22"/>
    <mergeCell ref="I21:I22"/>
    <mergeCell ref="L26:M26"/>
    <mergeCell ref="A21:A22"/>
    <mergeCell ref="B21:B22"/>
    <mergeCell ref="C21:C22"/>
    <mergeCell ref="D21:D22"/>
    <mergeCell ref="E21:E22"/>
    <mergeCell ref="F21:F22"/>
    <mergeCell ref="G21:G22"/>
    <mergeCell ref="G133:G134"/>
    <mergeCell ref="H133:H134"/>
    <mergeCell ref="H154:H155"/>
    <mergeCell ref="I154:I155"/>
    <mergeCell ref="A154:A155"/>
    <mergeCell ref="B154:B155"/>
    <mergeCell ref="C154:C155"/>
    <mergeCell ref="D154:D155"/>
    <mergeCell ref="E154:E155"/>
    <mergeCell ref="F154:F155"/>
    <mergeCell ref="G154:G155"/>
    <mergeCell ref="H160:H161"/>
    <mergeCell ref="I160:I161"/>
    <mergeCell ref="A160:A161"/>
    <mergeCell ref="B160:B161"/>
    <mergeCell ref="C160:C161"/>
    <mergeCell ref="D160:D161"/>
    <mergeCell ref="E160:E161"/>
    <mergeCell ref="F160:F161"/>
    <mergeCell ref="G160:G161"/>
    <mergeCell ref="H163:H164"/>
    <mergeCell ref="I163:I164"/>
    <mergeCell ref="A163:A164"/>
    <mergeCell ref="B163:B164"/>
    <mergeCell ref="C163:C164"/>
    <mergeCell ref="D163:D164"/>
    <mergeCell ref="E163:E164"/>
    <mergeCell ref="F163:F164"/>
    <mergeCell ref="G163:G164"/>
    <mergeCell ref="H170:H171"/>
    <mergeCell ref="I170:I171"/>
    <mergeCell ref="A170:A171"/>
    <mergeCell ref="B170:B171"/>
    <mergeCell ref="C170:C171"/>
    <mergeCell ref="D170:D171"/>
    <mergeCell ref="E170:E171"/>
    <mergeCell ref="F170:F171"/>
    <mergeCell ref="G170:G171"/>
    <mergeCell ref="H177:H178"/>
    <mergeCell ref="I177:I178"/>
    <mergeCell ref="A177:A178"/>
    <mergeCell ref="B177:B178"/>
    <mergeCell ref="C177:C178"/>
    <mergeCell ref="D177:D178"/>
    <mergeCell ref="E177:E178"/>
    <mergeCell ref="F177:F178"/>
    <mergeCell ref="G177:G178"/>
    <mergeCell ref="H184:H185"/>
    <mergeCell ref="I184:I185"/>
    <mergeCell ref="A184:A185"/>
    <mergeCell ref="B184:B185"/>
    <mergeCell ref="C184:C185"/>
    <mergeCell ref="D184:D185"/>
    <mergeCell ref="E184:E185"/>
    <mergeCell ref="F184:F185"/>
    <mergeCell ref="G184:G185"/>
    <mergeCell ref="H191:H192"/>
    <mergeCell ref="I191:I192"/>
    <mergeCell ref="A191:A192"/>
    <mergeCell ref="B191:B192"/>
    <mergeCell ref="C191:C192"/>
    <mergeCell ref="D191:D192"/>
    <mergeCell ref="E191:E192"/>
    <mergeCell ref="F191:F192"/>
    <mergeCell ref="G191:G192"/>
    <mergeCell ref="H198:H199"/>
    <mergeCell ref="I198:I199"/>
    <mergeCell ref="A198:A199"/>
    <mergeCell ref="B198:B199"/>
    <mergeCell ref="C198:C199"/>
    <mergeCell ref="D198:D199"/>
    <mergeCell ref="E198:E199"/>
    <mergeCell ref="F198:F199"/>
    <mergeCell ref="G198:G199"/>
    <mergeCell ref="H205:H206"/>
    <mergeCell ref="I205:I206"/>
    <mergeCell ref="A205:A206"/>
    <mergeCell ref="B205:B206"/>
    <mergeCell ref="C205:C206"/>
    <mergeCell ref="D205:D206"/>
    <mergeCell ref="E205:E206"/>
    <mergeCell ref="F205:F206"/>
    <mergeCell ref="G205:G206"/>
    <mergeCell ref="H212:H213"/>
    <mergeCell ref="I212:I213"/>
    <mergeCell ref="A212:A213"/>
    <mergeCell ref="B212:B213"/>
    <mergeCell ref="C212:C213"/>
    <mergeCell ref="D212:D213"/>
    <mergeCell ref="E212:E213"/>
    <mergeCell ref="F212:F213"/>
    <mergeCell ref="G212:G213"/>
    <mergeCell ref="H219:H220"/>
    <mergeCell ref="I219:I220"/>
    <mergeCell ref="A219:A220"/>
    <mergeCell ref="B219:B220"/>
    <mergeCell ref="C219:C220"/>
    <mergeCell ref="D219:D220"/>
    <mergeCell ref="E219:E220"/>
    <mergeCell ref="F219:F220"/>
    <mergeCell ref="G219:G220"/>
    <mergeCell ref="H223:H224"/>
    <mergeCell ref="I223:I224"/>
    <mergeCell ref="A223:A224"/>
    <mergeCell ref="B223:B224"/>
    <mergeCell ref="C223:C224"/>
    <mergeCell ref="D223:D224"/>
    <mergeCell ref="E223:E224"/>
    <mergeCell ref="F223:F224"/>
    <mergeCell ref="G223:G224"/>
    <mergeCell ref="H228:H229"/>
    <mergeCell ref="I228:I229"/>
    <mergeCell ref="A228:A229"/>
    <mergeCell ref="B228:B229"/>
    <mergeCell ref="C228:C229"/>
    <mergeCell ref="D228:D229"/>
    <mergeCell ref="E228:E229"/>
    <mergeCell ref="F228:F229"/>
    <mergeCell ref="G228:G229"/>
    <mergeCell ref="H235:H236"/>
    <mergeCell ref="I235:I236"/>
    <mergeCell ref="A235:A236"/>
    <mergeCell ref="B235:B236"/>
    <mergeCell ref="C235:C236"/>
    <mergeCell ref="D235:D236"/>
    <mergeCell ref="E235:E236"/>
    <mergeCell ref="F235:F236"/>
    <mergeCell ref="G235:G236"/>
    <mergeCell ref="H242:H243"/>
    <mergeCell ref="I242:I243"/>
    <mergeCell ref="A242:A243"/>
    <mergeCell ref="B242:B243"/>
    <mergeCell ref="C242:C243"/>
    <mergeCell ref="D242:D243"/>
    <mergeCell ref="E242:E243"/>
    <mergeCell ref="F242:F243"/>
    <mergeCell ref="G242:G243"/>
    <mergeCell ref="H249:H250"/>
    <mergeCell ref="I249:I250"/>
    <mergeCell ref="A249:A250"/>
    <mergeCell ref="B249:B250"/>
    <mergeCell ref="C249:C250"/>
    <mergeCell ref="D249:D250"/>
    <mergeCell ref="E249:E250"/>
    <mergeCell ref="F249:F250"/>
    <mergeCell ref="G249:G250"/>
    <mergeCell ref="H256:H257"/>
    <mergeCell ref="I256:I257"/>
    <mergeCell ref="A256:A257"/>
    <mergeCell ref="B256:B257"/>
    <mergeCell ref="C256:C257"/>
    <mergeCell ref="D256:D257"/>
    <mergeCell ref="E256:E257"/>
    <mergeCell ref="F256:F257"/>
    <mergeCell ref="G256:G257"/>
    <mergeCell ref="H263:H264"/>
    <mergeCell ref="I263:I264"/>
    <mergeCell ref="A263:A264"/>
    <mergeCell ref="B263:B264"/>
    <mergeCell ref="C263:C264"/>
    <mergeCell ref="D263:D264"/>
    <mergeCell ref="E263:E264"/>
    <mergeCell ref="F263:F264"/>
    <mergeCell ref="G263:G264"/>
    <mergeCell ref="H270:H271"/>
    <mergeCell ref="I270:I271"/>
    <mergeCell ref="A270:A271"/>
    <mergeCell ref="B270:B271"/>
    <mergeCell ref="C270:C271"/>
    <mergeCell ref="D270:D271"/>
    <mergeCell ref="E270:E271"/>
    <mergeCell ref="F270:F271"/>
    <mergeCell ref="G270:G271"/>
    <mergeCell ref="H277:H278"/>
    <mergeCell ref="I277:I278"/>
    <mergeCell ref="A277:A278"/>
    <mergeCell ref="B277:B278"/>
    <mergeCell ref="C277:C278"/>
    <mergeCell ref="D277:D278"/>
    <mergeCell ref="E277:E278"/>
    <mergeCell ref="F277:F278"/>
    <mergeCell ref="G277:G278"/>
    <mergeCell ref="H284:H285"/>
    <mergeCell ref="I284:I285"/>
    <mergeCell ref="A284:A285"/>
    <mergeCell ref="B284:B285"/>
    <mergeCell ref="C284:C285"/>
    <mergeCell ref="D284:D285"/>
    <mergeCell ref="E284:E285"/>
    <mergeCell ref="F284:F285"/>
    <mergeCell ref="G284:G285"/>
    <mergeCell ref="H291:H292"/>
    <mergeCell ref="I291:I292"/>
    <mergeCell ref="A291:A292"/>
    <mergeCell ref="B291:B292"/>
    <mergeCell ref="C291:C292"/>
    <mergeCell ref="D291:D292"/>
    <mergeCell ref="E291:E292"/>
    <mergeCell ref="F291:F292"/>
    <mergeCell ref="G291:G292"/>
    <mergeCell ref="H298:H299"/>
    <mergeCell ref="I298:I299"/>
    <mergeCell ref="A298:A299"/>
    <mergeCell ref="B298:B299"/>
    <mergeCell ref="C298:C299"/>
    <mergeCell ref="D298:D299"/>
    <mergeCell ref="E298:E299"/>
    <mergeCell ref="F298:F299"/>
    <mergeCell ref="G298:G299"/>
    <mergeCell ref="H305:H306"/>
    <mergeCell ref="I305:I306"/>
    <mergeCell ref="A305:A306"/>
    <mergeCell ref="B305:B306"/>
    <mergeCell ref="C305:C306"/>
    <mergeCell ref="D305:D306"/>
    <mergeCell ref="E305:E306"/>
    <mergeCell ref="F305:F306"/>
    <mergeCell ref="G305:G306"/>
    <mergeCell ref="H312:H313"/>
    <mergeCell ref="I312:I313"/>
    <mergeCell ref="A312:A313"/>
    <mergeCell ref="B312:B313"/>
    <mergeCell ref="C312:C313"/>
    <mergeCell ref="D312:D313"/>
    <mergeCell ref="E312:E313"/>
    <mergeCell ref="F312:F313"/>
    <mergeCell ref="G312:G313"/>
    <mergeCell ref="H363:H364"/>
    <mergeCell ref="I363:I364"/>
    <mergeCell ref="A363:A364"/>
    <mergeCell ref="B363:B364"/>
    <mergeCell ref="C363:C364"/>
    <mergeCell ref="D363:D364"/>
    <mergeCell ref="E363:E364"/>
    <mergeCell ref="F363:F364"/>
    <mergeCell ref="G363:G364"/>
    <mergeCell ref="H370:H371"/>
    <mergeCell ref="I370:I371"/>
    <mergeCell ref="A370:A371"/>
    <mergeCell ref="B370:B371"/>
    <mergeCell ref="C370:C371"/>
    <mergeCell ref="D370:D371"/>
    <mergeCell ref="E370:E371"/>
    <mergeCell ref="F370:F371"/>
    <mergeCell ref="G370:G371"/>
    <mergeCell ref="H377:H378"/>
    <mergeCell ref="I377:I378"/>
    <mergeCell ref="A377:A378"/>
    <mergeCell ref="B377:B378"/>
    <mergeCell ref="C377:C378"/>
    <mergeCell ref="D377:D378"/>
    <mergeCell ref="E377:E378"/>
    <mergeCell ref="F377:F378"/>
    <mergeCell ref="G377:G378"/>
    <mergeCell ref="C127:C128"/>
    <mergeCell ref="D127:D128"/>
    <mergeCell ref="E127:E128"/>
    <mergeCell ref="F127:F128"/>
    <mergeCell ref="G127:G128"/>
    <mergeCell ref="H127:H128"/>
    <mergeCell ref="I127:I128"/>
    <mergeCell ref="B127:B128"/>
    <mergeCell ref="B133:B134"/>
    <mergeCell ref="C133:C134"/>
    <mergeCell ref="D133:D134"/>
    <mergeCell ref="E133:E134"/>
    <mergeCell ref="F133:F134"/>
    <mergeCell ref="I133:I134"/>
    <mergeCell ref="G140:G141"/>
    <mergeCell ref="H140:H141"/>
    <mergeCell ref="I140:I141"/>
    <mergeCell ref="A133:A134"/>
    <mergeCell ref="A140:A141"/>
    <mergeCell ref="B140:B141"/>
    <mergeCell ref="C140:C141"/>
    <mergeCell ref="D140:D141"/>
    <mergeCell ref="E140:E141"/>
    <mergeCell ref="F140:F141"/>
    <mergeCell ref="H147:H148"/>
    <mergeCell ref="I147:I148"/>
    <mergeCell ref="A147:A148"/>
    <mergeCell ref="B147:B148"/>
    <mergeCell ref="C147:C148"/>
    <mergeCell ref="D147:D148"/>
    <mergeCell ref="E147:E148"/>
    <mergeCell ref="F147:F148"/>
    <mergeCell ref="G147:G148"/>
    <mergeCell ref="H380:H381"/>
    <mergeCell ref="I380:I381"/>
    <mergeCell ref="A380:A381"/>
    <mergeCell ref="B380:B381"/>
    <mergeCell ref="C380:C381"/>
    <mergeCell ref="D380:D381"/>
    <mergeCell ref="E380:E381"/>
    <mergeCell ref="F380:F381"/>
    <mergeCell ref="G380:G381"/>
    <mergeCell ref="H316:H317"/>
    <mergeCell ref="I316:I317"/>
    <mergeCell ref="A316:A317"/>
    <mergeCell ref="B316:B317"/>
    <mergeCell ref="C316:C317"/>
    <mergeCell ref="D316:D317"/>
    <mergeCell ref="E316:E317"/>
    <mergeCell ref="F316:F317"/>
    <mergeCell ref="G316:G317"/>
    <mergeCell ref="H321:H322"/>
    <mergeCell ref="I321:I322"/>
    <mergeCell ref="A321:A322"/>
    <mergeCell ref="B321:B322"/>
    <mergeCell ref="C321:C322"/>
    <mergeCell ref="D321:D322"/>
    <mergeCell ref="E321:E322"/>
    <mergeCell ref="F321:F322"/>
    <mergeCell ref="G321:G322"/>
    <mergeCell ref="H328:H329"/>
    <mergeCell ref="I328:I329"/>
    <mergeCell ref="A328:A329"/>
    <mergeCell ref="B328:B329"/>
    <mergeCell ref="C328:C329"/>
    <mergeCell ref="D328:D329"/>
    <mergeCell ref="E328:E329"/>
    <mergeCell ref="F328:F329"/>
    <mergeCell ref="G328:G329"/>
    <mergeCell ref="H335:H336"/>
    <mergeCell ref="I335:I336"/>
    <mergeCell ref="A335:A336"/>
    <mergeCell ref="B335:B336"/>
    <mergeCell ref="C335:C336"/>
    <mergeCell ref="D335:D336"/>
    <mergeCell ref="E335:E336"/>
    <mergeCell ref="F335:F336"/>
    <mergeCell ref="G335:G336"/>
    <mergeCell ref="H342:H343"/>
    <mergeCell ref="I342:I343"/>
    <mergeCell ref="A342:A343"/>
    <mergeCell ref="B342:B343"/>
    <mergeCell ref="C342:C343"/>
    <mergeCell ref="D342:D343"/>
    <mergeCell ref="E342:E343"/>
    <mergeCell ref="F342:F343"/>
    <mergeCell ref="G342:G343"/>
    <mergeCell ref="H349:H350"/>
    <mergeCell ref="I349:I350"/>
    <mergeCell ref="A349:A350"/>
    <mergeCell ref="B349:B350"/>
    <mergeCell ref="C349:C350"/>
    <mergeCell ref="D349:D350"/>
    <mergeCell ref="E349:E350"/>
    <mergeCell ref="F349:F350"/>
    <mergeCell ref="G349:G350"/>
    <mergeCell ref="H356:H357"/>
    <mergeCell ref="I356:I357"/>
    <mergeCell ref="A356:A357"/>
    <mergeCell ref="B356:B357"/>
    <mergeCell ref="C356:C357"/>
    <mergeCell ref="D356:D357"/>
    <mergeCell ref="E356:E357"/>
    <mergeCell ref="F356:F357"/>
    <mergeCell ref="G356:G357"/>
  </mergeCells>
  <printOptions/>
  <pageMargins bottom="0.75" footer="0.0" header="0.0" left="0.7" right="0.7" top="0.75"/>
  <pageSetup paperSize="9" orientation="portrait"/>
  <drawing r:id="rId1"/>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B45F06"/>
    <pageSetUpPr/>
  </sheetPr>
  <sheetViews>
    <sheetView workbookViewId="0"/>
  </sheetViews>
  <sheetFormatPr customHeight="1" defaultColWidth="12.63" defaultRowHeight="15.0"/>
  <cols>
    <col customWidth="1" min="1" max="1" width="21.0"/>
    <col customWidth="1" min="2" max="9" width="11.5"/>
    <col customWidth="1" min="10" max="10" width="3.38"/>
    <col customWidth="1" min="11" max="11" width="13.38"/>
    <col customWidth="1" min="12" max="13" width="10.63"/>
    <col customWidth="1" min="14" max="14" width="14.5"/>
    <col customWidth="1" min="15" max="26" width="11.5"/>
  </cols>
  <sheetData>
    <row r="1" ht="12.75" customHeight="1">
      <c r="A1" s="264" t="s">
        <v>61</v>
      </c>
      <c r="B1" s="265" t="s">
        <v>62</v>
      </c>
      <c r="C1" s="265" t="s">
        <v>63</v>
      </c>
      <c r="D1" s="265" t="s">
        <v>45</v>
      </c>
      <c r="E1" s="265" t="s">
        <v>46</v>
      </c>
      <c r="F1" s="266" t="s">
        <v>64</v>
      </c>
      <c r="G1" s="267" t="s">
        <v>65</v>
      </c>
      <c r="H1" s="265" t="s">
        <v>66</v>
      </c>
      <c r="I1" s="268" t="s">
        <v>67</v>
      </c>
      <c r="J1" s="268" t="s">
        <v>88</v>
      </c>
    </row>
    <row r="2" ht="12.75" customHeight="1">
      <c r="A2" s="58">
        <v>43466.0</v>
      </c>
      <c r="B2" s="269"/>
      <c r="C2" s="269"/>
      <c r="D2" s="269"/>
      <c r="E2" s="269"/>
      <c r="F2" s="270">
        <f t="shared" ref="F2:F6" si="1"> sum(B2:E2)</f>
        <v>0</v>
      </c>
      <c r="G2" s="269"/>
      <c r="H2" s="269"/>
      <c r="I2" s="271"/>
      <c r="J2" s="272" t="s">
        <v>89</v>
      </c>
    </row>
    <row r="3" ht="12.75" customHeight="1">
      <c r="A3" s="273">
        <f t="shared" ref="A3:A5" si="2">A2+1</f>
        <v>43467</v>
      </c>
      <c r="B3" s="269"/>
      <c r="C3" s="269"/>
      <c r="D3" s="269"/>
      <c r="E3" s="269"/>
      <c r="F3" s="270">
        <f t="shared" si="1"/>
        <v>0</v>
      </c>
      <c r="G3" s="269"/>
      <c r="H3" s="269"/>
      <c r="I3" s="271"/>
      <c r="J3" s="274"/>
    </row>
    <row r="4" ht="12.75" customHeight="1">
      <c r="A4" s="273">
        <f t="shared" si="2"/>
        <v>43468</v>
      </c>
      <c r="B4" s="269"/>
      <c r="C4" s="269"/>
      <c r="D4" s="269"/>
      <c r="E4" s="269"/>
      <c r="F4" s="270">
        <f t="shared" si="1"/>
        <v>0</v>
      </c>
      <c r="G4" s="269"/>
      <c r="H4" s="269"/>
      <c r="I4" s="271"/>
      <c r="J4" s="274"/>
    </row>
    <row r="5" ht="12.75" customHeight="1">
      <c r="A5" s="275">
        <f t="shared" si="2"/>
        <v>43469</v>
      </c>
      <c r="B5" s="276"/>
      <c r="C5" s="276"/>
      <c r="D5" s="276"/>
      <c r="E5" s="276"/>
      <c r="F5" s="277">
        <f t="shared" si="1"/>
        <v>0</v>
      </c>
      <c r="G5" s="276"/>
      <c r="H5" s="276"/>
      <c r="I5" s="278"/>
      <c r="J5" s="274"/>
    </row>
    <row r="6" ht="12.75" customHeight="1">
      <c r="A6" s="279"/>
      <c r="B6" s="280" t="s">
        <v>90</v>
      </c>
      <c r="C6" s="280" t="s">
        <v>90</v>
      </c>
      <c r="D6" s="280" t="s">
        <v>90</v>
      </c>
      <c r="E6" s="281" t="s">
        <v>90</v>
      </c>
      <c r="F6" s="282">
        <f t="shared" si="1"/>
        <v>0</v>
      </c>
      <c r="G6" s="283">
        <v>0.0</v>
      </c>
      <c r="H6" s="284">
        <v>0.0</v>
      </c>
      <c r="I6" s="285" t="s">
        <v>90</v>
      </c>
      <c r="J6" s="274"/>
    </row>
    <row r="7" ht="12.75" customHeight="1">
      <c r="A7" s="286"/>
      <c r="B7" s="286"/>
      <c r="C7" s="286"/>
      <c r="D7" s="286"/>
      <c r="E7" s="287"/>
      <c r="F7" s="286"/>
      <c r="G7" s="288"/>
      <c r="H7" s="289"/>
      <c r="I7" s="290"/>
      <c r="J7" s="274"/>
    </row>
    <row r="8" ht="12.75" customHeight="1">
      <c r="A8" s="273">
        <f>A5+3</f>
        <v>43472</v>
      </c>
      <c r="B8" s="291">
        <v>390.0</v>
      </c>
      <c r="C8" s="291">
        <v>164.04</v>
      </c>
      <c r="D8" s="291">
        <v>1130.0</v>
      </c>
      <c r="E8" s="291">
        <v>250.0</v>
      </c>
      <c r="F8" s="292">
        <f t="shared" ref="F8:F13" si="3"> sum(B8:E8)</f>
        <v>1934.04</v>
      </c>
      <c r="G8" s="291">
        <v>32.0</v>
      </c>
      <c r="H8" s="291">
        <v>4.0</v>
      </c>
      <c r="I8" s="293">
        <v>250.0</v>
      </c>
      <c r="J8" s="274"/>
    </row>
    <row r="9" ht="12.75" customHeight="1">
      <c r="A9" s="273">
        <f t="shared" ref="A9:A12" si="4">A8+1</f>
        <v>43473</v>
      </c>
      <c r="B9" s="291">
        <v>100.0</v>
      </c>
      <c r="C9" s="291">
        <v>104.99</v>
      </c>
      <c r="D9" s="291">
        <v>1040.0</v>
      </c>
      <c r="E9" s="291">
        <v>100.0</v>
      </c>
      <c r="F9" s="270">
        <f t="shared" si="3"/>
        <v>1344.99</v>
      </c>
      <c r="G9" s="291">
        <v>23.0</v>
      </c>
      <c r="H9" s="291">
        <v>2.0</v>
      </c>
      <c r="I9" s="293">
        <v>100.0</v>
      </c>
      <c r="J9" s="274"/>
      <c r="K9" s="63" t="s">
        <v>91</v>
      </c>
    </row>
    <row r="10" ht="12.75" customHeight="1">
      <c r="A10" s="273">
        <f t="shared" si="4"/>
        <v>43474</v>
      </c>
      <c r="B10" s="291">
        <v>100.0</v>
      </c>
      <c r="C10" s="291">
        <v>97.36</v>
      </c>
      <c r="D10" s="291">
        <v>1050.0</v>
      </c>
      <c r="E10" s="291">
        <v>182.2</v>
      </c>
      <c r="F10" s="270">
        <f t="shared" si="3"/>
        <v>1429.56</v>
      </c>
      <c r="G10" s="291">
        <v>27.0</v>
      </c>
      <c r="H10" s="291">
        <v>3.0</v>
      </c>
      <c r="I10" s="293">
        <v>180.0</v>
      </c>
      <c r="J10" s="274"/>
      <c r="K10" s="63"/>
    </row>
    <row r="11" ht="12.75" customHeight="1">
      <c r="A11" s="273">
        <f t="shared" si="4"/>
        <v>43475</v>
      </c>
      <c r="B11" s="291">
        <v>0.0</v>
      </c>
      <c r="C11" s="291">
        <v>185.25</v>
      </c>
      <c r="D11" s="291">
        <v>507.44</v>
      </c>
      <c r="E11" s="291">
        <v>50.0</v>
      </c>
      <c r="F11" s="270">
        <f t="shared" si="3"/>
        <v>742.69</v>
      </c>
      <c r="G11" s="291">
        <v>11.0</v>
      </c>
      <c r="H11" s="291">
        <v>3.0</v>
      </c>
      <c r="I11" s="293">
        <v>50.0</v>
      </c>
      <c r="J11" s="274"/>
      <c r="L11" s="65">
        <f>L12+M12</f>
        <v>96</v>
      </c>
    </row>
    <row r="12" ht="12.75" customHeight="1">
      <c r="A12" s="273">
        <f t="shared" si="4"/>
        <v>43476</v>
      </c>
      <c r="B12" s="276"/>
      <c r="C12" s="276"/>
      <c r="D12" s="276"/>
      <c r="E12" s="276"/>
      <c r="F12" s="277">
        <f t="shared" si="3"/>
        <v>0</v>
      </c>
      <c r="G12" s="276"/>
      <c r="H12" s="276"/>
      <c r="I12" s="278"/>
      <c r="J12" s="274"/>
      <c r="K12" s="64"/>
      <c r="L12" s="72">
        <f t="shared" ref="L12:N12" si="5">SUM(L14:L18)</f>
        <v>94</v>
      </c>
      <c r="M12" s="72">
        <f t="shared" si="5"/>
        <v>2</v>
      </c>
      <c r="N12" s="73">
        <f t="shared" si="5"/>
        <v>8603.64</v>
      </c>
    </row>
    <row r="13" ht="12.75" customHeight="1">
      <c r="A13" s="279"/>
      <c r="B13" s="294">
        <v>590.0</v>
      </c>
      <c r="C13" s="294">
        <v>551.64</v>
      </c>
      <c r="D13" s="280" t="s">
        <v>92</v>
      </c>
      <c r="E13" s="295">
        <v>582.2</v>
      </c>
      <c r="F13" s="282">
        <f t="shared" si="3"/>
        <v>1723.84</v>
      </c>
      <c r="G13" s="283">
        <v>93.0</v>
      </c>
      <c r="H13" s="284">
        <v>12.0</v>
      </c>
      <c r="I13" s="296">
        <v>580.0</v>
      </c>
      <c r="J13" s="274"/>
      <c r="K13" s="78" t="s">
        <v>69</v>
      </c>
      <c r="L13" s="79">
        <v>90.0</v>
      </c>
      <c r="M13" s="79">
        <v>71.82</v>
      </c>
      <c r="N13" s="66"/>
    </row>
    <row r="14" ht="12.75" customHeight="1">
      <c r="A14" s="286"/>
      <c r="B14" s="286"/>
      <c r="C14" s="286"/>
      <c r="D14" s="286"/>
      <c r="E14" s="287"/>
      <c r="F14" s="286"/>
      <c r="G14" s="288"/>
      <c r="H14" s="289"/>
      <c r="I14" s="290"/>
      <c r="J14" s="274"/>
      <c r="K14" s="81" t="s">
        <v>70</v>
      </c>
      <c r="L14" s="81">
        <v>18.0</v>
      </c>
      <c r="M14" s="81"/>
      <c r="N14" s="82">
        <f t="shared" ref="N14:N18" si="6">L14*$L$13+M14*$M$13</f>
        <v>1620</v>
      </c>
    </row>
    <row r="15" ht="12.75" customHeight="1">
      <c r="A15" s="273">
        <f>A12+3</f>
        <v>43479</v>
      </c>
      <c r="B15" s="291">
        <v>180.0</v>
      </c>
      <c r="C15" s="291">
        <v>121.98</v>
      </c>
      <c r="D15" s="291">
        <v>830.0</v>
      </c>
      <c r="E15" s="291">
        <v>310.0</v>
      </c>
      <c r="F15" s="297">
        <f t="shared" ref="F15:F20" si="7"> sum(B15:E15)</f>
        <v>1441.98</v>
      </c>
      <c r="G15" s="291">
        <v>25.0</v>
      </c>
      <c r="H15" s="291">
        <v>3.0</v>
      </c>
      <c r="I15" s="293">
        <v>310.0</v>
      </c>
      <c r="J15" s="274"/>
      <c r="K15" s="81" t="s">
        <v>71</v>
      </c>
      <c r="L15" s="81">
        <v>29.0</v>
      </c>
      <c r="M15" s="81">
        <v>1.0</v>
      </c>
      <c r="N15" s="82">
        <f t="shared" si="6"/>
        <v>2681.82</v>
      </c>
    </row>
    <row r="16" ht="12.75" customHeight="1">
      <c r="A16" s="273">
        <f t="shared" ref="A16:A19" si="8">A15+1</f>
        <v>43480</v>
      </c>
      <c r="B16" s="291">
        <v>100.0</v>
      </c>
      <c r="C16" s="291">
        <v>0.0</v>
      </c>
      <c r="D16" s="291">
        <v>870.0</v>
      </c>
      <c r="E16" s="291">
        <v>235.0</v>
      </c>
      <c r="F16" s="277">
        <f t="shared" si="7"/>
        <v>1205</v>
      </c>
      <c r="G16" s="291">
        <v>21.0</v>
      </c>
      <c r="H16" s="291">
        <v>0.0</v>
      </c>
      <c r="I16" s="293">
        <v>210.0</v>
      </c>
      <c r="J16" s="274"/>
      <c r="K16" s="81" t="s">
        <v>72</v>
      </c>
      <c r="L16" s="81">
        <v>29.0</v>
      </c>
      <c r="M16" s="81"/>
      <c r="N16" s="82">
        <f t="shared" si="6"/>
        <v>2610</v>
      </c>
    </row>
    <row r="17" ht="12.75" customHeight="1">
      <c r="A17" s="273">
        <f t="shared" si="8"/>
        <v>43481</v>
      </c>
      <c r="B17" s="291">
        <v>100.0</v>
      </c>
      <c r="C17" s="291">
        <v>116.7</v>
      </c>
      <c r="D17" s="291">
        <v>830.0</v>
      </c>
      <c r="E17" s="291">
        <v>50.0</v>
      </c>
      <c r="F17" s="277">
        <f t="shared" si="7"/>
        <v>1096.7</v>
      </c>
      <c r="G17" s="291">
        <v>19.0</v>
      </c>
      <c r="H17" s="291">
        <v>3.0</v>
      </c>
      <c r="I17" s="293">
        <v>60.0</v>
      </c>
      <c r="J17" s="274"/>
      <c r="K17" s="81" t="s">
        <v>73</v>
      </c>
      <c r="L17" s="81">
        <v>18.0</v>
      </c>
      <c r="M17" s="81">
        <v>1.0</v>
      </c>
      <c r="N17" s="82">
        <f t="shared" si="6"/>
        <v>1691.82</v>
      </c>
    </row>
    <row r="18" ht="12.75" customHeight="1">
      <c r="A18" s="273">
        <f t="shared" si="8"/>
        <v>43482</v>
      </c>
      <c r="B18" s="291">
        <v>390.0</v>
      </c>
      <c r="C18" s="291">
        <v>305.99</v>
      </c>
      <c r="D18" s="291">
        <v>1360.0</v>
      </c>
      <c r="E18" s="291">
        <v>160.0</v>
      </c>
      <c r="F18" s="277">
        <f t="shared" si="7"/>
        <v>2215.99</v>
      </c>
      <c r="G18" s="291">
        <v>36.0</v>
      </c>
      <c r="H18" s="291">
        <v>7.0</v>
      </c>
      <c r="I18" s="293">
        <v>170.0</v>
      </c>
      <c r="J18" s="274"/>
      <c r="K18" s="81" t="s">
        <v>74</v>
      </c>
      <c r="L18" s="81"/>
      <c r="M18" s="81"/>
      <c r="N18" s="82">
        <f t="shared" si="6"/>
        <v>0</v>
      </c>
    </row>
    <row r="19" ht="12.75" customHeight="1">
      <c r="A19" s="273">
        <f t="shared" si="8"/>
        <v>43483</v>
      </c>
      <c r="B19" s="298">
        <v>50.0</v>
      </c>
      <c r="C19" s="298">
        <v>153.41</v>
      </c>
      <c r="D19" s="298">
        <v>1080.0</v>
      </c>
      <c r="E19" s="298">
        <v>210.0</v>
      </c>
      <c r="F19" s="277">
        <f t="shared" si="7"/>
        <v>1493.41</v>
      </c>
      <c r="G19" s="298">
        <v>23.0</v>
      </c>
      <c r="H19" s="298">
        <v>3.0</v>
      </c>
      <c r="I19" s="299">
        <v>200.0</v>
      </c>
      <c r="J19" s="274"/>
    </row>
    <row r="20" ht="12.75" customHeight="1">
      <c r="A20" s="279"/>
      <c r="B20" s="294">
        <v>820.0</v>
      </c>
      <c r="C20" s="294">
        <v>698.08</v>
      </c>
      <c r="D20" s="280" t="s">
        <v>93</v>
      </c>
      <c r="E20" s="294">
        <v>965.0</v>
      </c>
      <c r="F20" s="282">
        <f t="shared" si="7"/>
        <v>2483.08</v>
      </c>
      <c r="G20" s="283">
        <v>124.0</v>
      </c>
      <c r="H20" s="284">
        <v>16.0</v>
      </c>
      <c r="I20" s="296">
        <v>950.0</v>
      </c>
      <c r="J20" s="274"/>
      <c r="L20" s="65">
        <v>60.0</v>
      </c>
    </row>
    <row r="21" ht="12.75" customHeight="1">
      <c r="A21" s="286"/>
      <c r="B21" s="286"/>
      <c r="C21" s="286"/>
      <c r="D21" s="286"/>
      <c r="E21" s="286"/>
      <c r="F21" s="286"/>
      <c r="G21" s="288"/>
      <c r="H21" s="289"/>
      <c r="I21" s="290"/>
      <c r="J21" s="274"/>
      <c r="K21" s="64"/>
      <c r="L21" s="72">
        <f t="shared" ref="L21:N21" si="9">SUM(L23:L26)</f>
        <v>56</v>
      </c>
      <c r="M21" s="72">
        <f t="shared" si="9"/>
        <v>4</v>
      </c>
      <c r="N21" s="73">
        <f t="shared" si="9"/>
        <v>5322.76</v>
      </c>
    </row>
    <row r="22" ht="12.75" customHeight="1">
      <c r="A22" s="273">
        <f>A19+3</f>
        <v>43486</v>
      </c>
      <c r="B22" s="291">
        <v>400.0</v>
      </c>
      <c r="C22" s="291">
        <v>81.32</v>
      </c>
      <c r="D22" s="291">
        <v>1070.0</v>
      </c>
      <c r="E22" s="291">
        <v>640.0</v>
      </c>
      <c r="F22" s="297">
        <f t="shared" ref="F22:F27" si="10"> sum(B22:E22)</f>
        <v>2191.32</v>
      </c>
      <c r="G22" s="291">
        <v>37.0</v>
      </c>
      <c r="H22" s="291">
        <v>2.0</v>
      </c>
      <c r="I22" s="293">
        <v>640.0</v>
      </c>
      <c r="J22" s="274"/>
      <c r="K22" s="95" t="s">
        <v>75</v>
      </c>
      <c r="L22" s="79">
        <v>90.0</v>
      </c>
      <c r="M22" s="79">
        <v>70.69</v>
      </c>
      <c r="N22" s="66"/>
    </row>
    <row r="23" ht="12.75" customHeight="1">
      <c r="A23" s="273">
        <f t="shared" ref="A23:A26" si="11">A22+1</f>
        <v>43487</v>
      </c>
      <c r="B23" s="291">
        <v>240.0</v>
      </c>
      <c r="C23" s="291">
        <v>326.68</v>
      </c>
      <c r="D23" s="291">
        <v>340.0</v>
      </c>
      <c r="E23" s="291">
        <v>90.0</v>
      </c>
      <c r="F23" s="277">
        <f t="shared" si="10"/>
        <v>996.68</v>
      </c>
      <c r="G23" s="291">
        <v>19.0</v>
      </c>
      <c r="H23" s="291">
        <v>8.0</v>
      </c>
      <c r="I23" s="293">
        <v>90.0</v>
      </c>
      <c r="J23" s="274"/>
      <c r="K23" s="81" t="s">
        <v>70</v>
      </c>
      <c r="L23" s="81">
        <v>20.0</v>
      </c>
      <c r="M23" s="81"/>
      <c r="N23" s="82">
        <f t="shared" ref="N23:N26" si="12">L23*$L$22+M23*$M$22</f>
        <v>1800</v>
      </c>
    </row>
    <row r="24" ht="12.75" customHeight="1">
      <c r="A24" s="273">
        <f t="shared" si="11"/>
        <v>43488</v>
      </c>
      <c r="B24" s="291">
        <v>450.0</v>
      </c>
      <c r="C24" s="291">
        <v>155.6</v>
      </c>
      <c r="D24" s="291">
        <v>620.0</v>
      </c>
      <c r="E24" s="291">
        <v>100.0</v>
      </c>
      <c r="F24" s="277">
        <f t="shared" si="10"/>
        <v>1325.6</v>
      </c>
      <c r="G24" s="291">
        <v>23.0</v>
      </c>
      <c r="H24" s="291">
        <v>4.0</v>
      </c>
      <c r="I24" s="293">
        <v>100.0</v>
      </c>
      <c r="J24" s="274"/>
      <c r="K24" s="81" t="s">
        <v>71</v>
      </c>
      <c r="L24" s="81">
        <v>14.0</v>
      </c>
      <c r="M24" s="81"/>
      <c r="N24" s="82">
        <f t="shared" si="12"/>
        <v>1260</v>
      </c>
    </row>
    <row r="25" ht="12.75" customHeight="1">
      <c r="A25" s="273">
        <f t="shared" si="11"/>
        <v>43489</v>
      </c>
      <c r="B25" s="291">
        <v>390.0</v>
      </c>
      <c r="C25" s="291">
        <v>206.1</v>
      </c>
      <c r="D25" s="291">
        <v>1340.0</v>
      </c>
      <c r="E25" s="291">
        <v>200.0</v>
      </c>
      <c r="F25" s="277">
        <f t="shared" si="10"/>
        <v>2136.1</v>
      </c>
      <c r="G25" s="291">
        <v>34.0</v>
      </c>
      <c r="H25" s="291">
        <v>5.0</v>
      </c>
      <c r="I25" s="293">
        <v>200.0</v>
      </c>
      <c r="J25" s="274"/>
      <c r="K25" s="81" t="s">
        <v>72</v>
      </c>
      <c r="L25" s="81">
        <v>18.0</v>
      </c>
      <c r="M25" s="81">
        <v>3.0</v>
      </c>
      <c r="N25" s="82">
        <f t="shared" si="12"/>
        <v>1832.07</v>
      </c>
    </row>
    <row r="26" ht="12.75" customHeight="1">
      <c r="A26" s="273">
        <f t="shared" si="11"/>
        <v>43490</v>
      </c>
      <c r="B26" s="298">
        <v>540.0</v>
      </c>
      <c r="C26" s="298">
        <v>123.38</v>
      </c>
      <c r="D26" s="298">
        <v>820.0</v>
      </c>
      <c r="E26" s="298">
        <v>240.0</v>
      </c>
      <c r="F26" s="277">
        <f t="shared" si="10"/>
        <v>1723.38</v>
      </c>
      <c r="G26" s="298">
        <v>27.0</v>
      </c>
      <c r="H26" s="298">
        <v>3.0</v>
      </c>
      <c r="I26" s="299">
        <v>230.0</v>
      </c>
      <c r="J26" s="274"/>
      <c r="K26" s="81" t="s">
        <v>73</v>
      </c>
      <c r="L26" s="81">
        <v>4.0</v>
      </c>
      <c r="M26" s="81">
        <v>1.0</v>
      </c>
      <c r="N26" s="82">
        <f t="shared" si="12"/>
        <v>430.69</v>
      </c>
    </row>
    <row r="27" ht="12.75" customHeight="1">
      <c r="A27" s="279"/>
      <c r="B27" s="280" t="s">
        <v>94</v>
      </c>
      <c r="C27" s="294">
        <v>893.08</v>
      </c>
      <c r="D27" s="280" t="s">
        <v>95</v>
      </c>
      <c r="E27" s="280" t="s">
        <v>96</v>
      </c>
      <c r="F27" s="282">
        <f t="shared" si="10"/>
        <v>893.08</v>
      </c>
      <c r="G27" s="283">
        <v>140.0</v>
      </c>
      <c r="H27" s="285">
        <v>22.0</v>
      </c>
      <c r="I27" s="280" t="s">
        <v>97</v>
      </c>
      <c r="J27" s="274"/>
    </row>
    <row r="28" ht="12.75" customHeight="1">
      <c r="A28" s="286"/>
      <c r="B28" s="286"/>
      <c r="C28" s="286"/>
      <c r="D28" s="286"/>
      <c r="E28" s="286"/>
      <c r="F28" s="286"/>
      <c r="G28" s="288"/>
      <c r="H28" s="290"/>
      <c r="I28" s="286"/>
      <c r="J28" s="274"/>
      <c r="L28" s="65">
        <f>L29+M29</f>
        <v>72</v>
      </c>
    </row>
    <row r="29" ht="12.75" customHeight="1">
      <c r="A29" s="273">
        <f>A26+3</f>
        <v>43493</v>
      </c>
      <c r="B29" s="291">
        <v>190.0</v>
      </c>
      <c r="C29" s="291">
        <v>121.98</v>
      </c>
      <c r="D29" s="291">
        <v>870.0</v>
      </c>
      <c r="E29" s="291">
        <v>90.0</v>
      </c>
      <c r="F29" s="297">
        <f t="shared" ref="F29:F33" si="14"> sum(B29:E29)</f>
        <v>1271.98</v>
      </c>
      <c r="G29" s="291">
        <v>22.0</v>
      </c>
      <c r="H29" s="291">
        <v>3.0</v>
      </c>
      <c r="I29" s="293">
        <v>100.0</v>
      </c>
      <c r="J29" s="274"/>
      <c r="K29" s="66"/>
      <c r="L29" s="72">
        <f t="shared" ref="L29:N29" si="13">SUM(L31:L35)</f>
        <v>65</v>
      </c>
      <c r="M29" s="72">
        <f t="shared" si="13"/>
        <v>7</v>
      </c>
      <c r="N29" s="73">
        <f t="shared" si="13"/>
        <v>6344.83</v>
      </c>
    </row>
    <row r="30" ht="12.75" customHeight="1">
      <c r="A30" s="273">
        <f t="shared" ref="A30:A32" si="15">A29+1</f>
        <v>43494</v>
      </c>
      <c r="B30" s="291">
        <v>340.0</v>
      </c>
      <c r="C30" s="291">
        <v>273.99</v>
      </c>
      <c r="D30" s="291">
        <v>1050.0</v>
      </c>
      <c r="E30" s="291">
        <v>0.0</v>
      </c>
      <c r="F30" s="277">
        <f t="shared" si="14"/>
        <v>1663.99</v>
      </c>
      <c r="G30" s="291">
        <v>27.0</v>
      </c>
      <c r="H30" s="291">
        <v>6.0</v>
      </c>
      <c r="I30" s="293">
        <v>0.0</v>
      </c>
      <c r="J30" s="274"/>
      <c r="K30" s="95" t="s">
        <v>76</v>
      </c>
      <c r="L30" s="96">
        <v>90.0</v>
      </c>
      <c r="M30" s="96">
        <v>70.69</v>
      </c>
      <c r="N30" s="66"/>
    </row>
    <row r="31" ht="12.75" customHeight="1">
      <c r="A31" s="273">
        <f t="shared" si="15"/>
        <v>43495</v>
      </c>
      <c r="B31" s="291">
        <v>190.0</v>
      </c>
      <c r="C31" s="291">
        <v>142.29</v>
      </c>
      <c r="D31" s="291">
        <v>826.47</v>
      </c>
      <c r="E31" s="291">
        <v>120.0</v>
      </c>
      <c r="F31" s="277">
        <f t="shared" si="14"/>
        <v>1278.76</v>
      </c>
      <c r="G31" s="291">
        <v>22.0</v>
      </c>
      <c r="H31" s="291">
        <v>5.0</v>
      </c>
      <c r="I31" s="293">
        <v>120.0</v>
      </c>
      <c r="J31" s="274"/>
      <c r="K31" s="81" t="s">
        <v>70</v>
      </c>
      <c r="L31" s="81">
        <v>4.0</v>
      </c>
      <c r="M31" s="81"/>
      <c r="N31" s="82">
        <f t="shared" ref="N31:N35" si="16">L31*$L$30+M31*$M$30</f>
        <v>360</v>
      </c>
    </row>
    <row r="32" ht="12.75" customHeight="1">
      <c r="A32" s="273">
        <f t="shared" si="15"/>
        <v>43496</v>
      </c>
      <c r="B32" s="291">
        <v>300.0</v>
      </c>
      <c r="C32" s="291">
        <v>243.96</v>
      </c>
      <c r="D32" s="291">
        <v>1110.0</v>
      </c>
      <c r="E32" s="291">
        <v>140.0</v>
      </c>
      <c r="F32" s="277">
        <f t="shared" si="14"/>
        <v>1793.96</v>
      </c>
      <c r="G32" s="291">
        <v>32.0</v>
      </c>
      <c r="H32" s="291">
        <v>6.0</v>
      </c>
      <c r="I32" s="293">
        <v>140.0</v>
      </c>
      <c r="J32" s="274"/>
      <c r="K32" s="81" t="s">
        <v>71</v>
      </c>
      <c r="L32" s="81">
        <v>29.0</v>
      </c>
      <c r="M32" s="81">
        <v>4.0</v>
      </c>
      <c r="N32" s="82">
        <f t="shared" si="16"/>
        <v>2892.76</v>
      </c>
    </row>
    <row r="33" ht="12.75" customHeight="1">
      <c r="A33" s="300"/>
      <c r="B33" s="301" t="s">
        <v>98</v>
      </c>
      <c r="C33" s="302">
        <v>782.22</v>
      </c>
      <c r="D33" s="303" t="s">
        <v>99</v>
      </c>
      <c r="E33" s="304">
        <v>350.0</v>
      </c>
      <c r="F33" s="282">
        <f t="shared" si="14"/>
        <v>1132.22</v>
      </c>
      <c r="G33" s="305">
        <v>103.0</v>
      </c>
      <c r="H33" s="303">
        <v>20.0</v>
      </c>
      <c r="I33" s="306">
        <v>360.0</v>
      </c>
      <c r="J33" s="274"/>
      <c r="K33" s="81" t="s">
        <v>72</v>
      </c>
      <c r="L33" s="81"/>
      <c r="M33" s="81"/>
      <c r="N33" s="82">
        <f t="shared" si="16"/>
        <v>0</v>
      </c>
    </row>
    <row r="34" ht="12.75" customHeight="1">
      <c r="A34" s="286"/>
      <c r="B34" s="307"/>
      <c r="C34" s="289"/>
      <c r="D34" s="289"/>
      <c r="E34" s="308"/>
      <c r="F34" s="286"/>
      <c r="G34" s="288"/>
      <c r="H34" s="289"/>
      <c r="I34" s="290"/>
      <c r="J34" s="274"/>
      <c r="K34" s="81" t="s">
        <v>73</v>
      </c>
      <c r="L34" s="81">
        <v>19.0</v>
      </c>
      <c r="M34" s="81">
        <v>1.0</v>
      </c>
      <c r="N34" s="82">
        <f t="shared" si="16"/>
        <v>1780.69</v>
      </c>
    </row>
    <row r="35" ht="12.75" customHeight="1">
      <c r="A35" s="309">
        <f>A32+1</f>
        <v>43497</v>
      </c>
      <c r="B35" s="291">
        <v>0.0</v>
      </c>
      <c r="C35" s="291">
        <v>0.0</v>
      </c>
      <c r="D35" s="291">
        <v>0.0</v>
      </c>
      <c r="E35" s="291">
        <v>0.0</v>
      </c>
      <c r="F35" s="297">
        <f t="shared" ref="F35:F36" si="17"> sum(B35:E35)</f>
        <v>0</v>
      </c>
      <c r="G35" s="291">
        <v>0.0</v>
      </c>
      <c r="H35" s="291">
        <v>0.0</v>
      </c>
      <c r="I35" s="293">
        <v>0.0</v>
      </c>
      <c r="J35" s="272" t="s">
        <v>100</v>
      </c>
      <c r="K35" s="81" t="s">
        <v>74</v>
      </c>
      <c r="L35" s="81">
        <v>13.0</v>
      </c>
      <c r="M35" s="81">
        <v>2.0</v>
      </c>
      <c r="N35" s="82">
        <f t="shared" si="16"/>
        <v>1311.38</v>
      </c>
    </row>
    <row r="36" ht="12.75" customHeight="1">
      <c r="A36" s="300"/>
      <c r="B36" s="310" t="s">
        <v>90</v>
      </c>
      <c r="C36" s="311" t="s">
        <v>90</v>
      </c>
      <c r="D36" s="311" t="s">
        <v>90</v>
      </c>
      <c r="E36" s="312" t="s">
        <v>90</v>
      </c>
      <c r="F36" s="282">
        <f t="shared" si="17"/>
        <v>0</v>
      </c>
      <c r="G36" s="313">
        <v>0.0</v>
      </c>
      <c r="H36" s="311">
        <v>0.0</v>
      </c>
      <c r="I36" s="314" t="s">
        <v>90</v>
      </c>
      <c r="J36" s="274"/>
    </row>
    <row r="37" ht="12.75" customHeight="1">
      <c r="A37" s="286"/>
      <c r="B37" s="307"/>
      <c r="C37" s="289"/>
      <c r="D37" s="289"/>
      <c r="E37" s="308"/>
      <c r="F37" s="286"/>
      <c r="G37" s="288"/>
      <c r="H37" s="289"/>
      <c r="I37" s="290"/>
      <c r="J37" s="274"/>
      <c r="L37" s="65">
        <f>L38+M38</f>
        <v>106</v>
      </c>
    </row>
    <row r="38" ht="12.75" customHeight="1">
      <c r="A38" s="273">
        <f>A35+3</f>
        <v>43500</v>
      </c>
      <c r="B38" s="291">
        <v>310.0</v>
      </c>
      <c r="C38" s="291">
        <v>164.04</v>
      </c>
      <c r="D38" s="291">
        <v>1460.0</v>
      </c>
      <c r="E38" s="291">
        <v>190.0</v>
      </c>
      <c r="F38" s="297">
        <f t="shared" ref="F38:F43" si="19"> sum(B38:E38)</f>
        <v>2124.04</v>
      </c>
      <c r="G38" s="291">
        <v>36.0</v>
      </c>
      <c r="H38" s="291">
        <v>4.0</v>
      </c>
      <c r="I38" s="293">
        <v>190.0</v>
      </c>
      <c r="J38" s="274"/>
      <c r="K38" s="66"/>
      <c r="L38" s="72">
        <f t="shared" ref="L38:N38" si="18">SUM(L40:L44)</f>
        <v>85</v>
      </c>
      <c r="M38" s="72">
        <f t="shared" si="18"/>
        <v>21</v>
      </c>
      <c r="N38" s="73">
        <f t="shared" si="18"/>
        <v>9158.22</v>
      </c>
    </row>
    <row r="39" ht="12.75" customHeight="1">
      <c r="A39" s="273">
        <f t="shared" ref="A39:A42" si="20">A38+1</f>
        <v>43501</v>
      </c>
      <c r="B39" s="291">
        <v>120.0</v>
      </c>
      <c r="C39" s="291">
        <v>203.3</v>
      </c>
      <c r="D39" s="291">
        <v>690.0</v>
      </c>
      <c r="E39" s="291">
        <v>90.0</v>
      </c>
      <c r="F39" s="277">
        <f t="shared" si="19"/>
        <v>1103.3</v>
      </c>
      <c r="G39" s="291">
        <v>21.0</v>
      </c>
      <c r="H39" s="291">
        <v>5.0</v>
      </c>
      <c r="I39" s="293">
        <v>90.0</v>
      </c>
      <c r="J39" s="274"/>
      <c r="K39" s="95" t="s">
        <v>77</v>
      </c>
      <c r="L39" s="96">
        <v>90.0</v>
      </c>
      <c r="M39" s="96">
        <v>71.82</v>
      </c>
      <c r="N39" s="66"/>
    </row>
    <row r="40" ht="12.75" customHeight="1">
      <c r="A40" s="273">
        <f t="shared" si="20"/>
        <v>43502</v>
      </c>
      <c r="B40" s="291">
        <v>50.0</v>
      </c>
      <c r="C40" s="291">
        <v>335.36</v>
      </c>
      <c r="D40" s="291">
        <v>669.0</v>
      </c>
      <c r="E40" s="291">
        <v>100.0</v>
      </c>
      <c r="F40" s="277">
        <f t="shared" si="19"/>
        <v>1154.36</v>
      </c>
      <c r="G40" s="291">
        <v>25.0</v>
      </c>
      <c r="H40" s="291">
        <v>9.0</v>
      </c>
      <c r="I40" s="293">
        <v>100.0</v>
      </c>
      <c r="J40" s="274"/>
      <c r="K40" s="81" t="s">
        <v>70</v>
      </c>
      <c r="L40" s="81">
        <v>21.0</v>
      </c>
      <c r="M40" s="81">
        <v>8.0</v>
      </c>
      <c r="N40" s="82">
        <f t="shared" ref="N40:N44" si="21">L40*$L$39+M40*$M$39</f>
        <v>2464.56</v>
      </c>
    </row>
    <row r="41" ht="12.75" customHeight="1">
      <c r="A41" s="273">
        <f t="shared" si="20"/>
        <v>43503</v>
      </c>
      <c r="B41" s="291">
        <v>380.0</v>
      </c>
      <c r="C41" s="291">
        <v>415.45</v>
      </c>
      <c r="D41" s="291">
        <v>1178.84</v>
      </c>
      <c r="E41" s="291">
        <v>150.0</v>
      </c>
      <c r="F41" s="277">
        <f t="shared" si="19"/>
        <v>2124.29</v>
      </c>
      <c r="G41" s="291">
        <v>38.0</v>
      </c>
      <c r="H41" s="291">
        <v>8.0</v>
      </c>
      <c r="I41" s="293">
        <v>150.0</v>
      </c>
      <c r="J41" s="274"/>
      <c r="K41" s="81" t="s">
        <v>71</v>
      </c>
      <c r="L41" s="81">
        <v>24.0</v>
      </c>
      <c r="M41" s="81">
        <v>4.0</v>
      </c>
      <c r="N41" s="82">
        <f t="shared" si="21"/>
        <v>2447.28</v>
      </c>
    </row>
    <row r="42" ht="12.75" customHeight="1">
      <c r="A42" s="273">
        <f t="shared" si="20"/>
        <v>43504</v>
      </c>
      <c r="B42" s="298">
        <v>100.0</v>
      </c>
      <c r="C42" s="298">
        <v>178.52</v>
      </c>
      <c r="D42" s="298">
        <v>1060.0</v>
      </c>
      <c r="E42" s="298">
        <v>0.0</v>
      </c>
      <c r="F42" s="277">
        <f t="shared" si="19"/>
        <v>1338.52</v>
      </c>
      <c r="G42" s="298">
        <v>23.0</v>
      </c>
      <c r="H42" s="298">
        <v>4.0</v>
      </c>
      <c r="I42" s="299">
        <v>0.0</v>
      </c>
      <c r="J42" s="274"/>
      <c r="K42" s="81" t="s">
        <v>72</v>
      </c>
      <c r="L42" s="81">
        <v>20.0</v>
      </c>
      <c r="M42" s="81">
        <v>5.0</v>
      </c>
      <c r="N42" s="82">
        <f t="shared" si="21"/>
        <v>2159.1</v>
      </c>
    </row>
    <row r="43" ht="12.75" customHeight="1">
      <c r="A43" s="279"/>
      <c r="B43" s="294">
        <v>960.0</v>
      </c>
      <c r="C43" s="280" t="s">
        <v>101</v>
      </c>
      <c r="D43" s="280" t="s">
        <v>102</v>
      </c>
      <c r="E43" s="294">
        <v>530.0</v>
      </c>
      <c r="F43" s="282">
        <f t="shared" si="19"/>
        <v>1490</v>
      </c>
      <c r="G43" s="283">
        <v>143.0</v>
      </c>
      <c r="H43" s="284">
        <v>30.0</v>
      </c>
      <c r="I43" s="296">
        <v>530.0</v>
      </c>
      <c r="J43" s="274"/>
      <c r="K43" s="81" t="s">
        <v>73</v>
      </c>
      <c r="L43" s="81">
        <v>13.0</v>
      </c>
      <c r="M43" s="81">
        <v>1.0</v>
      </c>
      <c r="N43" s="82">
        <f t="shared" si="21"/>
        <v>1241.82</v>
      </c>
    </row>
    <row r="44" ht="12.75" customHeight="1">
      <c r="A44" s="286"/>
      <c r="B44" s="286"/>
      <c r="C44" s="286"/>
      <c r="D44" s="286"/>
      <c r="E44" s="286"/>
      <c r="F44" s="286"/>
      <c r="G44" s="288"/>
      <c r="H44" s="289"/>
      <c r="I44" s="290"/>
      <c r="J44" s="274"/>
      <c r="K44" s="81" t="s">
        <v>74</v>
      </c>
      <c r="L44" s="81">
        <v>7.0</v>
      </c>
      <c r="M44" s="81">
        <v>3.0</v>
      </c>
      <c r="N44" s="82">
        <f t="shared" si="21"/>
        <v>845.46</v>
      </c>
    </row>
    <row r="45" ht="12.75" customHeight="1">
      <c r="A45" s="315">
        <f>A42+3</f>
        <v>43507</v>
      </c>
      <c r="B45" s="291">
        <v>380.0</v>
      </c>
      <c r="C45" s="291">
        <v>81.32</v>
      </c>
      <c r="D45" s="291">
        <v>710.0</v>
      </c>
      <c r="E45" s="291">
        <v>50.0</v>
      </c>
      <c r="F45" s="297">
        <f t="shared" ref="F45:F50" si="22"> sum(B45:E45)</f>
        <v>1221.32</v>
      </c>
      <c r="G45" s="291">
        <v>22.0</v>
      </c>
      <c r="H45" s="291">
        <v>2.0</v>
      </c>
      <c r="I45" s="293">
        <v>50.0</v>
      </c>
      <c r="J45" s="274"/>
    </row>
    <row r="46" ht="12.75" customHeight="1">
      <c r="A46" s="315">
        <f t="shared" ref="A46:A49" si="23">A45+1</f>
        <v>43508</v>
      </c>
      <c r="B46" s="291">
        <v>100.0</v>
      </c>
      <c r="C46" s="291">
        <v>121.98</v>
      </c>
      <c r="D46" s="291">
        <v>740.0</v>
      </c>
      <c r="E46" s="291">
        <v>150.0</v>
      </c>
      <c r="F46" s="277">
        <f t="shared" si="22"/>
        <v>1111.98</v>
      </c>
      <c r="G46" s="291">
        <v>22.0</v>
      </c>
      <c r="H46" s="291">
        <v>3.0</v>
      </c>
      <c r="I46" s="293">
        <v>170.0</v>
      </c>
      <c r="J46" s="274"/>
      <c r="L46" s="65">
        <f>L47+M47</f>
        <v>76</v>
      </c>
    </row>
    <row r="47" ht="12.75" customHeight="1">
      <c r="A47" s="315">
        <f t="shared" si="23"/>
        <v>43509</v>
      </c>
      <c r="B47" s="291">
        <v>100.0</v>
      </c>
      <c r="C47" s="291">
        <v>311.2</v>
      </c>
      <c r="D47" s="291">
        <v>580.0</v>
      </c>
      <c r="E47" s="291">
        <v>140.0</v>
      </c>
      <c r="F47" s="277">
        <f t="shared" si="22"/>
        <v>1131.2</v>
      </c>
      <c r="G47" s="291">
        <v>22.0</v>
      </c>
      <c r="H47" s="291">
        <v>9.0</v>
      </c>
      <c r="I47" s="293">
        <v>140.0</v>
      </c>
      <c r="J47" s="274"/>
      <c r="K47" s="66"/>
      <c r="L47" s="72">
        <f t="shared" ref="L47:M47" si="24">SUM(L49:L53)</f>
        <v>68</v>
      </c>
      <c r="M47" s="72">
        <f t="shared" si="24"/>
        <v>8</v>
      </c>
      <c r="N47" s="73">
        <f>SUM(N49:N54)</f>
        <v>6694.56</v>
      </c>
    </row>
    <row r="48" ht="12.75" customHeight="1">
      <c r="A48" s="315">
        <f t="shared" si="23"/>
        <v>43510</v>
      </c>
      <c r="B48" s="291">
        <v>260.0</v>
      </c>
      <c r="C48" s="291">
        <v>325.28</v>
      </c>
      <c r="D48" s="291">
        <v>960.0</v>
      </c>
      <c r="E48" s="291">
        <v>260.0</v>
      </c>
      <c r="F48" s="277">
        <f t="shared" si="22"/>
        <v>1805.28</v>
      </c>
      <c r="G48" s="291">
        <v>31.0</v>
      </c>
      <c r="H48" s="291">
        <v>8.0</v>
      </c>
      <c r="I48" s="293">
        <v>260.0</v>
      </c>
      <c r="J48" s="274"/>
      <c r="K48" s="95" t="s">
        <v>78</v>
      </c>
      <c r="L48" s="79">
        <v>90.0</v>
      </c>
      <c r="M48" s="79">
        <v>71.82</v>
      </c>
      <c r="N48" s="66"/>
    </row>
    <row r="49" ht="12.75" customHeight="1">
      <c r="A49" s="315">
        <f t="shared" si="23"/>
        <v>43511</v>
      </c>
      <c r="B49" s="298">
        <v>50.0</v>
      </c>
      <c r="C49" s="298">
        <v>204.7</v>
      </c>
      <c r="D49" s="298">
        <v>840.0</v>
      </c>
      <c r="E49" s="298">
        <v>50.0</v>
      </c>
      <c r="F49" s="277">
        <f t="shared" si="22"/>
        <v>1144.7</v>
      </c>
      <c r="G49" s="298">
        <v>22.0</v>
      </c>
      <c r="H49" s="298">
        <v>5.0</v>
      </c>
      <c r="I49" s="299">
        <v>50.0</v>
      </c>
      <c r="J49" s="274"/>
      <c r="K49" s="81" t="s">
        <v>70</v>
      </c>
      <c r="L49" s="81">
        <v>11.0</v>
      </c>
      <c r="M49" s="81">
        <v>4.0</v>
      </c>
      <c r="N49" s="82">
        <f t="shared" ref="N49:N53" si="25">L49*$L$48+M49*$M$48</f>
        <v>1277.28</v>
      </c>
    </row>
    <row r="50" ht="12.75" customHeight="1">
      <c r="A50" s="316"/>
      <c r="B50" s="294">
        <v>890.0</v>
      </c>
      <c r="C50" s="280" t="s">
        <v>103</v>
      </c>
      <c r="D50" s="280" t="s">
        <v>104</v>
      </c>
      <c r="E50" s="294">
        <v>650.0</v>
      </c>
      <c r="F50" s="282">
        <f t="shared" si="22"/>
        <v>1540</v>
      </c>
      <c r="G50" s="317">
        <v>119.0</v>
      </c>
      <c r="H50" s="285">
        <v>27.0</v>
      </c>
      <c r="I50" s="294">
        <v>670.0</v>
      </c>
      <c r="J50" s="274"/>
      <c r="K50" s="81" t="s">
        <v>71</v>
      </c>
      <c r="L50" s="81">
        <v>16.0</v>
      </c>
      <c r="M50" s="81"/>
      <c r="N50" s="82">
        <f t="shared" si="25"/>
        <v>1440</v>
      </c>
    </row>
    <row r="51" ht="12.75" customHeight="1">
      <c r="A51" s="318"/>
      <c r="B51" s="286"/>
      <c r="C51" s="286"/>
      <c r="D51" s="286"/>
      <c r="E51" s="286"/>
      <c r="F51" s="286"/>
      <c r="G51" s="307"/>
      <c r="H51" s="290"/>
      <c r="I51" s="286"/>
      <c r="J51" s="274"/>
      <c r="K51" s="81" t="s">
        <v>72</v>
      </c>
      <c r="L51" s="81">
        <v>23.0</v>
      </c>
      <c r="M51" s="81">
        <v>1.0</v>
      </c>
      <c r="N51" s="82">
        <f t="shared" si="25"/>
        <v>2141.82</v>
      </c>
    </row>
    <row r="52" ht="12.75" customHeight="1">
      <c r="A52" s="319">
        <f>A49+3</f>
        <v>43514</v>
      </c>
      <c r="B52" s="293">
        <v>400.0</v>
      </c>
      <c r="C52" s="293">
        <v>199.78</v>
      </c>
      <c r="D52" s="293">
        <v>1260.0</v>
      </c>
      <c r="E52" s="291">
        <v>100.0</v>
      </c>
      <c r="F52" s="297">
        <f t="shared" ref="F52:F57" si="26"> sum(B52:E52)</f>
        <v>1959.78</v>
      </c>
      <c r="G52" s="291">
        <v>34.0</v>
      </c>
      <c r="H52" s="291">
        <v>5.0</v>
      </c>
      <c r="I52" s="293">
        <v>100.0</v>
      </c>
      <c r="J52" s="274"/>
      <c r="K52" s="81" t="s">
        <v>73</v>
      </c>
      <c r="L52" s="81">
        <v>18.0</v>
      </c>
      <c r="M52" s="81">
        <v>3.0</v>
      </c>
      <c r="N52" s="82">
        <f t="shared" si="25"/>
        <v>1835.46</v>
      </c>
    </row>
    <row r="53" ht="12.75" customHeight="1">
      <c r="A53" s="319">
        <f t="shared" ref="A53:A56" si="27">A52+1</f>
        <v>43515</v>
      </c>
      <c r="B53" s="293">
        <v>510.0</v>
      </c>
      <c r="C53" s="293">
        <v>201.18</v>
      </c>
      <c r="D53" s="293">
        <v>830.0</v>
      </c>
      <c r="E53" s="291">
        <v>190.0</v>
      </c>
      <c r="F53" s="277">
        <f t="shared" si="26"/>
        <v>1731.18</v>
      </c>
      <c r="G53" s="291">
        <v>32.0</v>
      </c>
      <c r="H53" s="291">
        <v>5.0</v>
      </c>
      <c r="I53" s="293">
        <v>190.0</v>
      </c>
      <c r="J53" s="274"/>
      <c r="K53" s="81" t="s">
        <v>74</v>
      </c>
      <c r="L53" s="81"/>
      <c r="M53" s="81"/>
      <c r="N53" s="82">
        <f t="shared" si="25"/>
        <v>0</v>
      </c>
    </row>
    <row r="54" ht="12.75" customHeight="1">
      <c r="A54" s="319">
        <f t="shared" si="27"/>
        <v>43516</v>
      </c>
      <c r="B54" s="293">
        <v>520.0</v>
      </c>
      <c r="C54" s="293">
        <v>182.83</v>
      </c>
      <c r="D54" s="293">
        <v>671.67</v>
      </c>
      <c r="E54" s="291">
        <v>50.0</v>
      </c>
      <c r="F54" s="277">
        <f t="shared" si="26"/>
        <v>1424.5</v>
      </c>
      <c r="G54" s="291">
        <v>28.0</v>
      </c>
      <c r="H54" s="291">
        <v>5.0</v>
      </c>
      <c r="I54" s="293">
        <v>50.0</v>
      </c>
      <c r="J54" s="274"/>
    </row>
    <row r="55" ht="12.75" customHeight="1">
      <c r="A55" s="319">
        <f t="shared" si="27"/>
        <v>43517</v>
      </c>
      <c r="B55" s="293">
        <v>480.0</v>
      </c>
      <c r="C55" s="293">
        <v>332.29</v>
      </c>
      <c r="D55" s="293">
        <v>870.0</v>
      </c>
      <c r="E55" s="291">
        <v>100.0</v>
      </c>
      <c r="F55" s="277">
        <f t="shared" si="26"/>
        <v>1782.29</v>
      </c>
      <c r="G55" s="291">
        <v>32.0</v>
      </c>
      <c r="H55" s="291">
        <v>6.0</v>
      </c>
      <c r="I55" s="293">
        <v>100.0</v>
      </c>
      <c r="J55" s="274"/>
      <c r="L55" s="65">
        <f>L56+M56</f>
        <v>50</v>
      </c>
    </row>
    <row r="56" ht="12.75" customHeight="1">
      <c r="A56" s="319">
        <f t="shared" si="27"/>
        <v>43518</v>
      </c>
      <c r="B56" s="299">
        <v>160.0</v>
      </c>
      <c r="C56" s="299">
        <v>335.45</v>
      </c>
      <c r="D56" s="299">
        <v>900.0</v>
      </c>
      <c r="E56" s="298">
        <v>90.0</v>
      </c>
      <c r="F56" s="277">
        <f t="shared" si="26"/>
        <v>1485.45</v>
      </c>
      <c r="G56" s="298">
        <v>25.0</v>
      </c>
      <c r="H56" s="298">
        <v>7.0</v>
      </c>
      <c r="I56" s="299">
        <v>90.0</v>
      </c>
      <c r="J56" s="274"/>
      <c r="K56" s="66"/>
      <c r="L56" s="72">
        <f t="shared" ref="L56:N56" si="28">SUM(L58:L62)</f>
        <v>44</v>
      </c>
      <c r="M56" s="72">
        <f t="shared" si="28"/>
        <v>6</v>
      </c>
      <c r="N56" s="73">
        <f t="shared" si="28"/>
        <v>4390.92</v>
      </c>
    </row>
    <row r="57" ht="12.75" customHeight="1">
      <c r="A57" s="279"/>
      <c r="B57" s="280" t="s">
        <v>105</v>
      </c>
      <c r="C57" s="280" t="s">
        <v>106</v>
      </c>
      <c r="D57" s="280" t="s">
        <v>107</v>
      </c>
      <c r="E57" s="294">
        <v>530.0</v>
      </c>
      <c r="F57" s="282">
        <f t="shared" si="26"/>
        <v>530</v>
      </c>
      <c r="G57" s="317">
        <v>151.0</v>
      </c>
      <c r="H57" s="284">
        <v>28.0</v>
      </c>
      <c r="I57" s="296">
        <v>530.0</v>
      </c>
      <c r="J57" s="274"/>
      <c r="K57" s="78" t="s">
        <v>79</v>
      </c>
      <c r="L57" s="79">
        <v>90.0</v>
      </c>
      <c r="M57" s="79">
        <v>71.82</v>
      </c>
      <c r="N57" s="66"/>
    </row>
    <row r="58" ht="12.75" customHeight="1">
      <c r="A58" s="286"/>
      <c r="B58" s="286"/>
      <c r="C58" s="286"/>
      <c r="D58" s="286"/>
      <c r="E58" s="286"/>
      <c r="F58" s="286"/>
      <c r="G58" s="307"/>
      <c r="H58" s="289"/>
      <c r="I58" s="290"/>
      <c r="J58" s="274"/>
      <c r="K58" s="81" t="s">
        <v>70</v>
      </c>
      <c r="L58" s="81">
        <v>0.0</v>
      </c>
      <c r="M58" s="81">
        <v>0.0</v>
      </c>
      <c r="N58" s="82">
        <f t="shared" ref="N58:N62" si="29">L58*$L$57+M58*$M$57</f>
        <v>0</v>
      </c>
    </row>
    <row r="59" ht="12.75" customHeight="1">
      <c r="A59" s="319">
        <f>A56+3</f>
        <v>43521</v>
      </c>
      <c r="B59" s="271"/>
      <c r="C59" s="271"/>
      <c r="D59" s="271"/>
      <c r="E59" s="269"/>
      <c r="F59" s="297">
        <f t="shared" ref="F59:F63" si="30"> sum(B59:E59)</f>
        <v>0</v>
      </c>
      <c r="G59" s="269"/>
      <c r="H59" s="269"/>
      <c r="I59" s="271"/>
      <c r="J59" s="274"/>
      <c r="K59" s="81" t="s">
        <v>71</v>
      </c>
      <c r="L59" s="81">
        <v>18.0</v>
      </c>
      <c r="M59" s="81">
        <v>5.0</v>
      </c>
      <c r="N59" s="82">
        <f t="shared" si="29"/>
        <v>1979.1</v>
      </c>
    </row>
    <row r="60" ht="12.75" customHeight="1">
      <c r="A60" s="319">
        <f t="shared" ref="A60:A62" si="31">A59+1</f>
        <v>43522</v>
      </c>
      <c r="B60" s="293">
        <v>250.0</v>
      </c>
      <c r="C60" s="293">
        <v>231.57</v>
      </c>
      <c r="D60" s="293">
        <v>1010.0</v>
      </c>
      <c r="E60" s="291">
        <v>170.0</v>
      </c>
      <c r="F60" s="277">
        <f t="shared" si="30"/>
        <v>1661.57</v>
      </c>
      <c r="G60" s="291">
        <v>35.0</v>
      </c>
      <c r="H60" s="291">
        <v>5.0</v>
      </c>
      <c r="I60" s="293">
        <v>170.0</v>
      </c>
      <c r="J60" s="274"/>
      <c r="K60" s="81" t="s">
        <v>72</v>
      </c>
      <c r="L60" s="81">
        <v>17.0</v>
      </c>
      <c r="M60" s="81">
        <v>1.0</v>
      </c>
      <c r="N60" s="82">
        <f t="shared" si="29"/>
        <v>1601.82</v>
      </c>
    </row>
    <row r="61" ht="12.75" customHeight="1">
      <c r="A61" s="319">
        <f t="shared" si="31"/>
        <v>43523</v>
      </c>
      <c r="B61" s="291">
        <v>170.0</v>
      </c>
      <c r="C61" s="291">
        <v>344.75</v>
      </c>
      <c r="D61" s="291">
        <v>451.57</v>
      </c>
      <c r="E61" s="291">
        <v>160.0</v>
      </c>
      <c r="F61" s="277">
        <f t="shared" si="30"/>
        <v>1126.32</v>
      </c>
      <c r="G61" s="320">
        <v>24.0</v>
      </c>
      <c r="H61" s="291">
        <v>9.0</v>
      </c>
      <c r="I61" s="293">
        <v>160.0</v>
      </c>
      <c r="J61" s="274"/>
      <c r="K61" s="81" t="s">
        <v>73</v>
      </c>
      <c r="L61" s="81">
        <v>9.0</v>
      </c>
      <c r="M61" s="81"/>
      <c r="N61" s="82">
        <f t="shared" si="29"/>
        <v>810</v>
      </c>
    </row>
    <row r="62" ht="12.75" customHeight="1">
      <c r="A62" s="319">
        <f t="shared" si="31"/>
        <v>43524</v>
      </c>
      <c r="B62" s="298">
        <v>250.0</v>
      </c>
      <c r="C62" s="298">
        <v>162.64</v>
      </c>
      <c r="D62" s="298">
        <v>1610.0</v>
      </c>
      <c r="E62" s="298">
        <v>100.0</v>
      </c>
      <c r="F62" s="277">
        <f t="shared" si="30"/>
        <v>2122.64</v>
      </c>
      <c r="G62" s="298">
        <v>38.0</v>
      </c>
      <c r="H62" s="298">
        <v>4.0</v>
      </c>
      <c r="I62" s="299">
        <v>100.0</v>
      </c>
      <c r="J62" s="274"/>
      <c r="K62" s="81" t="s">
        <v>74</v>
      </c>
      <c r="L62" s="81"/>
      <c r="M62" s="81"/>
      <c r="N62" s="82">
        <f t="shared" si="29"/>
        <v>0</v>
      </c>
    </row>
    <row r="63" ht="12.75" customHeight="1">
      <c r="A63" s="279"/>
      <c r="B63" s="294">
        <v>670.0</v>
      </c>
      <c r="C63" s="294">
        <v>738.96</v>
      </c>
      <c r="D63" s="280" t="s">
        <v>108</v>
      </c>
      <c r="E63" s="294">
        <v>430.0</v>
      </c>
      <c r="F63" s="282">
        <f t="shared" si="30"/>
        <v>1838.96</v>
      </c>
      <c r="G63" s="317">
        <v>97.0</v>
      </c>
      <c r="H63" s="285">
        <v>18.0</v>
      </c>
      <c r="I63" s="294">
        <v>430.0</v>
      </c>
      <c r="J63" s="274"/>
    </row>
    <row r="64" ht="12.75" customHeight="1">
      <c r="A64" s="286"/>
      <c r="B64" s="286"/>
      <c r="C64" s="286"/>
      <c r="D64" s="286"/>
      <c r="E64" s="286"/>
      <c r="F64" s="286"/>
      <c r="G64" s="307"/>
      <c r="H64" s="290"/>
      <c r="I64" s="286"/>
      <c r="J64" s="274"/>
      <c r="L64" s="65">
        <f>L65+M65</f>
        <v>79</v>
      </c>
    </row>
    <row r="65" ht="39.75" customHeight="1">
      <c r="A65" s="275">
        <f>A62+1</f>
        <v>43525</v>
      </c>
      <c r="B65" s="298">
        <v>260.0</v>
      </c>
      <c r="C65" s="298">
        <v>302.26</v>
      </c>
      <c r="D65" s="298">
        <v>1300.0</v>
      </c>
      <c r="E65" s="298">
        <v>190.0</v>
      </c>
      <c r="F65" s="297">
        <f t="shared" ref="F65:F66" si="33"> sum(B65:E65)</f>
        <v>2052.26</v>
      </c>
      <c r="G65" s="298">
        <v>29.0</v>
      </c>
      <c r="H65" s="298">
        <v>6.0</v>
      </c>
      <c r="I65" s="321"/>
      <c r="J65" s="322" t="s">
        <v>109</v>
      </c>
      <c r="K65" s="66"/>
      <c r="L65" s="72">
        <f t="shared" ref="L65:N65" si="32">SUM(L67:L71)</f>
        <v>72</v>
      </c>
      <c r="M65" s="72">
        <f t="shared" si="32"/>
        <v>7</v>
      </c>
      <c r="N65" s="73">
        <f t="shared" si="32"/>
        <v>6982.74</v>
      </c>
    </row>
    <row r="66" ht="12.75" customHeight="1">
      <c r="A66" s="323"/>
      <c r="B66" s="324">
        <v>260.0</v>
      </c>
      <c r="C66" s="325">
        <v>302.26</v>
      </c>
      <c r="D66" s="284" t="s">
        <v>110</v>
      </c>
      <c r="E66" s="326">
        <v>190.0</v>
      </c>
      <c r="F66" s="282">
        <f t="shared" si="33"/>
        <v>752.26</v>
      </c>
      <c r="G66" s="283">
        <v>29.0</v>
      </c>
      <c r="H66" s="284">
        <v>6.0</v>
      </c>
      <c r="I66" s="285" t="s">
        <v>90</v>
      </c>
      <c r="J66" s="274"/>
      <c r="K66" s="78" t="s">
        <v>80</v>
      </c>
      <c r="L66" s="79">
        <v>90.0</v>
      </c>
      <c r="M66" s="79">
        <v>71.82</v>
      </c>
      <c r="N66" s="66"/>
    </row>
    <row r="67" ht="12.75" customHeight="1">
      <c r="A67" s="327"/>
      <c r="B67" s="328"/>
      <c r="C67" s="289"/>
      <c r="D67" s="289"/>
      <c r="E67" s="308"/>
      <c r="F67" s="286"/>
      <c r="G67" s="288"/>
      <c r="H67" s="289"/>
      <c r="I67" s="290"/>
      <c r="J67" s="274"/>
      <c r="K67" s="81" t="s">
        <v>70</v>
      </c>
      <c r="L67" s="81">
        <v>22.0</v>
      </c>
      <c r="M67" s="81">
        <v>1.0</v>
      </c>
      <c r="N67" s="82">
        <f t="shared" ref="N67:N71" si="34">L67*$L$66+M67*$M$66</f>
        <v>2051.82</v>
      </c>
    </row>
    <row r="68" ht="12.75" customHeight="1">
      <c r="A68" s="273">
        <f>A65+3</f>
        <v>43528</v>
      </c>
      <c r="B68" s="291">
        <v>240.0</v>
      </c>
      <c r="C68" s="291">
        <v>201.54</v>
      </c>
      <c r="D68" s="291">
        <v>1300.0</v>
      </c>
      <c r="E68" s="291">
        <v>100.0</v>
      </c>
      <c r="F68" s="297">
        <f t="shared" ref="F68:F73" si="35"> sum(B68:E68)</f>
        <v>1841.54</v>
      </c>
      <c r="G68" s="291">
        <v>26.0</v>
      </c>
      <c r="H68" s="291">
        <v>5.0</v>
      </c>
      <c r="I68" s="329"/>
      <c r="J68" s="274"/>
      <c r="K68" s="81" t="s">
        <v>71</v>
      </c>
      <c r="L68" s="81">
        <v>13.0</v>
      </c>
      <c r="M68" s="81">
        <v>2.0</v>
      </c>
      <c r="N68" s="82">
        <f t="shared" si="34"/>
        <v>1313.64</v>
      </c>
    </row>
    <row r="69" ht="12.75" customHeight="1">
      <c r="A69" s="309">
        <f t="shared" ref="A69:A72" si="36">A68+1</f>
        <v>43529</v>
      </c>
      <c r="B69" s="291">
        <v>270.0</v>
      </c>
      <c r="C69" s="291">
        <v>235.16</v>
      </c>
      <c r="D69" s="291">
        <v>340.0</v>
      </c>
      <c r="E69" s="291">
        <v>50.0</v>
      </c>
      <c r="F69" s="277">
        <f t="shared" si="35"/>
        <v>895.16</v>
      </c>
      <c r="G69" s="291">
        <v>13.0</v>
      </c>
      <c r="H69" s="291">
        <v>6.0</v>
      </c>
      <c r="I69" s="329"/>
      <c r="J69" s="274"/>
      <c r="K69" s="81" t="s">
        <v>72</v>
      </c>
      <c r="L69" s="81">
        <v>10.0</v>
      </c>
      <c r="M69" s="81"/>
      <c r="N69" s="82">
        <f t="shared" si="34"/>
        <v>900</v>
      </c>
    </row>
    <row r="70" ht="12.75" customHeight="1">
      <c r="A70" s="309">
        <f t="shared" si="36"/>
        <v>43530</v>
      </c>
      <c r="B70" s="291">
        <v>510.0</v>
      </c>
      <c r="C70" s="291">
        <v>233.33</v>
      </c>
      <c r="D70" s="291">
        <v>850.0</v>
      </c>
      <c r="E70" s="291">
        <v>140.0</v>
      </c>
      <c r="F70" s="277">
        <f t="shared" si="35"/>
        <v>1733.33</v>
      </c>
      <c r="G70" s="291">
        <v>26.0</v>
      </c>
      <c r="H70" s="291">
        <v>5.0</v>
      </c>
      <c r="I70" s="329"/>
      <c r="J70" s="274"/>
      <c r="K70" s="81" t="s">
        <v>73</v>
      </c>
      <c r="L70" s="81">
        <v>22.0</v>
      </c>
      <c r="M70" s="81">
        <v>1.0</v>
      </c>
      <c r="N70" s="82">
        <f t="shared" si="34"/>
        <v>2051.82</v>
      </c>
    </row>
    <row r="71" ht="12.75" customHeight="1">
      <c r="A71" s="309">
        <f t="shared" si="36"/>
        <v>43531</v>
      </c>
      <c r="B71" s="291">
        <v>250.0</v>
      </c>
      <c r="C71" s="291">
        <v>269.55</v>
      </c>
      <c r="D71" s="291">
        <v>770.0</v>
      </c>
      <c r="E71" s="291">
        <v>0.0</v>
      </c>
      <c r="F71" s="277">
        <f t="shared" si="35"/>
        <v>1289.55</v>
      </c>
      <c r="G71" s="291">
        <v>16.0</v>
      </c>
      <c r="H71" s="291">
        <v>7.0</v>
      </c>
      <c r="I71" s="329"/>
      <c r="J71" s="274"/>
      <c r="K71" s="81" t="s">
        <v>74</v>
      </c>
      <c r="L71" s="81">
        <v>5.0</v>
      </c>
      <c r="M71" s="81">
        <v>3.0</v>
      </c>
      <c r="N71" s="82">
        <f t="shared" si="34"/>
        <v>665.46</v>
      </c>
    </row>
    <row r="72" ht="12.75" customHeight="1">
      <c r="A72" s="309">
        <f t="shared" si="36"/>
        <v>43532</v>
      </c>
      <c r="B72" s="291">
        <v>140.0</v>
      </c>
      <c r="C72" s="291">
        <v>121.98</v>
      </c>
      <c r="D72" s="291">
        <v>720.0</v>
      </c>
      <c r="E72" s="291">
        <v>0.0</v>
      </c>
      <c r="F72" s="277">
        <f t="shared" si="35"/>
        <v>981.98</v>
      </c>
      <c r="G72" s="298">
        <v>17.0</v>
      </c>
      <c r="H72" s="298">
        <v>3.0</v>
      </c>
      <c r="I72" s="329"/>
      <c r="J72" s="274"/>
    </row>
    <row r="73" ht="12.75" customHeight="1">
      <c r="A73" s="330"/>
      <c r="B73" s="303" t="s">
        <v>111</v>
      </c>
      <c r="C73" s="303" t="s">
        <v>112</v>
      </c>
      <c r="D73" s="303" t="s">
        <v>113</v>
      </c>
      <c r="E73" s="304">
        <v>290.0</v>
      </c>
      <c r="F73" s="282">
        <f t="shared" si="35"/>
        <v>290</v>
      </c>
      <c r="G73" s="283">
        <v>98.0</v>
      </c>
      <c r="H73" s="284">
        <v>26.0</v>
      </c>
      <c r="I73" s="314" t="s">
        <v>90</v>
      </c>
      <c r="J73" s="274"/>
    </row>
    <row r="74" ht="12.75" customHeight="1">
      <c r="A74" s="74"/>
      <c r="B74" s="74"/>
      <c r="C74" s="74"/>
      <c r="D74" s="74"/>
      <c r="E74" s="234"/>
      <c r="F74" s="286"/>
      <c r="G74" s="288"/>
      <c r="H74" s="289"/>
      <c r="I74" s="331"/>
      <c r="J74" s="274"/>
      <c r="L74" s="65">
        <f>L75+M75</f>
        <v>10</v>
      </c>
    </row>
    <row r="75" ht="12.75" customHeight="1">
      <c r="A75" s="309">
        <f>A72+3</f>
        <v>43535</v>
      </c>
      <c r="B75" s="291">
        <v>150.0</v>
      </c>
      <c r="C75" s="291">
        <v>162.64</v>
      </c>
      <c r="D75" s="291">
        <v>710.0</v>
      </c>
      <c r="E75" s="291">
        <v>70.0</v>
      </c>
      <c r="F75" s="297">
        <f t="shared" ref="F75:F80" si="38"> sum(B75:E75)</f>
        <v>1092.64</v>
      </c>
      <c r="G75" s="332"/>
      <c r="H75" s="332"/>
      <c r="I75" s="329"/>
      <c r="J75" s="274"/>
      <c r="K75" s="64"/>
      <c r="L75" s="72">
        <f t="shared" ref="L75:N75" si="37">SUM(L77:L81)</f>
        <v>9</v>
      </c>
      <c r="M75" s="72">
        <f t="shared" si="37"/>
        <v>1</v>
      </c>
      <c r="N75" s="73">
        <f t="shared" si="37"/>
        <v>836.82</v>
      </c>
    </row>
    <row r="76" ht="12.75" customHeight="1">
      <c r="A76" s="309">
        <f t="shared" ref="A76:A79" si="39">A75+1</f>
        <v>43536</v>
      </c>
      <c r="B76" s="332"/>
      <c r="C76" s="332"/>
      <c r="D76" s="332"/>
      <c r="E76" s="332"/>
      <c r="F76" s="277">
        <f t="shared" si="38"/>
        <v>0</v>
      </c>
      <c r="G76" s="332"/>
      <c r="H76" s="332"/>
      <c r="I76" s="329"/>
      <c r="J76" s="274"/>
      <c r="K76" s="333" t="s">
        <v>81</v>
      </c>
      <c r="L76" s="79">
        <v>85.0</v>
      </c>
      <c r="M76" s="79">
        <v>71.82</v>
      </c>
      <c r="N76" s="66"/>
    </row>
    <row r="77" ht="12.75" customHeight="1">
      <c r="A77" s="309">
        <f t="shared" si="39"/>
        <v>43537</v>
      </c>
      <c r="B77" s="332"/>
      <c r="C77" s="332"/>
      <c r="D77" s="332"/>
      <c r="E77" s="332"/>
      <c r="F77" s="277">
        <f t="shared" si="38"/>
        <v>0</v>
      </c>
      <c r="G77" s="332"/>
      <c r="H77" s="332"/>
      <c r="I77" s="329"/>
      <c r="J77" s="274"/>
      <c r="K77" s="81" t="s">
        <v>70</v>
      </c>
      <c r="L77" s="118">
        <v>9.0</v>
      </c>
      <c r="M77" s="118">
        <v>1.0</v>
      </c>
      <c r="N77" s="82">
        <f t="shared" ref="N77:N81" si="40">L77*$L$76+M77*$M$76</f>
        <v>836.82</v>
      </c>
    </row>
    <row r="78" ht="12.75" customHeight="1">
      <c r="A78" s="309">
        <f t="shared" si="39"/>
        <v>43538</v>
      </c>
      <c r="B78" s="332"/>
      <c r="C78" s="332"/>
      <c r="D78" s="332"/>
      <c r="E78" s="332"/>
      <c r="F78" s="277">
        <f t="shared" si="38"/>
        <v>0</v>
      </c>
      <c r="G78" s="332"/>
      <c r="H78" s="332"/>
      <c r="I78" s="329"/>
      <c r="J78" s="274"/>
      <c r="K78" s="59" t="s">
        <v>71</v>
      </c>
      <c r="L78" s="119"/>
      <c r="M78" s="119"/>
      <c r="N78" s="120">
        <f t="shared" si="40"/>
        <v>0</v>
      </c>
    </row>
    <row r="79" ht="12.75" customHeight="1">
      <c r="A79" s="309">
        <f t="shared" si="39"/>
        <v>43539</v>
      </c>
      <c r="B79" s="332"/>
      <c r="C79" s="332"/>
      <c r="D79" s="332"/>
      <c r="E79" s="332"/>
      <c r="F79" s="277">
        <f t="shared" si="38"/>
        <v>0</v>
      </c>
      <c r="G79" s="334"/>
      <c r="H79" s="334"/>
      <c r="I79" s="329"/>
      <c r="J79" s="274"/>
      <c r="K79" s="59" t="s">
        <v>72</v>
      </c>
      <c r="L79" s="119"/>
      <c r="M79" s="119"/>
      <c r="N79" s="120">
        <f t="shared" si="40"/>
        <v>0</v>
      </c>
    </row>
    <row r="80" ht="12.75" customHeight="1">
      <c r="A80" s="330"/>
      <c r="B80" s="302">
        <v>150.0</v>
      </c>
      <c r="C80" s="302">
        <v>162.64</v>
      </c>
      <c r="D80" s="302">
        <v>710.0</v>
      </c>
      <c r="E80" s="304">
        <v>70.0</v>
      </c>
      <c r="F80" s="282">
        <f t="shared" si="38"/>
        <v>1092.64</v>
      </c>
      <c r="G80" s="283">
        <v>0.0</v>
      </c>
      <c r="H80" s="284">
        <v>0.0</v>
      </c>
      <c r="I80" s="314" t="s">
        <v>90</v>
      </c>
      <c r="J80" s="274"/>
      <c r="K80" s="59" t="s">
        <v>73</v>
      </c>
      <c r="L80" s="119"/>
      <c r="M80" s="119"/>
      <c r="N80" s="120">
        <f t="shared" si="40"/>
        <v>0</v>
      </c>
    </row>
    <row r="81" ht="12.75" customHeight="1">
      <c r="A81" s="74"/>
      <c r="B81" s="74"/>
      <c r="C81" s="74"/>
      <c r="D81" s="74"/>
      <c r="E81" s="234"/>
      <c r="F81" s="286"/>
      <c r="G81" s="288"/>
      <c r="H81" s="289"/>
      <c r="I81" s="331"/>
      <c r="J81" s="274"/>
      <c r="K81" s="59" t="s">
        <v>74</v>
      </c>
      <c r="L81" s="119"/>
      <c r="M81" s="119"/>
      <c r="N81" s="120">
        <f t="shared" si="40"/>
        <v>0</v>
      </c>
    </row>
    <row r="82" ht="12.75" customHeight="1">
      <c r="A82" s="309">
        <f>A79+3</f>
        <v>43542</v>
      </c>
      <c r="B82" s="291">
        <v>150.0</v>
      </c>
      <c r="C82" s="291">
        <v>162.64</v>
      </c>
      <c r="D82" s="291">
        <v>710.0</v>
      </c>
      <c r="E82" s="291">
        <v>70.0</v>
      </c>
      <c r="F82" s="297">
        <f t="shared" ref="F82:F87" si="41"> sum(B82:E82)</f>
        <v>1092.64</v>
      </c>
      <c r="G82" s="291">
        <v>16.0</v>
      </c>
      <c r="H82" s="291">
        <v>4.0</v>
      </c>
      <c r="I82" s="329"/>
      <c r="J82" s="274"/>
    </row>
    <row r="83" ht="12.75" customHeight="1">
      <c r="A83" s="309">
        <f t="shared" ref="A83:A86" si="42">A82+1</f>
        <v>43543</v>
      </c>
      <c r="B83" s="291">
        <v>50.0</v>
      </c>
      <c r="C83" s="291">
        <v>217.86</v>
      </c>
      <c r="D83" s="291">
        <v>860.0</v>
      </c>
      <c r="E83" s="291">
        <v>50.0</v>
      </c>
      <c r="F83" s="277">
        <f t="shared" si="41"/>
        <v>1177.86</v>
      </c>
      <c r="G83" s="291">
        <v>19.0</v>
      </c>
      <c r="H83" s="291">
        <v>4.0</v>
      </c>
      <c r="I83" s="329"/>
      <c r="J83" s="274"/>
      <c r="L83" s="65">
        <f>L84+M84</f>
        <v>88</v>
      </c>
    </row>
    <row r="84" ht="12.75" customHeight="1">
      <c r="A84" s="309">
        <f t="shared" si="42"/>
        <v>43544</v>
      </c>
      <c r="B84" s="291">
        <v>0.0</v>
      </c>
      <c r="C84" s="291">
        <v>233.33</v>
      </c>
      <c r="D84" s="291">
        <v>970.0</v>
      </c>
      <c r="E84" s="291">
        <v>90.0</v>
      </c>
      <c r="F84" s="277">
        <f t="shared" si="41"/>
        <v>1293.33</v>
      </c>
      <c r="G84" s="291">
        <v>19.0</v>
      </c>
      <c r="H84" s="291">
        <v>5.0</v>
      </c>
      <c r="I84" s="329"/>
      <c r="J84" s="274"/>
      <c r="K84" s="64"/>
      <c r="L84" s="72">
        <f t="shared" ref="L84:N84" si="43">SUM(L86:L90)</f>
        <v>85</v>
      </c>
      <c r="M84" s="72">
        <f t="shared" si="43"/>
        <v>3</v>
      </c>
      <c r="N84" s="73">
        <f t="shared" si="43"/>
        <v>7865.46</v>
      </c>
    </row>
    <row r="85" ht="12.75" customHeight="1">
      <c r="A85" s="309">
        <f t="shared" si="42"/>
        <v>43545</v>
      </c>
      <c r="B85" s="291">
        <v>280.0</v>
      </c>
      <c r="C85" s="291">
        <v>323.42</v>
      </c>
      <c r="D85" s="291">
        <v>620.0</v>
      </c>
      <c r="E85" s="291">
        <v>120.0</v>
      </c>
      <c r="F85" s="277">
        <f t="shared" si="41"/>
        <v>1343.42</v>
      </c>
      <c r="G85" s="291">
        <v>17.0</v>
      </c>
      <c r="H85" s="291">
        <v>5.0</v>
      </c>
      <c r="I85" s="329"/>
      <c r="J85" s="274"/>
      <c r="K85" s="117" t="s">
        <v>82</v>
      </c>
      <c r="L85" s="79">
        <v>90.0</v>
      </c>
      <c r="M85" s="79">
        <v>71.82</v>
      </c>
      <c r="N85" s="66"/>
    </row>
    <row r="86" ht="12.75" customHeight="1">
      <c r="A86" s="309">
        <f t="shared" si="42"/>
        <v>43546</v>
      </c>
      <c r="B86" s="291">
        <v>190.0</v>
      </c>
      <c r="C86" s="291">
        <v>70.66</v>
      </c>
      <c r="D86" s="291">
        <v>720.0</v>
      </c>
      <c r="E86" s="291">
        <v>100.0</v>
      </c>
      <c r="F86" s="277">
        <f t="shared" si="41"/>
        <v>1080.66</v>
      </c>
      <c r="G86" s="298">
        <v>18.0</v>
      </c>
      <c r="H86" s="298">
        <v>2.0</v>
      </c>
      <c r="I86" s="329"/>
      <c r="J86" s="274"/>
      <c r="K86" s="81" t="s">
        <v>70</v>
      </c>
      <c r="L86" s="118">
        <v>23.0</v>
      </c>
      <c r="M86" s="118">
        <v>1.0</v>
      </c>
      <c r="N86" s="82">
        <f t="shared" ref="N86:N90" si="44">L86*$L$85+M86*$M$85</f>
        <v>2141.82</v>
      </c>
    </row>
    <row r="87" ht="12.75" customHeight="1">
      <c r="A87" s="330"/>
      <c r="B87" s="302">
        <v>670.0</v>
      </c>
      <c r="C87" s="303" t="s">
        <v>114</v>
      </c>
      <c r="D87" s="303" t="s">
        <v>115</v>
      </c>
      <c r="E87" s="304">
        <v>430.0</v>
      </c>
      <c r="F87" s="282">
        <f t="shared" si="41"/>
        <v>1100</v>
      </c>
      <c r="G87" s="283">
        <v>89.0</v>
      </c>
      <c r="H87" s="284">
        <v>20.0</v>
      </c>
      <c r="I87" s="314" t="s">
        <v>90</v>
      </c>
      <c r="J87" s="274"/>
      <c r="K87" s="59" t="s">
        <v>71</v>
      </c>
      <c r="L87" s="124">
        <v>20.0</v>
      </c>
      <c r="M87" s="124"/>
      <c r="N87" s="82">
        <f t="shared" si="44"/>
        <v>1800</v>
      </c>
    </row>
    <row r="88" ht="12.75" customHeight="1">
      <c r="A88" s="74"/>
      <c r="B88" s="74"/>
      <c r="C88" s="74"/>
      <c r="D88" s="74"/>
      <c r="E88" s="234"/>
      <c r="F88" s="286"/>
      <c r="G88" s="288"/>
      <c r="H88" s="289"/>
      <c r="I88" s="331"/>
      <c r="J88" s="274"/>
      <c r="K88" s="59" t="s">
        <v>72</v>
      </c>
      <c r="L88" s="124">
        <v>16.0</v>
      </c>
      <c r="M88" s="124"/>
      <c r="N88" s="82">
        <f t="shared" si="44"/>
        <v>1440</v>
      </c>
    </row>
    <row r="89" ht="12.75" customHeight="1">
      <c r="A89" s="309">
        <f>A86+3</f>
        <v>43549</v>
      </c>
      <c r="B89" s="291">
        <v>50.0</v>
      </c>
      <c r="C89" s="291">
        <v>80.0</v>
      </c>
      <c r="D89" s="291">
        <v>150.0</v>
      </c>
      <c r="E89" s="291">
        <v>0.0</v>
      </c>
      <c r="F89" s="297">
        <f t="shared" ref="F89:F94" si="45"> sum(B89:E89)</f>
        <v>280</v>
      </c>
      <c r="G89" s="291">
        <v>4.0</v>
      </c>
      <c r="H89" s="291">
        <v>2.0</v>
      </c>
      <c r="I89" s="329"/>
      <c r="J89" s="274"/>
      <c r="K89" s="59" t="s">
        <v>73</v>
      </c>
      <c r="L89" s="124">
        <v>17.0</v>
      </c>
      <c r="M89" s="124">
        <v>2.0</v>
      </c>
      <c r="N89" s="82">
        <f t="shared" si="44"/>
        <v>1673.64</v>
      </c>
    </row>
    <row r="90" ht="12.75" customHeight="1">
      <c r="A90" s="309">
        <f t="shared" ref="A90:A93" si="46">A89+1</f>
        <v>43550</v>
      </c>
      <c r="B90" s="291">
        <v>50.0</v>
      </c>
      <c r="C90" s="291">
        <v>0.0</v>
      </c>
      <c r="D90" s="291">
        <v>150.0</v>
      </c>
      <c r="E90" s="291">
        <v>0.0</v>
      </c>
      <c r="F90" s="277">
        <f t="shared" si="45"/>
        <v>200</v>
      </c>
      <c r="G90" s="291">
        <v>4.0</v>
      </c>
      <c r="H90" s="291">
        <v>0.0</v>
      </c>
      <c r="I90" s="329"/>
      <c r="J90" s="274"/>
      <c r="K90" s="59" t="s">
        <v>74</v>
      </c>
      <c r="L90" s="124">
        <v>9.0</v>
      </c>
      <c r="M90" s="124"/>
      <c r="N90" s="82">
        <f t="shared" si="44"/>
        <v>810</v>
      </c>
    </row>
    <row r="91" ht="12.75" customHeight="1">
      <c r="A91" s="309">
        <f t="shared" si="46"/>
        <v>43551</v>
      </c>
      <c r="B91" s="332"/>
      <c r="C91" s="332"/>
      <c r="D91" s="332"/>
      <c r="E91" s="332"/>
      <c r="F91" s="277">
        <f t="shared" si="45"/>
        <v>0</v>
      </c>
      <c r="G91" s="332"/>
      <c r="H91" s="332"/>
      <c r="I91" s="329"/>
      <c r="J91" s="274"/>
    </row>
    <row r="92" ht="12.75" customHeight="1">
      <c r="A92" s="309">
        <f t="shared" si="46"/>
        <v>43552</v>
      </c>
      <c r="B92" s="332"/>
      <c r="C92" s="332"/>
      <c r="D92" s="332"/>
      <c r="E92" s="332"/>
      <c r="F92" s="277">
        <f t="shared" si="45"/>
        <v>0</v>
      </c>
      <c r="G92" s="332"/>
      <c r="H92" s="332"/>
      <c r="I92" s="329"/>
      <c r="J92" s="274"/>
    </row>
    <row r="93" ht="12.75" customHeight="1">
      <c r="A93" s="309">
        <f t="shared" si="46"/>
        <v>43553</v>
      </c>
      <c r="B93" s="332"/>
      <c r="C93" s="332"/>
      <c r="D93" s="332"/>
      <c r="E93" s="332"/>
      <c r="F93" s="277">
        <f t="shared" si="45"/>
        <v>0</v>
      </c>
      <c r="G93" s="334"/>
      <c r="H93" s="334"/>
      <c r="I93" s="329"/>
      <c r="J93" s="274"/>
      <c r="K93" s="64"/>
      <c r="L93" s="65">
        <f>L94+M94</f>
        <v>89</v>
      </c>
      <c r="N93" s="66"/>
    </row>
    <row r="94" ht="12.75" customHeight="1">
      <c r="A94" s="330"/>
      <c r="B94" s="302">
        <v>100.0</v>
      </c>
      <c r="C94" s="302">
        <v>80.0</v>
      </c>
      <c r="D94" s="302">
        <v>300.0</v>
      </c>
      <c r="E94" s="335" t="s">
        <v>90</v>
      </c>
      <c r="F94" s="282">
        <f t="shared" si="45"/>
        <v>480</v>
      </c>
      <c r="G94" s="283">
        <v>8.0</v>
      </c>
      <c r="H94" s="284">
        <v>2.0</v>
      </c>
      <c r="I94" s="314" t="s">
        <v>90</v>
      </c>
      <c r="J94" s="274"/>
      <c r="K94" s="64"/>
      <c r="L94" s="72">
        <f t="shared" ref="L94:N94" si="47">SUM(L96:L100)</f>
        <v>80</v>
      </c>
      <c r="M94" s="72">
        <f t="shared" si="47"/>
        <v>9</v>
      </c>
      <c r="N94" s="73">
        <f t="shared" si="47"/>
        <v>7846.38</v>
      </c>
    </row>
    <row r="95" ht="12.75" customHeight="1">
      <c r="A95" s="74"/>
      <c r="B95" s="74"/>
      <c r="C95" s="74"/>
      <c r="D95" s="74"/>
      <c r="E95" s="234"/>
      <c r="F95" s="286"/>
      <c r="G95" s="288"/>
      <c r="H95" s="289"/>
      <c r="I95" s="331"/>
      <c r="J95" s="274"/>
      <c r="K95" s="95" t="s">
        <v>83</v>
      </c>
      <c r="L95" s="79">
        <v>90.0</v>
      </c>
      <c r="M95" s="79">
        <v>71.82</v>
      </c>
      <c r="N95" s="66"/>
    </row>
    <row r="96" ht="12.75" customHeight="1">
      <c r="A96" s="273">
        <f>A93+3</f>
        <v>43556</v>
      </c>
      <c r="B96" s="291">
        <v>280.0</v>
      </c>
      <c r="C96" s="291">
        <v>422.29</v>
      </c>
      <c r="D96" s="291">
        <v>1120.0</v>
      </c>
      <c r="E96" s="291">
        <v>280.0</v>
      </c>
      <c r="F96" s="297">
        <f t="shared" ref="F96:F101" si="48"> sum(B96:E96)</f>
        <v>2102.29</v>
      </c>
      <c r="G96" s="291">
        <v>33.0</v>
      </c>
      <c r="H96" s="291">
        <v>7.0</v>
      </c>
      <c r="I96" s="293">
        <v>280.0</v>
      </c>
      <c r="J96" s="274"/>
      <c r="K96" s="81" t="s">
        <v>70</v>
      </c>
      <c r="L96" s="81">
        <v>7.0</v>
      </c>
      <c r="M96" s="81">
        <v>2.0</v>
      </c>
      <c r="N96" s="82">
        <f t="shared" ref="N96:N100" si="49">L96*$L$95+M96*$M$95</f>
        <v>773.64</v>
      </c>
    </row>
    <row r="97" ht="12.75" customHeight="1">
      <c r="A97" s="273">
        <f t="shared" ref="A97:A100" si="50">A96+1</f>
        <v>43557</v>
      </c>
      <c r="B97" s="291">
        <v>140.0</v>
      </c>
      <c r="C97" s="291">
        <v>197.66</v>
      </c>
      <c r="D97" s="291">
        <v>810.0</v>
      </c>
      <c r="E97" s="291">
        <v>250.0</v>
      </c>
      <c r="F97" s="277">
        <f t="shared" si="48"/>
        <v>1397.66</v>
      </c>
      <c r="G97" s="291">
        <v>26.0</v>
      </c>
      <c r="H97" s="291">
        <v>5.0</v>
      </c>
      <c r="I97" s="293">
        <v>250.0</v>
      </c>
      <c r="J97" s="274"/>
      <c r="K97" s="81" t="s">
        <v>71</v>
      </c>
      <c r="L97" s="81">
        <v>24.0</v>
      </c>
      <c r="M97" s="81"/>
      <c r="N97" s="82">
        <f t="shared" si="49"/>
        <v>2160</v>
      </c>
    </row>
    <row r="98" ht="12.75" customHeight="1">
      <c r="A98" s="273">
        <f t="shared" si="50"/>
        <v>43558</v>
      </c>
      <c r="B98" s="291">
        <v>340.0</v>
      </c>
      <c r="C98" s="291">
        <v>201.35</v>
      </c>
      <c r="D98" s="291">
        <v>490.0</v>
      </c>
      <c r="E98" s="291">
        <v>50.0</v>
      </c>
      <c r="F98" s="277">
        <f t="shared" si="48"/>
        <v>1081.35</v>
      </c>
      <c r="G98" s="291">
        <v>20.0</v>
      </c>
      <c r="H98" s="291">
        <v>3.0</v>
      </c>
      <c r="I98" s="293">
        <v>50.0</v>
      </c>
      <c r="J98" s="274"/>
      <c r="K98" s="81" t="s">
        <v>72</v>
      </c>
      <c r="L98" s="81">
        <v>19.0</v>
      </c>
      <c r="M98" s="81">
        <v>4.0</v>
      </c>
      <c r="N98" s="82">
        <f t="shared" si="49"/>
        <v>1997.28</v>
      </c>
    </row>
    <row r="99" ht="12.75" customHeight="1">
      <c r="A99" s="273">
        <f t="shared" si="50"/>
        <v>43559</v>
      </c>
      <c r="B99" s="291">
        <v>400.0</v>
      </c>
      <c r="C99" s="291">
        <v>123.38</v>
      </c>
      <c r="D99" s="291">
        <v>1340.0</v>
      </c>
      <c r="E99" s="291">
        <v>290.0</v>
      </c>
      <c r="F99" s="277">
        <f t="shared" si="48"/>
        <v>2153.38</v>
      </c>
      <c r="G99" s="291">
        <v>38.0</v>
      </c>
      <c r="H99" s="291">
        <v>3.0</v>
      </c>
      <c r="I99" s="293">
        <v>290.0</v>
      </c>
      <c r="J99" s="274"/>
      <c r="K99" s="81" t="s">
        <v>73</v>
      </c>
      <c r="L99" s="81">
        <v>15.0</v>
      </c>
      <c r="M99" s="81">
        <v>3.0</v>
      </c>
      <c r="N99" s="82">
        <f t="shared" si="49"/>
        <v>1565.46</v>
      </c>
    </row>
    <row r="100" ht="12.75" customHeight="1">
      <c r="A100" s="273">
        <f t="shared" si="50"/>
        <v>43560</v>
      </c>
      <c r="B100" s="298">
        <v>210.0</v>
      </c>
      <c r="C100" s="298">
        <v>326.82</v>
      </c>
      <c r="D100" s="298">
        <v>930.0</v>
      </c>
      <c r="E100" s="298">
        <v>100.0</v>
      </c>
      <c r="F100" s="277">
        <f t="shared" si="48"/>
        <v>1566.82</v>
      </c>
      <c r="G100" s="298">
        <v>26.0</v>
      </c>
      <c r="H100" s="298">
        <v>5.0</v>
      </c>
      <c r="I100" s="299">
        <v>100.0</v>
      </c>
      <c r="J100" s="274"/>
      <c r="K100" s="81" t="s">
        <v>74</v>
      </c>
      <c r="L100" s="81">
        <v>15.0</v>
      </c>
      <c r="M100" s="81"/>
      <c r="N100" s="82">
        <f t="shared" si="49"/>
        <v>1350</v>
      </c>
    </row>
    <row r="101" ht="12.75" customHeight="1">
      <c r="A101" s="279"/>
      <c r="B101" s="317" t="s">
        <v>116</v>
      </c>
      <c r="C101" s="284" t="s">
        <v>117</v>
      </c>
      <c r="D101" s="284" t="s">
        <v>118</v>
      </c>
      <c r="E101" s="326">
        <v>970.0</v>
      </c>
      <c r="F101" s="282">
        <f t="shared" si="48"/>
        <v>970</v>
      </c>
      <c r="G101" s="283">
        <v>143.0</v>
      </c>
      <c r="H101" s="284">
        <v>23.0</v>
      </c>
      <c r="I101" s="296">
        <v>970.0</v>
      </c>
      <c r="J101" s="274"/>
    </row>
    <row r="102" ht="12.75" customHeight="1">
      <c r="A102" s="286"/>
      <c r="B102" s="307"/>
      <c r="C102" s="289"/>
      <c r="D102" s="289"/>
      <c r="E102" s="308"/>
      <c r="F102" s="286"/>
      <c r="G102" s="288"/>
      <c r="H102" s="289"/>
      <c r="I102" s="290"/>
      <c r="J102" s="274"/>
      <c r="K102" s="64"/>
      <c r="L102" s="65">
        <f>L103+M103</f>
        <v>59</v>
      </c>
      <c r="N102" s="66"/>
    </row>
    <row r="103" ht="12.75" customHeight="1">
      <c r="A103" s="273">
        <f>A100+3</f>
        <v>43563</v>
      </c>
      <c r="B103" s="291">
        <v>540.0</v>
      </c>
      <c r="C103" s="291">
        <v>81.32</v>
      </c>
      <c r="D103" s="291">
        <v>550.0</v>
      </c>
      <c r="E103" s="291">
        <v>100.0</v>
      </c>
      <c r="F103" s="297">
        <f t="shared" ref="F103:F108" si="52"> sum(B103:E103)</f>
        <v>1271.32</v>
      </c>
      <c r="G103" s="291">
        <v>21.0</v>
      </c>
      <c r="H103" s="291">
        <v>2.0</v>
      </c>
      <c r="I103" s="293">
        <v>100.0</v>
      </c>
      <c r="J103" s="274"/>
      <c r="K103" s="64"/>
      <c r="L103" s="72">
        <f t="shared" ref="L103:N103" si="51">SUM(L105:L109)</f>
        <v>52</v>
      </c>
      <c r="M103" s="72">
        <f t="shared" si="51"/>
        <v>7</v>
      </c>
      <c r="N103" s="336">
        <f t="shared" si="51"/>
        <v>5182.74</v>
      </c>
    </row>
    <row r="104" ht="12.75" customHeight="1">
      <c r="A104" s="273">
        <f t="shared" ref="A104:A107" si="53">A103+1</f>
        <v>43564</v>
      </c>
      <c r="B104" s="291">
        <v>310.0</v>
      </c>
      <c r="C104" s="291">
        <v>81.32</v>
      </c>
      <c r="D104" s="291">
        <v>670.0</v>
      </c>
      <c r="E104" s="291">
        <v>50.0</v>
      </c>
      <c r="F104" s="277">
        <f t="shared" si="52"/>
        <v>1111.32</v>
      </c>
      <c r="G104" s="291">
        <v>20.0</v>
      </c>
      <c r="H104" s="291">
        <v>2.0</v>
      </c>
      <c r="I104" s="293">
        <v>50.0</v>
      </c>
      <c r="J104" s="274"/>
      <c r="K104" s="95" t="s">
        <v>84</v>
      </c>
      <c r="L104" s="79">
        <v>90.0</v>
      </c>
      <c r="M104" s="79">
        <v>71.82</v>
      </c>
      <c r="N104" s="66"/>
    </row>
    <row r="105" ht="12.75" customHeight="1">
      <c r="A105" s="273">
        <f t="shared" si="53"/>
        <v>43565</v>
      </c>
      <c r="B105" s="291">
        <v>240.0</v>
      </c>
      <c r="C105" s="291">
        <v>242.88</v>
      </c>
      <c r="D105" s="291">
        <v>580.0</v>
      </c>
      <c r="E105" s="291">
        <v>0.0</v>
      </c>
      <c r="F105" s="277">
        <f t="shared" si="52"/>
        <v>1062.88</v>
      </c>
      <c r="G105" s="291">
        <v>20.0</v>
      </c>
      <c r="H105" s="291">
        <v>6.0</v>
      </c>
      <c r="I105" s="293">
        <v>0.0</v>
      </c>
      <c r="J105" s="274"/>
      <c r="K105" s="81" t="s">
        <v>70</v>
      </c>
      <c r="L105" s="81">
        <v>16.0</v>
      </c>
      <c r="M105" s="81">
        <v>2.0</v>
      </c>
      <c r="N105" s="82">
        <f t="shared" ref="N105:N109" si="54">L105*$L$104+M105*$M$104</f>
        <v>1583.64</v>
      </c>
    </row>
    <row r="106" ht="12.75" customHeight="1">
      <c r="A106" s="273">
        <f t="shared" si="53"/>
        <v>43566</v>
      </c>
      <c r="B106" s="291">
        <v>240.0</v>
      </c>
      <c r="C106" s="291">
        <v>316.05</v>
      </c>
      <c r="D106" s="291">
        <v>1220.0</v>
      </c>
      <c r="E106" s="291">
        <v>250.0</v>
      </c>
      <c r="F106" s="277">
        <f t="shared" si="52"/>
        <v>2026.05</v>
      </c>
      <c r="G106" s="291">
        <v>33.0</v>
      </c>
      <c r="H106" s="291">
        <v>7.0</v>
      </c>
      <c r="I106" s="293">
        <v>250.0</v>
      </c>
      <c r="J106" s="274"/>
      <c r="K106" s="81" t="s">
        <v>71</v>
      </c>
      <c r="L106" s="81"/>
      <c r="M106" s="81"/>
      <c r="N106" s="82">
        <f t="shared" si="54"/>
        <v>0</v>
      </c>
    </row>
    <row r="107" ht="12.75" customHeight="1">
      <c r="A107" s="273">
        <f t="shared" si="53"/>
        <v>43567</v>
      </c>
      <c r="B107" s="298">
        <v>420.0</v>
      </c>
      <c r="C107" s="298">
        <v>376.11</v>
      </c>
      <c r="D107" s="298">
        <v>530.0</v>
      </c>
      <c r="E107" s="298">
        <v>50.0</v>
      </c>
      <c r="F107" s="277">
        <f t="shared" si="52"/>
        <v>1376.11</v>
      </c>
      <c r="G107" s="298">
        <v>21.0</v>
      </c>
      <c r="H107" s="298">
        <v>7.0</v>
      </c>
      <c r="I107" s="299">
        <v>50.0</v>
      </c>
      <c r="J107" s="274"/>
      <c r="K107" s="81" t="s">
        <v>72</v>
      </c>
      <c r="L107" s="81">
        <v>26.0</v>
      </c>
      <c r="M107" s="81">
        <v>3.0</v>
      </c>
      <c r="N107" s="82">
        <f t="shared" si="54"/>
        <v>2555.46</v>
      </c>
    </row>
    <row r="108" ht="12.75" customHeight="1">
      <c r="A108" s="279"/>
      <c r="B108" s="317" t="s">
        <v>119</v>
      </c>
      <c r="C108" s="284" t="s">
        <v>120</v>
      </c>
      <c r="D108" s="284" t="s">
        <v>121</v>
      </c>
      <c r="E108" s="326">
        <v>450.0</v>
      </c>
      <c r="F108" s="282">
        <f t="shared" si="52"/>
        <v>450</v>
      </c>
      <c r="G108" s="283">
        <v>115.0</v>
      </c>
      <c r="H108" s="284">
        <v>24.0</v>
      </c>
      <c r="I108" s="296">
        <v>450.0</v>
      </c>
      <c r="J108" s="274"/>
      <c r="K108" s="81" t="s">
        <v>73</v>
      </c>
      <c r="L108" s="81">
        <v>10.0</v>
      </c>
      <c r="M108" s="81">
        <v>2.0</v>
      </c>
      <c r="N108" s="82">
        <f t="shared" si="54"/>
        <v>1043.64</v>
      </c>
    </row>
    <row r="109" ht="12.75" customHeight="1">
      <c r="A109" s="286"/>
      <c r="B109" s="307"/>
      <c r="C109" s="289"/>
      <c r="D109" s="289"/>
      <c r="E109" s="308"/>
      <c r="F109" s="286"/>
      <c r="G109" s="288"/>
      <c r="H109" s="289"/>
      <c r="I109" s="290"/>
      <c r="J109" s="274"/>
      <c r="K109" s="81" t="s">
        <v>74</v>
      </c>
      <c r="L109" s="81"/>
      <c r="M109" s="81"/>
      <c r="N109" s="82">
        <f t="shared" si="54"/>
        <v>0</v>
      </c>
    </row>
    <row r="110" ht="12.75" customHeight="1">
      <c r="A110" s="273">
        <f>A107+3</f>
        <v>43570</v>
      </c>
      <c r="B110" s="291">
        <v>140.0</v>
      </c>
      <c r="C110" s="291">
        <v>273.99</v>
      </c>
      <c r="D110" s="291">
        <v>1200.0</v>
      </c>
      <c r="E110" s="291">
        <v>240.0</v>
      </c>
      <c r="F110" s="297">
        <f t="shared" ref="F110:F115" si="55"> sum(B110:E110)</f>
        <v>1853.99</v>
      </c>
      <c r="G110" s="291">
        <v>32.0</v>
      </c>
      <c r="H110" s="291">
        <v>6.0</v>
      </c>
      <c r="I110" s="293">
        <v>240.0</v>
      </c>
      <c r="J110" s="274"/>
    </row>
    <row r="111" ht="12.75" customHeight="1">
      <c r="A111" s="273">
        <f t="shared" ref="A111:A114" si="56">A110+1</f>
        <v>43571</v>
      </c>
      <c r="B111" s="291">
        <v>240.0</v>
      </c>
      <c r="C111" s="291">
        <v>290.06</v>
      </c>
      <c r="D111" s="291">
        <v>1150.0</v>
      </c>
      <c r="E111" s="291">
        <v>12.2</v>
      </c>
      <c r="F111" s="277">
        <f t="shared" si="55"/>
        <v>1692.26</v>
      </c>
      <c r="G111" s="291">
        <v>29.0</v>
      </c>
      <c r="H111" s="291">
        <v>6.0</v>
      </c>
      <c r="I111" s="293">
        <v>12.2</v>
      </c>
      <c r="J111" s="274"/>
      <c r="K111" s="64"/>
      <c r="L111" s="65">
        <f>L112+M112</f>
        <v>51</v>
      </c>
      <c r="N111" s="66"/>
    </row>
    <row r="112" ht="12.75" customHeight="1">
      <c r="A112" s="273">
        <f t="shared" si="56"/>
        <v>43572</v>
      </c>
      <c r="B112" s="291">
        <v>340.0</v>
      </c>
      <c r="C112" s="291">
        <v>419.28</v>
      </c>
      <c r="D112" s="291">
        <v>450.0</v>
      </c>
      <c r="E112" s="291">
        <v>0.0</v>
      </c>
      <c r="F112" s="277">
        <f t="shared" si="55"/>
        <v>1209.28</v>
      </c>
      <c r="G112" s="291">
        <v>24.0</v>
      </c>
      <c r="H112" s="291">
        <v>10.0</v>
      </c>
      <c r="I112" s="293">
        <v>0.0</v>
      </c>
      <c r="J112" s="274"/>
      <c r="K112" s="64"/>
      <c r="L112" s="72">
        <f t="shared" ref="L112:N112" si="57">SUM(L114:L118)</f>
        <v>48</v>
      </c>
      <c r="M112" s="72">
        <f t="shared" si="57"/>
        <v>3</v>
      </c>
      <c r="N112" s="336">
        <f t="shared" si="57"/>
        <v>4535.46</v>
      </c>
    </row>
    <row r="113" ht="12.75" customHeight="1">
      <c r="A113" s="273">
        <f t="shared" si="56"/>
        <v>43573</v>
      </c>
      <c r="B113" s="291">
        <v>490.0</v>
      </c>
      <c r="C113" s="291">
        <v>249.3</v>
      </c>
      <c r="D113" s="291">
        <v>810.0</v>
      </c>
      <c r="E113" s="291">
        <v>190.0</v>
      </c>
      <c r="F113" s="277">
        <f t="shared" si="55"/>
        <v>1739.3</v>
      </c>
      <c r="G113" s="291">
        <v>32.0</v>
      </c>
      <c r="H113" s="291">
        <v>6.0</v>
      </c>
      <c r="I113" s="293">
        <v>200.0</v>
      </c>
      <c r="J113" s="274"/>
      <c r="K113" s="95" t="s">
        <v>85</v>
      </c>
      <c r="L113" s="79">
        <v>90.0</v>
      </c>
      <c r="M113" s="79">
        <v>71.82</v>
      </c>
      <c r="N113" s="66"/>
    </row>
    <row r="114" ht="12.75" customHeight="1">
      <c r="A114" s="273">
        <f t="shared" si="56"/>
        <v>43574</v>
      </c>
      <c r="B114" s="298">
        <v>310.0</v>
      </c>
      <c r="C114" s="298">
        <v>305.42</v>
      </c>
      <c r="D114" s="298">
        <v>990.0</v>
      </c>
      <c r="E114" s="298">
        <v>50.0</v>
      </c>
      <c r="F114" s="277">
        <f t="shared" si="55"/>
        <v>1655.42</v>
      </c>
      <c r="G114" s="298">
        <v>27.0</v>
      </c>
      <c r="H114" s="298">
        <v>6.0</v>
      </c>
      <c r="I114" s="299">
        <v>50.0</v>
      </c>
      <c r="J114" s="274"/>
      <c r="K114" s="81" t="s">
        <v>70</v>
      </c>
      <c r="L114" s="84"/>
      <c r="M114" s="84"/>
      <c r="N114" s="120">
        <f t="shared" ref="N114:N118" si="58">L114*$L$113+M114*$M$113</f>
        <v>0</v>
      </c>
    </row>
    <row r="115" ht="12.75" customHeight="1">
      <c r="A115" s="279"/>
      <c r="B115" s="280" t="s">
        <v>122</v>
      </c>
      <c r="C115" s="280" t="s">
        <v>123</v>
      </c>
      <c r="D115" s="280" t="s">
        <v>124</v>
      </c>
      <c r="E115" s="294">
        <v>492.2</v>
      </c>
      <c r="F115" s="282">
        <f t="shared" si="55"/>
        <v>492.2</v>
      </c>
      <c r="G115" s="283">
        <v>144.0</v>
      </c>
      <c r="H115" s="284">
        <v>34.0</v>
      </c>
      <c r="I115" s="296">
        <v>502.2</v>
      </c>
      <c r="J115" s="274"/>
      <c r="K115" s="81" t="s">
        <v>71</v>
      </c>
      <c r="L115" s="81">
        <v>28.0</v>
      </c>
      <c r="M115" s="81">
        <v>1.0</v>
      </c>
      <c r="N115" s="82">
        <f t="shared" si="58"/>
        <v>2591.82</v>
      </c>
    </row>
    <row r="116" ht="12.75" customHeight="1">
      <c r="A116" s="286"/>
      <c r="B116" s="286"/>
      <c r="C116" s="286"/>
      <c r="D116" s="286"/>
      <c r="E116" s="286"/>
      <c r="F116" s="286"/>
      <c r="G116" s="288"/>
      <c r="H116" s="289"/>
      <c r="I116" s="290"/>
      <c r="J116" s="274"/>
      <c r="K116" s="81" t="s">
        <v>72</v>
      </c>
      <c r="L116" s="81">
        <v>16.0</v>
      </c>
      <c r="M116" s="81">
        <v>2.0</v>
      </c>
      <c r="N116" s="82">
        <f t="shared" si="58"/>
        <v>1583.64</v>
      </c>
    </row>
    <row r="117" ht="12.75" customHeight="1">
      <c r="A117" s="273">
        <f>A114+3</f>
        <v>43577</v>
      </c>
      <c r="B117" s="269"/>
      <c r="C117" s="269"/>
      <c r="D117" s="269"/>
      <c r="E117" s="269"/>
      <c r="F117" s="297">
        <f t="shared" ref="F117:F122" si="59"> sum(B117:E117)</f>
        <v>0</v>
      </c>
      <c r="G117" s="269"/>
      <c r="H117" s="269"/>
      <c r="I117" s="271"/>
      <c r="J117" s="274"/>
      <c r="K117" s="81" t="s">
        <v>73</v>
      </c>
      <c r="L117" s="81">
        <v>4.0</v>
      </c>
      <c r="M117" s="81">
        <v>0.0</v>
      </c>
      <c r="N117" s="82">
        <f t="shared" si="58"/>
        <v>360</v>
      </c>
    </row>
    <row r="118" ht="12.75" customHeight="1">
      <c r="A118" s="275">
        <f t="shared" ref="A118:A121" si="60">A117+1</f>
        <v>43578</v>
      </c>
      <c r="B118" s="291">
        <v>590.0</v>
      </c>
      <c r="C118" s="291">
        <v>202.94</v>
      </c>
      <c r="D118" s="291">
        <v>790.0</v>
      </c>
      <c r="E118" s="291">
        <v>0.0</v>
      </c>
      <c r="F118" s="277">
        <f t="shared" si="59"/>
        <v>1582.94</v>
      </c>
      <c r="G118" s="291">
        <v>32.0</v>
      </c>
      <c r="H118" s="291">
        <v>5.0</v>
      </c>
      <c r="I118" s="293">
        <v>0.0</v>
      </c>
      <c r="J118" s="274"/>
      <c r="K118" s="81" t="s">
        <v>74</v>
      </c>
      <c r="L118" s="84"/>
      <c r="M118" s="84"/>
      <c r="N118" s="120">
        <f t="shared" si="58"/>
        <v>0</v>
      </c>
    </row>
    <row r="119" ht="12.75" customHeight="1">
      <c r="A119" s="275">
        <f t="shared" si="60"/>
        <v>43579</v>
      </c>
      <c r="B119" s="291">
        <v>250.0</v>
      </c>
      <c r="C119" s="291">
        <v>347.52</v>
      </c>
      <c r="D119" s="291">
        <v>510.0</v>
      </c>
      <c r="E119" s="291">
        <v>0.0</v>
      </c>
      <c r="F119" s="277">
        <f t="shared" si="59"/>
        <v>1107.52</v>
      </c>
      <c r="G119" s="291">
        <v>25.0</v>
      </c>
      <c r="H119" s="291">
        <v>10.0</v>
      </c>
      <c r="I119" s="293">
        <v>0.0</v>
      </c>
      <c r="J119" s="274"/>
    </row>
    <row r="120" ht="12.75" customHeight="1">
      <c r="A120" s="275">
        <f t="shared" si="60"/>
        <v>43580</v>
      </c>
      <c r="B120" s="291">
        <v>480.0</v>
      </c>
      <c r="C120" s="291">
        <v>298.93</v>
      </c>
      <c r="D120" s="291">
        <v>662.2</v>
      </c>
      <c r="E120" s="291">
        <v>270.0</v>
      </c>
      <c r="F120" s="277">
        <f t="shared" si="59"/>
        <v>1711.13</v>
      </c>
      <c r="G120" s="291">
        <v>33.0</v>
      </c>
      <c r="H120" s="291">
        <v>7.0</v>
      </c>
      <c r="I120" s="293">
        <v>270.0</v>
      </c>
      <c r="J120" s="274"/>
    </row>
    <row r="121" ht="12.75" customHeight="1">
      <c r="A121" s="275">
        <f t="shared" si="60"/>
        <v>43581</v>
      </c>
      <c r="B121" s="291">
        <v>90.0</v>
      </c>
      <c r="C121" s="291">
        <v>124.78</v>
      </c>
      <c r="D121" s="291">
        <v>1070.0</v>
      </c>
      <c r="E121" s="291">
        <v>240.0</v>
      </c>
      <c r="F121" s="277">
        <f t="shared" si="59"/>
        <v>1524.78</v>
      </c>
      <c r="G121" s="298">
        <v>26.0</v>
      </c>
      <c r="H121" s="298">
        <v>3.0</v>
      </c>
      <c r="I121" s="293">
        <v>240.0</v>
      </c>
      <c r="J121" s="274"/>
    </row>
    <row r="122" ht="12.75" customHeight="1">
      <c r="A122" s="279"/>
      <c r="B122" s="337" t="s">
        <v>111</v>
      </c>
      <c r="C122" s="338">
        <v>974.17</v>
      </c>
      <c r="D122" s="337" t="s">
        <v>125</v>
      </c>
      <c r="E122" s="338">
        <v>510.0</v>
      </c>
      <c r="F122" s="282">
        <f t="shared" si="59"/>
        <v>1484.17</v>
      </c>
      <c r="G122" s="280">
        <v>116.0</v>
      </c>
      <c r="H122" s="317">
        <v>25.0</v>
      </c>
      <c r="I122" s="306">
        <v>510.0</v>
      </c>
      <c r="J122" s="274"/>
    </row>
    <row r="123" ht="12.75" customHeight="1">
      <c r="A123" s="286"/>
      <c r="B123" s="286"/>
      <c r="C123" s="286"/>
      <c r="D123" s="286"/>
      <c r="E123" s="286"/>
      <c r="F123" s="286"/>
      <c r="G123" s="286"/>
      <c r="H123" s="307"/>
      <c r="I123" s="290"/>
      <c r="J123" s="274"/>
    </row>
    <row r="124" ht="12.75" customHeight="1">
      <c r="A124" s="275">
        <f>A121+3</f>
        <v>43584</v>
      </c>
      <c r="B124" s="291">
        <v>380.0</v>
      </c>
      <c r="C124" s="291">
        <v>141.38</v>
      </c>
      <c r="D124" s="291">
        <v>1140.0</v>
      </c>
      <c r="E124" s="291">
        <v>220.0</v>
      </c>
      <c r="F124" s="297">
        <f t="shared" ref="F124:F126" si="61"> sum(B124:E124)</f>
        <v>1881.38</v>
      </c>
      <c r="G124" s="291">
        <v>32.0</v>
      </c>
      <c r="H124" s="291">
        <v>2.0</v>
      </c>
      <c r="I124" s="293">
        <v>210.0</v>
      </c>
      <c r="J124" s="274"/>
    </row>
    <row r="125" ht="12.75" customHeight="1">
      <c r="A125" s="275">
        <f>A124+1</f>
        <v>43585</v>
      </c>
      <c r="B125" s="298">
        <v>270.0</v>
      </c>
      <c r="C125" s="298">
        <v>272.23</v>
      </c>
      <c r="D125" s="298">
        <v>470.0</v>
      </c>
      <c r="E125" s="298">
        <v>0.0</v>
      </c>
      <c r="F125" s="277">
        <f t="shared" si="61"/>
        <v>1012.23</v>
      </c>
      <c r="G125" s="298">
        <v>20.0</v>
      </c>
      <c r="H125" s="298">
        <v>6.0</v>
      </c>
      <c r="I125" s="339">
        <v>0.0</v>
      </c>
      <c r="J125" s="274"/>
    </row>
    <row r="126" ht="12.75" customHeight="1">
      <c r="A126" s="279"/>
      <c r="B126" s="294">
        <v>650.0</v>
      </c>
      <c r="C126" s="294">
        <v>413.61</v>
      </c>
      <c r="D126" s="280" t="s">
        <v>126</v>
      </c>
      <c r="E126" s="294">
        <v>220.0</v>
      </c>
      <c r="F126" s="282">
        <f t="shared" si="61"/>
        <v>1283.61</v>
      </c>
      <c r="G126" s="317">
        <v>52.0</v>
      </c>
      <c r="H126" s="284">
        <v>8.0</v>
      </c>
      <c r="I126" s="340">
        <v>210.0</v>
      </c>
      <c r="J126" s="274"/>
    </row>
    <row r="127" ht="12.75" customHeight="1">
      <c r="A127" s="286"/>
      <c r="B127" s="286"/>
      <c r="C127" s="286"/>
      <c r="D127" s="286"/>
      <c r="E127" s="286"/>
      <c r="F127" s="286"/>
      <c r="G127" s="307"/>
      <c r="H127" s="289"/>
      <c r="I127" s="290"/>
      <c r="J127" s="274"/>
    </row>
    <row r="128" ht="12.75" customHeight="1">
      <c r="A128" s="273">
        <f>A125+1</f>
        <v>43586</v>
      </c>
      <c r="B128" s="269"/>
      <c r="C128" s="269"/>
      <c r="D128" s="269"/>
      <c r="E128" s="269"/>
      <c r="F128" s="297">
        <f t="shared" ref="F128:F131" si="62"> sum(B128:E128)</f>
        <v>0</v>
      </c>
      <c r="G128" s="269"/>
      <c r="H128" s="269"/>
      <c r="I128" s="271"/>
      <c r="J128" s="274"/>
    </row>
    <row r="129" ht="12.75" customHeight="1">
      <c r="A129" s="273">
        <f t="shared" ref="A129:A130" si="63">A128+1</f>
        <v>43587</v>
      </c>
      <c r="B129" s="291">
        <v>460.0</v>
      </c>
      <c r="C129" s="291">
        <v>304.02</v>
      </c>
      <c r="D129" s="291">
        <v>1210.0</v>
      </c>
      <c r="E129" s="291">
        <v>100.0</v>
      </c>
      <c r="F129" s="277">
        <f t="shared" si="62"/>
        <v>2074.02</v>
      </c>
      <c r="G129" s="291">
        <v>35.0</v>
      </c>
      <c r="H129" s="291">
        <v>6.0</v>
      </c>
      <c r="I129" s="293">
        <v>100.0</v>
      </c>
      <c r="J129" s="274"/>
    </row>
    <row r="130" ht="12.75" customHeight="1">
      <c r="A130" s="273">
        <f t="shared" si="63"/>
        <v>43588</v>
      </c>
      <c r="B130" s="298">
        <v>150.0</v>
      </c>
      <c r="C130" s="298">
        <v>222.7</v>
      </c>
      <c r="D130" s="298">
        <v>680.0</v>
      </c>
      <c r="E130" s="298">
        <v>430.0</v>
      </c>
      <c r="F130" s="277">
        <f t="shared" si="62"/>
        <v>1482.7</v>
      </c>
      <c r="G130" s="298">
        <v>25.0</v>
      </c>
      <c r="H130" s="298">
        <v>4.0</v>
      </c>
      <c r="I130" s="299">
        <v>440.0</v>
      </c>
      <c r="J130" s="274"/>
    </row>
    <row r="131" ht="12.75" customHeight="1">
      <c r="A131" s="279"/>
      <c r="B131" s="341">
        <v>610.0</v>
      </c>
      <c r="C131" s="325">
        <v>526.72</v>
      </c>
      <c r="D131" s="284" t="s">
        <v>127</v>
      </c>
      <c r="E131" s="326">
        <v>530.0</v>
      </c>
      <c r="F131" s="282">
        <f t="shared" si="62"/>
        <v>1666.72</v>
      </c>
      <c r="G131" s="283">
        <v>60.0</v>
      </c>
      <c r="H131" s="285">
        <v>10.0</v>
      </c>
      <c r="I131" s="294">
        <v>540.0</v>
      </c>
      <c r="J131" s="274"/>
    </row>
    <row r="132" ht="12.75" customHeight="1">
      <c r="A132" s="286"/>
      <c r="B132" s="307"/>
      <c r="C132" s="289"/>
      <c r="D132" s="289"/>
      <c r="E132" s="308"/>
      <c r="F132" s="286"/>
      <c r="G132" s="288"/>
      <c r="H132" s="290"/>
      <c r="I132" s="286"/>
      <c r="J132" s="274"/>
    </row>
    <row r="133" ht="12.75" customHeight="1">
      <c r="A133" s="273">
        <f>A130+3</f>
        <v>43591</v>
      </c>
      <c r="B133" s="291">
        <v>340.0</v>
      </c>
      <c r="C133" s="291">
        <v>81.32</v>
      </c>
      <c r="D133" s="291">
        <v>480.0</v>
      </c>
      <c r="E133" s="291">
        <v>200.0</v>
      </c>
      <c r="F133" s="297">
        <f t="shared" ref="F133:F138" si="64"> sum(B133:E133)</f>
        <v>1101.32</v>
      </c>
      <c r="G133" s="291">
        <v>21.0</v>
      </c>
      <c r="H133" s="291">
        <v>2.0</v>
      </c>
      <c r="I133" s="293">
        <v>200.0</v>
      </c>
      <c r="J133" s="274"/>
    </row>
    <row r="134" ht="12.75" customHeight="1">
      <c r="A134" s="273">
        <f t="shared" ref="A134:A137" si="65">A133+1</f>
        <v>43592</v>
      </c>
      <c r="B134" s="291">
        <v>100.0</v>
      </c>
      <c r="C134" s="291">
        <v>121.98</v>
      </c>
      <c r="D134" s="291">
        <v>680.0</v>
      </c>
      <c r="E134" s="291">
        <v>0.0</v>
      </c>
      <c r="F134" s="277">
        <f t="shared" si="64"/>
        <v>901.98</v>
      </c>
      <c r="G134" s="291">
        <v>18.0</v>
      </c>
      <c r="H134" s="291">
        <v>3.0</v>
      </c>
      <c r="I134" s="293">
        <v>0.0</v>
      </c>
      <c r="J134" s="274"/>
    </row>
    <row r="135" ht="12.75" customHeight="1">
      <c r="A135" s="273">
        <f t="shared" si="65"/>
        <v>43593</v>
      </c>
      <c r="B135" s="269"/>
      <c r="C135" s="269"/>
      <c r="D135" s="269"/>
      <c r="E135" s="269"/>
      <c r="F135" s="277">
        <f t="shared" si="64"/>
        <v>0</v>
      </c>
      <c r="G135" s="269"/>
      <c r="H135" s="269"/>
      <c r="I135" s="271"/>
      <c r="J135" s="274"/>
    </row>
    <row r="136" ht="12.75" customHeight="1">
      <c r="A136" s="273">
        <f t="shared" si="65"/>
        <v>43594</v>
      </c>
      <c r="B136" s="291">
        <v>300.0</v>
      </c>
      <c r="C136" s="291">
        <v>38.9</v>
      </c>
      <c r="D136" s="291">
        <v>1410.0</v>
      </c>
      <c r="E136" s="291">
        <v>100.0</v>
      </c>
      <c r="F136" s="277">
        <f t="shared" si="64"/>
        <v>1848.9</v>
      </c>
      <c r="G136" s="291">
        <v>33.0</v>
      </c>
      <c r="H136" s="291">
        <v>1.0</v>
      </c>
      <c r="I136" s="293">
        <v>100.0</v>
      </c>
      <c r="J136" s="274"/>
    </row>
    <row r="137" ht="12.75" customHeight="1">
      <c r="A137" s="273">
        <f t="shared" si="65"/>
        <v>43595</v>
      </c>
      <c r="B137" s="298">
        <v>160.0</v>
      </c>
      <c r="C137" s="298">
        <v>81.32</v>
      </c>
      <c r="D137" s="298">
        <v>600.0</v>
      </c>
      <c r="E137" s="298">
        <v>100.0</v>
      </c>
      <c r="F137" s="277">
        <f t="shared" si="64"/>
        <v>941.32</v>
      </c>
      <c r="G137" s="298">
        <v>14.0</v>
      </c>
      <c r="H137" s="298">
        <v>2.0</v>
      </c>
      <c r="I137" s="299">
        <v>100.0</v>
      </c>
      <c r="J137" s="274"/>
    </row>
    <row r="138" ht="12.75" customHeight="1">
      <c r="A138" s="279"/>
      <c r="B138" s="341">
        <v>900.0</v>
      </c>
      <c r="C138" s="325">
        <v>323.52</v>
      </c>
      <c r="D138" s="284" t="s">
        <v>128</v>
      </c>
      <c r="E138" s="296">
        <v>400.0</v>
      </c>
      <c r="F138" s="282">
        <f t="shared" si="64"/>
        <v>1623.52</v>
      </c>
      <c r="G138" s="283">
        <v>86.0</v>
      </c>
      <c r="H138" s="285">
        <v>8.0</v>
      </c>
      <c r="I138" s="294">
        <v>400.0</v>
      </c>
      <c r="J138" s="274"/>
    </row>
    <row r="139" ht="12.75" customHeight="1">
      <c r="A139" s="286"/>
      <c r="B139" s="307"/>
      <c r="C139" s="289"/>
      <c r="D139" s="289"/>
      <c r="E139" s="290"/>
      <c r="F139" s="286"/>
      <c r="G139" s="288"/>
      <c r="H139" s="290"/>
      <c r="I139" s="286"/>
      <c r="J139" s="274"/>
    </row>
    <row r="140" ht="12.75" customHeight="1">
      <c r="A140" s="315">
        <f>A137+3</f>
        <v>43598</v>
      </c>
      <c r="B140" s="291">
        <v>520.0</v>
      </c>
      <c r="C140" s="291">
        <v>217.42</v>
      </c>
      <c r="D140" s="291">
        <v>1270.0</v>
      </c>
      <c r="E140" s="291">
        <v>100.0</v>
      </c>
      <c r="F140" s="297">
        <f t="shared" ref="F140:F145" si="66"> sum(B140:E140)</f>
        <v>2107.42</v>
      </c>
      <c r="G140" s="291">
        <v>37.0</v>
      </c>
      <c r="H140" s="291">
        <v>5.0</v>
      </c>
      <c r="I140" s="293">
        <v>100.0</v>
      </c>
      <c r="J140" s="274"/>
    </row>
    <row r="141" ht="12.75" customHeight="1">
      <c r="A141" s="273">
        <f t="shared" ref="A141:A144" si="67">A140+1</f>
        <v>43599</v>
      </c>
      <c r="B141" s="291">
        <v>100.0</v>
      </c>
      <c r="C141" s="291">
        <v>179.88</v>
      </c>
      <c r="D141" s="291">
        <v>652.62</v>
      </c>
      <c r="E141" s="291">
        <v>132.2</v>
      </c>
      <c r="F141" s="277">
        <f t="shared" si="66"/>
        <v>1064.7</v>
      </c>
      <c r="G141" s="291">
        <v>22.0</v>
      </c>
      <c r="H141" s="291">
        <v>5.0</v>
      </c>
      <c r="I141" s="293">
        <v>130.0</v>
      </c>
      <c r="J141" s="274"/>
    </row>
    <row r="142" ht="12.75" customHeight="1">
      <c r="A142" s="273">
        <f t="shared" si="67"/>
        <v>43600</v>
      </c>
      <c r="B142" s="291">
        <v>320.0</v>
      </c>
      <c r="C142" s="291">
        <v>386.78</v>
      </c>
      <c r="D142" s="291">
        <v>220.0</v>
      </c>
      <c r="E142" s="291">
        <v>250.0</v>
      </c>
      <c r="F142" s="277">
        <f t="shared" si="66"/>
        <v>1176.78</v>
      </c>
      <c r="G142" s="291">
        <v>26.0</v>
      </c>
      <c r="H142" s="291">
        <v>10.0</v>
      </c>
      <c r="I142" s="293">
        <v>250.0</v>
      </c>
      <c r="J142" s="274"/>
    </row>
    <row r="143" ht="12.75" customHeight="1">
      <c r="A143" s="273">
        <f t="shared" si="67"/>
        <v>43601</v>
      </c>
      <c r="B143" s="291">
        <v>330.0</v>
      </c>
      <c r="C143" s="291">
        <v>167.98</v>
      </c>
      <c r="D143" s="291">
        <v>1020.0</v>
      </c>
      <c r="E143" s="291">
        <v>280.0</v>
      </c>
      <c r="F143" s="277">
        <f t="shared" si="66"/>
        <v>1797.98</v>
      </c>
      <c r="G143" s="291">
        <v>34.0</v>
      </c>
      <c r="H143" s="291">
        <v>4.0</v>
      </c>
      <c r="I143" s="293">
        <v>380.0</v>
      </c>
      <c r="J143" s="274"/>
    </row>
    <row r="144" ht="12.75" customHeight="1">
      <c r="A144" s="273">
        <f t="shared" si="67"/>
        <v>43602</v>
      </c>
      <c r="B144" s="298">
        <v>350.0</v>
      </c>
      <c r="C144" s="298">
        <v>152.01</v>
      </c>
      <c r="D144" s="298">
        <v>740.0</v>
      </c>
      <c r="E144" s="298">
        <v>100.0</v>
      </c>
      <c r="F144" s="277">
        <f t="shared" si="66"/>
        <v>1342.01</v>
      </c>
      <c r="G144" s="298">
        <v>22.0</v>
      </c>
      <c r="H144" s="298">
        <v>3.0</v>
      </c>
      <c r="I144" s="299">
        <v>90.0</v>
      </c>
      <c r="J144" s="274"/>
    </row>
    <row r="145" ht="12.75" customHeight="1">
      <c r="A145" s="323"/>
      <c r="B145" s="342" t="s">
        <v>129</v>
      </c>
      <c r="C145" s="284" t="s">
        <v>130</v>
      </c>
      <c r="D145" s="284" t="s">
        <v>131</v>
      </c>
      <c r="E145" s="326">
        <v>862.2</v>
      </c>
      <c r="F145" s="282">
        <f t="shared" si="66"/>
        <v>862.2</v>
      </c>
      <c r="G145" s="317">
        <v>141.0</v>
      </c>
      <c r="H145" s="284">
        <v>27.0</v>
      </c>
      <c r="I145" s="296">
        <v>950.0</v>
      </c>
      <c r="J145" s="274"/>
    </row>
    <row r="146" ht="12.75" customHeight="1">
      <c r="A146" s="327"/>
      <c r="B146" s="328"/>
      <c r="C146" s="289"/>
      <c r="D146" s="289"/>
      <c r="E146" s="308"/>
      <c r="F146" s="286"/>
      <c r="G146" s="307"/>
      <c r="H146" s="289"/>
      <c r="I146" s="290"/>
      <c r="J146" s="274"/>
    </row>
    <row r="147" ht="12.75" customHeight="1">
      <c r="A147" s="315">
        <f>A144+3</f>
        <v>43605</v>
      </c>
      <c r="B147" s="291">
        <v>120.0</v>
      </c>
      <c r="C147" s="291">
        <v>141.32</v>
      </c>
      <c r="D147" s="291">
        <v>750.0</v>
      </c>
      <c r="E147" s="291">
        <v>50.0</v>
      </c>
      <c r="F147" s="297">
        <f t="shared" ref="F147:F152" si="68"> sum(B147:E147)</f>
        <v>1061.32</v>
      </c>
      <c r="G147" s="291">
        <v>20.0</v>
      </c>
      <c r="H147" s="291">
        <v>6.0</v>
      </c>
      <c r="I147" s="293">
        <v>50.0</v>
      </c>
      <c r="J147" s="274"/>
    </row>
    <row r="148" ht="12.75" customHeight="1">
      <c r="A148" s="273">
        <f t="shared" ref="A148:A151" si="69">A147+1</f>
        <v>43606</v>
      </c>
      <c r="B148" s="291">
        <v>180.0</v>
      </c>
      <c r="C148" s="291">
        <v>150.25</v>
      </c>
      <c r="D148" s="291">
        <v>640.0</v>
      </c>
      <c r="E148" s="291">
        <v>50.0</v>
      </c>
      <c r="F148" s="277">
        <f t="shared" si="68"/>
        <v>1020.25</v>
      </c>
      <c r="G148" s="291">
        <v>19.0</v>
      </c>
      <c r="H148" s="291">
        <v>3.0</v>
      </c>
      <c r="I148" s="293">
        <v>50.0</v>
      </c>
      <c r="J148" s="274"/>
    </row>
    <row r="149" ht="12.75" customHeight="1">
      <c r="A149" s="273">
        <f t="shared" si="69"/>
        <v>43607</v>
      </c>
      <c r="B149" s="291">
        <v>100.0</v>
      </c>
      <c r="C149" s="291">
        <v>356.78</v>
      </c>
      <c r="D149" s="291">
        <v>530.0</v>
      </c>
      <c r="E149" s="291">
        <v>0.0</v>
      </c>
      <c r="F149" s="277">
        <f t="shared" si="68"/>
        <v>986.78</v>
      </c>
      <c r="G149" s="291">
        <v>21.0</v>
      </c>
      <c r="H149" s="291">
        <v>9.0</v>
      </c>
      <c r="I149" s="293">
        <v>0.0</v>
      </c>
      <c r="J149" s="274"/>
    </row>
    <row r="150" ht="12.75" customHeight="1">
      <c r="A150" s="273">
        <f t="shared" si="69"/>
        <v>43608</v>
      </c>
      <c r="B150" s="291">
        <v>570.0</v>
      </c>
      <c r="C150" s="291">
        <v>348.26</v>
      </c>
      <c r="D150" s="291">
        <v>1190.0</v>
      </c>
      <c r="E150" s="291">
        <v>150.0</v>
      </c>
      <c r="F150" s="277">
        <f t="shared" si="68"/>
        <v>2258.26</v>
      </c>
      <c r="G150" s="291">
        <v>40.0</v>
      </c>
      <c r="H150" s="291">
        <v>7.0</v>
      </c>
      <c r="I150" s="293">
        <v>150.0</v>
      </c>
      <c r="J150" s="274"/>
    </row>
    <row r="151" ht="12.75" customHeight="1">
      <c r="A151" s="273">
        <f t="shared" si="69"/>
        <v>43609</v>
      </c>
      <c r="B151" s="298">
        <v>210.0</v>
      </c>
      <c r="C151" s="298">
        <v>166.84</v>
      </c>
      <c r="D151" s="298">
        <v>910.0</v>
      </c>
      <c r="E151" s="298">
        <v>50.0</v>
      </c>
      <c r="F151" s="277">
        <f t="shared" si="68"/>
        <v>1336.84</v>
      </c>
      <c r="G151" s="298">
        <v>23.0</v>
      </c>
      <c r="H151" s="298">
        <v>4.0</v>
      </c>
      <c r="I151" s="299">
        <v>50.0</v>
      </c>
      <c r="J151" s="274"/>
    </row>
    <row r="152" ht="12.75" customHeight="1">
      <c r="A152" s="323"/>
      <c r="B152" s="342" t="s">
        <v>132</v>
      </c>
      <c r="C152" s="284" t="s">
        <v>133</v>
      </c>
      <c r="D152" s="284" t="s">
        <v>134</v>
      </c>
      <c r="E152" s="326">
        <v>300.0</v>
      </c>
      <c r="F152" s="282">
        <f t="shared" si="68"/>
        <v>300</v>
      </c>
      <c r="G152" s="343">
        <v>123.0</v>
      </c>
      <c r="H152" s="317">
        <v>29.0</v>
      </c>
      <c r="I152" s="296">
        <v>300.0</v>
      </c>
      <c r="J152" s="274"/>
    </row>
    <row r="153" ht="12.75" customHeight="1">
      <c r="A153" s="327"/>
      <c r="B153" s="328"/>
      <c r="C153" s="289"/>
      <c r="D153" s="289"/>
      <c r="E153" s="308"/>
      <c r="F153" s="286"/>
      <c r="G153" s="344"/>
      <c r="H153" s="307"/>
      <c r="I153" s="290"/>
      <c r="J153" s="274"/>
    </row>
    <row r="154" ht="12.75" customHeight="1">
      <c r="A154" s="315">
        <f>A151+3</f>
        <v>43612</v>
      </c>
      <c r="B154" s="291">
        <v>450.0</v>
      </c>
      <c r="C154" s="291">
        <v>319.99</v>
      </c>
      <c r="D154" s="291">
        <v>990.0</v>
      </c>
      <c r="E154" s="291">
        <v>270.0</v>
      </c>
      <c r="F154" s="297">
        <f t="shared" ref="F154:F159" si="70"> sum(B154:E154)</f>
        <v>2029.99</v>
      </c>
      <c r="G154" s="291">
        <v>35.0</v>
      </c>
      <c r="H154" s="291">
        <v>7.0</v>
      </c>
      <c r="I154" s="293">
        <v>280.0</v>
      </c>
      <c r="J154" s="274"/>
    </row>
    <row r="155" ht="12.75" customHeight="1">
      <c r="A155" s="315">
        <f t="shared" ref="A155:A158" si="71">A154+1</f>
        <v>43613</v>
      </c>
      <c r="B155" s="291">
        <v>350.0</v>
      </c>
      <c r="C155" s="291">
        <v>164.04</v>
      </c>
      <c r="D155" s="291">
        <v>500.0</v>
      </c>
      <c r="E155" s="291">
        <v>50.0</v>
      </c>
      <c r="F155" s="277">
        <f t="shared" si="70"/>
        <v>1064.04</v>
      </c>
      <c r="G155" s="291">
        <v>24.0</v>
      </c>
      <c r="H155" s="291">
        <v>4.0</v>
      </c>
      <c r="I155" s="293">
        <v>50.0</v>
      </c>
      <c r="J155" s="274"/>
    </row>
    <row r="156" ht="12.75" customHeight="1">
      <c r="A156" s="315">
        <f t="shared" si="71"/>
        <v>43614</v>
      </c>
      <c r="B156" s="291">
        <v>120.0</v>
      </c>
      <c r="C156" s="291">
        <v>392.16</v>
      </c>
      <c r="D156" s="291">
        <v>730.0</v>
      </c>
      <c r="E156" s="291">
        <v>340.0</v>
      </c>
      <c r="F156" s="277">
        <f t="shared" si="70"/>
        <v>1582.16</v>
      </c>
      <c r="G156" s="291">
        <v>32.0</v>
      </c>
      <c r="H156" s="291">
        <v>10.0</v>
      </c>
      <c r="I156" s="293">
        <v>340.0</v>
      </c>
      <c r="J156" s="274"/>
    </row>
    <row r="157" ht="12.75" customHeight="1">
      <c r="A157" s="315">
        <f t="shared" si="71"/>
        <v>43615</v>
      </c>
      <c r="B157" s="269"/>
      <c r="C157" s="269"/>
      <c r="D157" s="269"/>
      <c r="E157" s="269"/>
      <c r="F157" s="277">
        <f t="shared" si="70"/>
        <v>0</v>
      </c>
      <c r="G157" s="269"/>
      <c r="H157" s="269"/>
      <c r="I157" s="271"/>
      <c r="J157" s="274"/>
    </row>
    <row r="158" ht="12.75" customHeight="1">
      <c r="A158" s="315">
        <f t="shared" si="71"/>
        <v>43616</v>
      </c>
      <c r="B158" s="276"/>
      <c r="C158" s="276"/>
      <c r="D158" s="276"/>
      <c r="E158" s="276"/>
      <c r="F158" s="277">
        <f t="shared" si="70"/>
        <v>0</v>
      </c>
      <c r="G158" s="276"/>
      <c r="H158" s="276"/>
      <c r="I158" s="278"/>
      <c r="J158" s="274"/>
    </row>
    <row r="159" ht="12.75" customHeight="1">
      <c r="A159" s="323"/>
      <c r="B159" s="324">
        <v>920.0</v>
      </c>
      <c r="C159" s="325">
        <v>876.19</v>
      </c>
      <c r="D159" s="284" t="s">
        <v>135</v>
      </c>
      <c r="E159" s="326">
        <v>660.0</v>
      </c>
      <c r="F159" s="282">
        <f t="shared" si="70"/>
        <v>2456.19</v>
      </c>
      <c r="G159" s="343">
        <v>91.0</v>
      </c>
      <c r="H159" s="317">
        <v>21.0</v>
      </c>
      <c r="I159" s="296">
        <v>670.0</v>
      </c>
      <c r="J159" s="274"/>
    </row>
    <row r="160" ht="12.75" customHeight="1">
      <c r="A160" s="327"/>
      <c r="B160" s="328"/>
      <c r="C160" s="289"/>
      <c r="D160" s="289"/>
      <c r="E160" s="308"/>
      <c r="F160" s="286"/>
      <c r="G160" s="344"/>
      <c r="H160" s="307"/>
      <c r="I160" s="290"/>
      <c r="J160" s="274"/>
    </row>
    <row r="161" ht="12.75" customHeight="1">
      <c r="A161" s="273">
        <f>A158+3</f>
        <v>43619</v>
      </c>
      <c r="B161" s="269"/>
      <c r="C161" s="269"/>
      <c r="D161" s="269"/>
      <c r="E161" s="269"/>
      <c r="F161" s="297">
        <f t="shared" ref="F161:F166" si="72"> sum(B161:E161)</f>
        <v>0</v>
      </c>
      <c r="G161" s="269"/>
      <c r="H161" s="269"/>
      <c r="I161" s="271"/>
      <c r="J161" s="274"/>
    </row>
    <row r="162" ht="12.75" customHeight="1">
      <c r="A162" s="273">
        <f t="shared" ref="A162:A165" si="73">A161+1</f>
        <v>43620</v>
      </c>
      <c r="B162" s="269"/>
      <c r="C162" s="269"/>
      <c r="D162" s="269"/>
      <c r="E162" s="269"/>
      <c r="F162" s="277">
        <f t="shared" si="72"/>
        <v>0</v>
      </c>
      <c r="G162" s="269"/>
      <c r="H162" s="269"/>
      <c r="I162" s="271"/>
      <c r="J162" s="274"/>
    </row>
    <row r="163" ht="12.75" customHeight="1">
      <c r="A163" s="273">
        <f t="shared" si="73"/>
        <v>43621</v>
      </c>
      <c r="B163" s="269"/>
      <c r="C163" s="269"/>
      <c r="D163" s="269"/>
      <c r="E163" s="269"/>
      <c r="F163" s="277">
        <f t="shared" si="72"/>
        <v>0</v>
      </c>
      <c r="G163" s="269"/>
      <c r="H163" s="269"/>
      <c r="I163" s="271"/>
      <c r="J163" s="274"/>
    </row>
    <row r="164" ht="12.75" customHeight="1">
      <c r="A164" s="273">
        <f t="shared" si="73"/>
        <v>43622</v>
      </c>
      <c r="B164" s="269"/>
      <c r="C164" s="269"/>
      <c r="D164" s="269"/>
      <c r="E164" s="269"/>
      <c r="F164" s="277">
        <f t="shared" si="72"/>
        <v>0</v>
      </c>
      <c r="G164" s="269"/>
      <c r="H164" s="269"/>
      <c r="I164" s="271"/>
      <c r="J164" s="274"/>
    </row>
    <row r="165" ht="12.75" customHeight="1">
      <c r="A165" s="273">
        <f t="shared" si="73"/>
        <v>43623</v>
      </c>
      <c r="B165" s="276"/>
      <c r="C165" s="276"/>
      <c r="D165" s="276"/>
      <c r="E165" s="276"/>
      <c r="F165" s="277">
        <f t="shared" si="72"/>
        <v>0</v>
      </c>
      <c r="G165" s="276"/>
      <c r="H165" s="276"/>
      <c r="I165" s="278"/>
      <c r="J165" s="274"/>
    </row>
    <row r="166" ht="12.75" customHeight="1">
      <c r="A166" s="279"/>
      <c r="B166" s="317" t="s">
        <v>90</v>
      </c>
      <c r="C166" s="284" t="s">
        <v>90</v>
      </c>
      <c r="D166" s="284" t="s">
        <v>90</v>
      </c>
      <c r="E166" s="345" t="s">
        <v>90</v>
      </c>
      <c r="F166" s="282">
        <f t="shared" si="72"/>
        <v>0</v>
      </c>
      <c r="G166" s="283">
        <v>0.0</v>
      </c>
      <c r="H166" s="284">
        <v>0.0</v>
      </c>
      <c r="I166" s="285" t="s">
        <v>90</v>
      </c>
      <c r="J166" s="274"/>
    </row>
    <row r="167" ht="12.75" customHeight="1">
      <c r="A167" s="286"/>
      <c r="B167" s="307"/>
      <c r="C167" s="289"/>
      <c r="D167" s="289"/>
      <c r="E167" s="308"/>
      <c r="F167" s="286"/>
      <c r="G167" s="288"/>
      <c r="H167" s="289"/>
      <c r="I167" s="290"/>
      <c r="J167" s="274"/>
    </row>
    <row r="168" ht="12.75" customHeight="1">
      <c r="A168" s="273">
        <f>A165+3</f>
        <v>43626</v>
      </c>
      <c r="B168" s="269"/>
      <c r="C168" s="269"/>
      <c r="D168" s="269"/>
      <c r="E168" s="269"/>
      <c r="F168" s="297">
        <f t="shared" ref="F168:F173" si="74"> sum(B168:E168)</f>
        <v>0</v>
      </c>
      <c r="G168" s="269"/>
      <c r="H168" s="269"/>
      <c r="I168" s="271"/>
      <c r="J168" s="274"/>
    </row>
    <row r="169" ht="12.75" customHeight="1">
      <c r="A169" s="273">
        <f t="shared" ref="A169:A172" si="75">A168+1</f>
        <v>43627</v>
      </c>
      <c r="B169" s="291">
        <v>720.0</v>
      </c>
      <c r="C169" s="291">
        <v>192.67</v>
      </c>
      <c r="D169" s="291">
        <v>960.0</v>
      </c>
      <c r="E169" s="291">
        <v>260.0</v>
      </c>
      <c r="F169" s="277">
        <f t="shared" si="74"/>
        <v>2132.67</v>
      </c>
      <c r="G169" s="291">
        <v>36.0</v>
      </c>
      <c r="H169" s="291">
        <v>4.0</v>
      </c>
      <c r="I169" s="293">
        <v>260.0</v>
      </c>
      <c r="J169" s="274"/>
    </row>
    <row r="170" ht="12.75" customHeight="1">
      <c r="A170" s="273">
        <f t="shared" si="75"/>
        <v>43628</v>
      </c>
      <c r="B170" s="291">
        <v>580.0</v>
      </c>
      <c r="C170" s="291">
        <v>199.42</v>
      </c>
      <c r="D170" s="291">
        <v>870.0</v>
      </c>
      <c r="E170" s="291">
        <v>50.0</v>
      </c>
      <c r="F170" s="277">
        <f t="shared" si="74"/>
        <v>1699.42</v>
      </c>
      <c r="G170" s="291">
        <v>31.0</v>
      </c>
      <c r="H170" s="291">
        <v>5.0</v>
      </c>
      <c r="I170" s="293">
        <v>50.0</v>
      </c>
      <c r="J170" s="274"/>
    </row>
    <row r="171" ht="12.75" customHeight="1">
      <c r="A171" s="273">
        <f t="shared" si="75"/>
        <v>43629</v>
      </c>
      <c r="B171" s="291">
        <v>390.0</v>
      </c>
      <c r="C171" s="291">
        <v>264.76</v>
      </c>
      <c r="D171" s="291">
        <v>1030.0</v>
      </c>
      <c r="E171" s="291">
        <v>100.0</v>
      </c>
      <c r="F171" s="277">
        <f t="shared" si="74"/>
        <v>1784.76</v>
      </c>
      <c r="G171" s="291">
        <v>34.0</v>
      </c>
      <c r="H171" s="291">
        <v>5.0</v>
      </c>
      <c r="I171" s="293">
        <v>100.0</v>
      </c>
      <c r="J171" s="274"/>
    </row>
    <row r="172" ht="12.75" customHeight="1">
      <c r="A172" s="273">
        <f t="shared" si="75"/>
        <v>43630</v>
      </c>
      <c r="B172" s="298">
        <v>120.0</v>
      </c>
      <c r="C172" s="298">
        <v>263.36</v>
      </c>
      <c r="D172" s="298">
        <v>1140.0</v>
      </c>
      <c r="E172" s="298">
        <v>0.0</v>
      </c>
      <c r="F172" s="277">
        <f t="shared" si="74"/>
        <v>1523.36</v>
      </c>
      <c r="G172" s="298">
        <v>24.0</v>
      </c>
      <c r="H172" s="298">
        <v>5.0</v>
      </c>
      <c r="I172" s="346"/>
      <c r="J172" s="274"/>
    </row>
    <row r="173" ht="12.75" customHeight="1">
      <c r="A173" s="279"/>
      <c r="B173" s="317" t="s">
        <v>136</v>
      </c>
      <c r="C173" s="325">
        <v>920.21</v>
      </c>
      <c r="D173" s="284" t="s">
        <v>137</v>
      </c>
      <c r="E173" s="326">
        <v>410.0</v>
      </c>
      <c r="F173" s="282">
        <f t="shared" si="74"/>
        <v>1330.21</v>
      </c>
      <c r="G173" s="283">
        <v>125.0</v>
      </c>
      <c r="H173" s="284">
        <v>19.0</v>
      </c>
      <c r="I173" s="296">
        <v>410.0</v>
      </c>
      <c r="J173" s="274"/>
    </row>
    <row r="174" ht="12.75" customHeight="1">
      <c r="A174" s="286"/>
      <c r="B174" s="307"/>
      <c r="C174" s="289"/>
      <c r="D174" s="289"/>
      <c r="E174" s="308"/>
      <c r="F174" s="286"/>
      <c r="G174" s="288"/>
      <c r="H174" s="289"/>
      <c r="I174" s="290"/>
      <c r="J174" s="274"/>
    </row>
    <row r="175" ht="12.75" customHeight="1">
      <c r="A175" s="273">
        <f>A172+3</f>
        <v>43633</v>
      </c>
      <c r="B175" s="291">
        <v>240.0</v>
      </c>
      <c r="C175" s="291">
        <v>199.78</v>
      </c>
      <c r="D175" s="291">
        <v>560.0</v>
      </c>
      <c r="E175" s="291">
        <v>100.0</v>
      </c>
      <c r="F175" s="297">
        <f t="shared" ref="F175:F180" si="76"> sum(B175:E175)</f>
        <v>1099.78</v>
      </c>
      <c r="G175" s="291">
        <v>21.0</v>
      </c>
      <c r="H175" s="291">
        <v>6.0</v>
      </c>
      <c r="I175" s="293">
        <v>100.0</v>
      </c>
      <c r="J175" s="274"/>
    </row>
    <row r="176" ht="12.75" customHeight="1">
      <c r="A176" s="273">
        <f t="shared" ref="A176:A179" si="77">A175+1</f>
        <v>43634</v>
      </c>
      <c r="B176" s="291">
        <v>350.0</v>
      </c>
      <c r="C176" s="291">
        <v>160.88</v>
      </c>
      <c r="D176" s="291">
        <v>650.0</v>
      </c>
      <c r="E176" s="291">
        <v>50.0</v>
      </c>
      <c r="F176" s="277">
        <f t="shared" si="76"/>
        <v>1210.88</v>
      </c>
      <c r="G176" s="291">
        <v>25.0</v>
      </c>
      <c r="H176" s="291">
        <v>4.0</v>
      </c>
      <c r="I176" s="293">
        <v>60.0</v>
      </c>
      <c r="J176" s="274"/>
    </row>
    <row r="177" ht="12.75" customHeight="1">
      <c r="A177" s="273">
        <f t="shared" si="77"/>
        <v>43635</v>
      </c>
      <c r="B177" s="291">
        <v>310.0</v>
      </c>
      <c r="C177" s="291">
        <v>221.82</v>
      </c>
      <c r="D177" s="291">
        <v>500.0</v>
      </c>
      <c r="E177" s="291">
        <v>9.0</v>
      </c>
      <c r="F177" s="277">
        <f t="shared" si="76"/>
        <v>1040.82</v>
      </c>
      <c r="G177" s="291">
        <v>19.0</v>
      </c>
      <c r="H177" s="291">
        <v>6.0</v>
      </c>
      <c r="I177" s="293">
        <v>0.0</v>
      </c>
      <c r="J177" s="274"/>
    </row>
    <row r="178" ht="12.75" customHeight="1">
      <c r="A178" s="273">
        <f t="shared" si="77"/>
        <v>43636</v>
      </c>
      <c r="B178" s="291">
        <v>380.0</v>
      </c>
      <c r="C178" s="291">
        <v>0.0</v>
      </c>
      <c r="D178" s="291">
        <v>1480.0</v>
      </c>
      <c r="E178" s="291">
        <v>140.0</v>
      </c>
      <c r="F178" s="277">
        <f t="shared" si="76"/>
        <v>2000</v>
      </c>
      <c r="G178" s="291">
        <v>35.0</v>
      </c>
      <c r="H178" s="291">
        <v>0.0</v>
      </c>
      <c r="I178" s="293">
        <v>140.0</v>
      </c>
      <c r="J178" s="274"/>
    </row>
    <row r="179" ht="12.75" customHeight="1">
      <c r="A179" s="273">
        <f t="shared" si="77"/>
        <v>43637</v>
      </c>
      <c r="B179" s="298">
        <v>340.0</v>
      </c>
      <c r="C179" s="298">
        <v>152.01</v>
      </c>
      <c r="D179" s="298">
        <v>710.0</v>
      </c>
      <c r="E179" s="298">
        <v>340.0</v>
      </c>
      <c r="F179" s="277">
        <f t="shared" si="76"/>
        <v>1542.01</v>
      </c>
      <c r="G179" s="298">
        <v>26.0</v>
      </c>
      <c r="H179" s="298">
        <v>3.0</v>
      </c>
      <c r="I179" s="299">
        <v>340.0</v>
      </c>
      <c r="J179" s="274"/>
    </row>
    <row r="180" ht="12.75" customHeight="1">
      <c r="A180" s="323"/>
      <c r="B180" s="342" t="s">
        <v>129</v>
      </c>
      <c r="C180" s="325">
        <v>734.49</v>
      </c>
      <c r="D180" s="284" t="s">
        <v>138</v>
      </c>
      <c r="E180" s="326">
        <v>639.0</v>
      </c>
      <c r="F180" s="282">
        <f t="shared" si="76"/>
        <v>1373.49</v>
      </c>
      <c r="G180" s="283">
        <v>126.0</v>
      </c>
      <c r="H180" s="284">
        <v>19.0</v>
      </c>
      <c r="I180" s="296">
        <v>640.0</v>
      </c>
      <c r="J180" s="274"/>
    </row>
    <row r="181" ht="12.75" customHeight="1">
      <c r="A181" s="327"/>
      <c r="B181" s="328"/>
      <c r="C181" s="289"/>
      <c r="D181" s="289"/>
      <c r="E181" s="308"/>
      <c r="F181" s="286"/>
      <c r="G181" s="288"/>
      <c r="H181" s="289"/>
      <c r="I181" s="290"/>
      <c r="J181" s="274"/>
    </row>
    <row r="182" ht="12.75" customHeight="1">
      <c r="A182" s="273">
        <f>A179+3</f>
        <v>43640</v>
      </c>
      <c r="B182" s="291">
        <v>800.0</v>
      </c>
      <c r="C182" s="291">
        <v>320.0</v>
      </c>
      <c r="D182" s="291">
        <v>530.0</v>
      </c>
      <c r="E182" s="291">
        <v>50.0</v>
      </c>
      <c r="F182" s="297">
        <f t="shared" ref="F182:F187" si="78"> sum(B182:E182)</f>
        <v>1700</v>
      </c>
      <c r="G182" s="291">
        <v>32.0</v>
      </c>
      <c r="H182" s="291">
        <v>8.0</v>
      </c>
      <c r="I182" s="293">
        <v>50.0</v>
      </c>
      <c r="J182" s="274"/>
    </row>
    <row r="183" ht="12.75" customHeight="1">
      <c r="A183" s="273">
        <f t="shared" ref="A183:A186" si="79">A182+1</f>
        <v>43641</v>
      </c>
      <c r="B183" s="291">
        <v>50.0</v>
      </c>
      <c r="C183" s="291">
        <v>201.54</v>
      </c>
      <c r="D183" s="291">
        <v>770.0</v>
      </c>
      <c r="E183" s="291">
        <v>0.0</v>
      </c>
      <c r="F183" s="277">
        <f t="shared" si="78"/>
        <v>1021.54</v>
      </c>
      <c r="G183" s="291">
        <v>21.0</v>
      </c>
      <c r="H183" s="291">
        <v>5.0</v>
      </c>
      <c r="I183" s="293">
        <v>0.0</v>
      </c>
      <c r="J183" s="274"/>
    </row>
    <row r="184" ht="12.75" customHeight="1">
      <c r="A184" s="273">
        <f t="shared" si="79"/>
        <v>43642</v>
      </c>
      <c r="B184" s="291">
        <v>280.0</v>
      </c>
      <c r="C184" s="291">
        <v>40.66</v>
      </c>
      <c r="D184" s="291">
        <v>190.0</v>
      </c>
      <c r="E184" s="291">
        <v>70.0</v>
      </c>
      <c r="F184" s="277">
        <f t="shared" si="78"/>
        <v>580.66</v>
      </c>
      <c r="G184" s="291">
        <v>9.0</v>
      </c>
      <c r="H184" s="291">
        <v>1.0</v>
      </c>
      <c r="I184" s="293">
        <v>70.0</v>
      </c>
      <c r="J184" s="274"/>
    </row>
    <row r="185" ht="12.75" customHeight="1">
      <c r="A185" s="273">
        <f t="shared" si="79"/>
        <v>43643</v>
      </c>
      <c r="B185" s="269"/>
      <c r="C185" s="269"/>
      <c r="D185" s="269"/>
      <c r="E185" s="269"/>
      <c r="F185" s="277">
        <f t="shared" si="78"/>
        <v>0</v>
      </c>
      <c r="G185" s="269"/>
      <c r="H185" s="269"/>
      <c r="I185" s="271"/>
      <c r="J185" s="274"/>
    </row>
    <row r="186" ht="12.75" customHeight="1">
      <c r="A186" s="273">
        <f t="shared" si="79"/>
        <v>43644</v>
      </c>
      <c r="B186" s="276"/>
      <c r="C186" s="276"/>
      <c r="D186" s="276"/>
      <c r="E186" s="276"/>
      <c r="F186" s="277">
        <f t="shared" si="78"/>
        <v>0</v>
      </c>
      <c r="G186" s="276"/>
      <c r="H186" s="276"/>
      <c r="I186" s="278"/>
      <c r="J186" s="274"/>
    </row>
    <row r="187" ht="12.75" customHeight="1">
      <c r="A187" s="323"/>
      <c r="B187" s="342" t="s">
        <v>139</v>
      </c>
      <c r="C187" s="325">
        <v>562.2</v>
      </c>
      <c r="D187" s="284" t="s">
        <v>140</v>
      </c>
      <c r="E187" s="326">
        <v>120.0</v>
      </c>
      <c r="F187" s="282">
        <f t="shared" si="78"/>
        <v>682.2</v>
      </c>
      <c r="G187" s="343">
        <v>62.0</v>
      </c>
      <c r="H187" s="317">
        <v>14.0</v>
      </c>
      <c r="I187" s="296">
        <v>120.0</v>
      </c>
      <c r="J187" s="274"/>
    </row>
    <row r="188" ht="12.75" customHeight="1">
      <c r="A188" s="327"/>
      <c r="B188" s="328"/>
      <c r="C188" s="289"/>
      <c r="D188" s="289"/>
      <c r="E188" s="308"/>
      <c r="F188" s="286"/>
      <c r="G188" s="344"/>
      <c r="H188" s="307"/>
      <c r="I188" s="290"/>
      <c r="J188" s="274"/>
    </row>
    <row r="189" ht="12.75" customHeight="1">
      <c r="A189" s="273">
        <f>A186+3</f>
        <v>43647</v>
      </c>
      <c r="B189" s="269"/>
      <c r="C189" s="269"/>
      <c r="D189" s="269"/>
      <c r="E189" s="269"/>
      <c r="F189" s="297">
        <f t="shared" ref="F189:F194" si="80"> sum(B189:E189)</f>
        <v>0</v>
      </c>
      <c r="G189" s="269"/>
      <c r="H189" s="269"/>
      <c r="I189" s="271"/>
      <c r="J189" s="274"/>
    </row>
    <row r="190" ht="12.75" customHeight="1">
      <c r="A190" s="273">
        <f t="shared" ref="A190:A193" si="81">A189+1</f>
        <v>43648</v>
      </c>
      <c r="B190" s="291">
        <v>390.0</v>
      </c>
      <c r="C190" s="291">
        <v>173.38</v>
      </c>
      <c r="D190" s="291">
        <v>930.0</v>
      </c>
      <c r="E190" s="291">
        <v>260.0</v>
      </c>
      <c r="F190" s="277">
        <f t="shared" si="80"/>
        <v>1753.38</v>
      </c>
      <c r="G190" s="291">
        <v>29.0</v>
      </c>
      <c r="H190" s="291">
        <v>4.0</v>
      </c>
      <c r="I190" s="293">
        <v>260.0</v>
      </c>
      <c r="J190" s="274"/>
    </row>
    <row r="191" ht="12.75" customHeight="1">
      <c r="A191" s="273">
        <f t="shared" si="81"/>
        <v>43649</v>
      </c>
      <c r="B191" s="291">
        <v>90.0</v>
      </c>
      <c r="C191" s="291">
        <v>160.52</v>
      </c>
      <c r="D191" s="291">
        <v>1070.0</v>
      </c>
      <c r="E191" s="291">
        <v>100.0</v>
      </c>
      <c r="F191" s="277">
        <f t="shared" si="80"/>
        <v>1420.52</v>
      </c>
      <c r="G191" s="291">
        <v>29.0</v>
      </c>
      <c r="H191" s="291">
        <v>4.0</v>
      </c>
      <c r="I191" s="293">
        <v>100.0</v>
      </c>
      <c r="J191" s="274"/>
    </row>
    <row r="192" ht="12.75" customHeight="1">
      <c r="A192" s="273">
        <f t="shared" si="81"/>
        <v>43650</v>
      </c>
      <c r="B192" s="291">
        <v>210.0</v>
      </c>
      <c r="C192" s="291">
        <v>233.33</v>
      </c>
      <c r="D192" s="291">
        <v>1590.0</v>
      </c>
      <c r="E192" s="291">
        <v>0.0</v>
      </c>
      <c r="F192" s="277">
        <f t="shared" si="80"/>
        <v>2033.33</v>
      </c>
      <c r="G192" s="291">
        <v>34.0</v>
      </c>
      <c r="H192" s="291">
        <v>5.0</v>
      </c>
      <c r="I192" s="293">
        <v>0.0</v>
      </c>
      <c r="J192" s="274"/>
    </row>
    <row r="193" ht="12.75" customHeight="1">
      <c r="A193" s="273">
        <f t="shared" si="81"/>
        <v>43651</v>
      </c>
      <c r="B193" s="298">
        <v>290.0</v>
      </c>
      <c r="C193" s="298">
        <v>81.32</v>
      </c>
      <c r="D193" s="298">
        <v>890.0</v>
      </c>
      <c r="E193" s="298">
        <v>0.0</v>
      </c>
      <c r="F193" s="277">
        <f t="shared" si="80"/>
        <v>1261.32</v>
      </c>
      <c r="G193" s="298">
        <v>23.0</v>
      </c>
      <c r="H193" s="298">
        <v>2.0</v>
      </c>
      <c r="I193" s="299">
        <v>0.0</v>
      </c>
      <c r="J193" s="274"/>
    </row>
    <row r="194" ht="12.75" customHeight="1">
      <c r="A194" s="279"/>
      <c r="B194" s="341">
        <v>980.0</v>
      </c>
      <c r="C194" s="325">
        <v>648.55</v>
      </c>
      <c r="D194" s="284" t="s">
        <v>141</v>
      </c>
      <c r="E194" s="326">
        <v>360.0</v>
      </c>
      <c r="F194" s="282">
        <f t="shared" si="80"/>
        <v>1988.55</v>
      </c>
      <c r="G194" s="283">
        <v>115.0</v>
      </c>
      <c r="H194" s="284">
        <v>15.0</v>
      </c>
      <c r="I194" s="296">
        <v>360.0</v>
      </c>
      <c r="J194" s="274"/>
    </row>
    <row r="195" ht="12.75" customHeight="1">
      <c r="A195" s="286"/>
      <c r="B195" s="307"/>
      <c r="C195" s="289"/>
      <c r="D195" s="289"/>
      <c r="E195" s="308"/>
      <c r="F195" s="286"/>
      <c r="G195" s="288"/>
      <c r="H195" s="289"/>
      <c r="I195" s="290"/>
      <c r="J195" s="274"/>
    </row>
    <row r="196" ht="12.75" customHeight="1">
      <c r="A196" s="315">
        <f>A193+3</f>
        <v>43654</v>
      </c>
      <c r="B196" s="291">
        <v>332.2</v>
      </c>
      <c r="C196" s="291">
        <v>109.78</v>
      </c>
      <c r="D196" s="291">
        <v>910.0</v>
      </c>
      <c r="E196" s="291">
        <v>260.0</v>
      </c>
      <c r="F196" s="297">
        <f t="shared" ref="F196:F201" si="82"> sum(B196:E196)</f>
        <v>1611.98</v>
      </c>
      <c r="G196" s="291">
        <v>29.0</v>
      </c>
      <c r="H196" s="291">
        <v>3.0</v>
      </c>
      <c r="I196" s="293">
        <v>250.0</v>
      </c>
      <c r="J196" s="274"/>
    </row>
    <row r="197" ht="12.75" customHeight="1">
      <c r="A197" s="315">
        <f t="shared" ref="A197:A200" si="83">A196+1</f>
        <v>43655</v>
      </c>
      <c r="B197" s="291">
        <v>170.0</v>
      </c>
      <c r="C197" s="291">
        <v>201.54</v>
      </c>
      <c r="D197" s="291">
        <v>580.0</v>
      </c>
      <c r="E197" s="291">
        <v>50.0</v>
      </c>
      <c r="F197" s="277">
        <f t="shared" si="82"/>
        <v>1001.54</v>
      </c>
      <c r="G197" s="291">
        <v>19.0</v>
      </c>
      <c r="H197" s="291">
        <v>5.0</v>
      </c>
      <c r="I197" s="293">
        <v>50.0</v>
      </c>
      <c r="J197" s="274"/>
    </row>
    <row r="198" ht="12.75" customHeight="1">
      <c r="A198" s="315">
        <f t="shared" si="83"/>
        <v>43656</v>
      </c>
      <c r="B198" s="291">
        <v>220.0</v>
      </c>
      <c r="C198" s="291">
        <v>166.7</v>
      </c>
      <c r="D198" s="291">
        <v>1080.0</v>
      </c>
      <c r="E198" s="291">
        <v>0.0</v>
      </c>
      <c r="F198" s="277">
        <f t="shared" si="82"/>
        <v>1466.7</v>
      </c>
      <c r="G198" s="291">
        <v>28.0</v>
      </c>
      <c r="H198" s="291">
        <v>4.0</v>
      </c>
      <c r="I198" s="293">
        <v>0.0</v>
      </c>
      <c r="J198" s="274"/>
    </row>
    <row r="199" ht="12.75" customHeight="1">
      <c r="A199" s="315">
        <f t="shared" si="83"/>
        <v>43657</v>
      </c>
      <c r="B199" s="291">
        <v>140.0</v>
      </c>
      <c r="C199" s="291">
        <v>284.62</v>
      </c>
      <c r="D199" s="291">
        <v>1080.0</v>
      </c>
      <c r="E199" s="291">
        <v>340.0</v>
      </c>
      <c r="F199" s="277">
        <f t="shared" si="82"/>
        <v>1844.62</v>
      </c>
      <c r="G199" s="291">
        <v>34.0</v>
      </c>
      <c r="H199" s="291">
        <v>6.0</v>
      </c>
      <c r="I199" s="293">
        <v>360.0</v>
      </c>
      <c r="J199" s="274"/>
    </row>
    <row r="200" ht="12.75" customHeight="1">
      <c r="A200" s="315">
        <f t="shared" si="83"/>
        <v>43658</v>
      </c>
      <c r="B200" s="291">
        <v>0.0</v>
      </c>
      <c r="C200" s="291">
        <v>323.86</v>
      </c>
      <c r="D200" s="291">
        <v>918.84</v>
      </c>
      <c r="E200" s="291">
        <v>50.0</v>
      </c>
      <c r="F200" s="277">
        <f t="shared" si="82"/>
        <v>1292.7</v>
      </c>
      <c r="G200" s="298">
        <v>23.0</v>
      </c>
      <c r="H200" s="298">
        <v>5.0</v>
      </c>
      <c r="I200" s="299">
        <v>50.0</v>
      </c>
      <c r="J200" s="274"/>
    </row>
    <row r="201" ht="12.75" customHeight="1">
      <c r="A201" s="279"/>
      <c r="B201" s="347">
        <v>862.2</v>
      </c>
      <c r="C201" s="303" t="s">
        <v>142</v>
      </c>
      <c r="D201" s="303" t="s">
        <v>143</v>
      </c>
      <c r="E201" s="304">
        <v>700.0</v>
      </c>
      <c r="F201" s="282">
        <f t="shared" si="82"/>
        <v>1562.2</v>
      </c>
      <c r="G201" s="283">
        <v>133.0</v>
      </c>
      <c r="H201" s="284">
        <v>23.0</v>
      </c>
      <c r="I201" s="296">
        <v>710.0</v>
      </c>
      <c r="J201" s="274"/>
    </row>
    <row r="202" ht="12.75" customHeight="1">
      <c r="A202" s="286"/>
      <c r="B202" s="307"/>
      <c r="C202" s="289"/>
      <c r="D202" s="289"/>
      <c r="E202" s="308"/>
      <c r="F202" s="286"/>
      <c r="G202" s="288"/>
      <c r="H202" s="289"/>
      <c r="I202" s="290"/>
      <c r="J202" s="274"/>
    </row>
    <row r="203" ht="12.75" customHeight="1">
      <c r="A203" s="348">
        <f>A200+3</f>
        <v>43661</v>
      </c>
      <c r="B203" s="293">
        <v>0.0</v>
      </c>
      <c r="C203" s="293">
        <v>162.64</v>
      </c>
      <c r="D203" s="293">
        <v>650.0</v>
      </c>
      <c r="E203" s="291">
        <v>150.0</v>
      </c>
      <c r="F203" s="297">
        <f t="shared" ref="F203:F208" si="84"> sum(B203:E203)</f>
        <v>962.64</v>
      </c>
      <c r="G203" s="293">
        <v>20.0</v>
      </c>
      <c r="H203" s="293">
        <v>4.0</v>
      </c>
      <c r="I203" s="293">
        <v>150.0</v>
      </c>
      <c r="J203" s="274"/>
    </row>
    <row r="204" ht="12.75" customHeight="1">
      <c r="A204" s="348">
        <f t="shared" ref="A204:A207" si="85">A203+1</f>
        <v>43662</v>
      </c>
      <c r="B204" s="293">
        <v>170.0</v>
      </c>
      <c r="C204" s="293">
        <v>247.54</v>
      </c>
      <c r="D204" s="293">
        <v>440.0</v>
      </c>
      <c r="E204" s="291">
        <v>190.0</v>
      </c>
      <c r="F204" s="277">
        <f t="shared" si="84"/>
        <v>1047.54</v>
      </c>
      <c r="G204" s="293">
        <v>20.0</v>
      </c>
      <c r="H204" s="293">
        <v>6.0</v>
      </c>
      <c r="I204" s="293">
        <v>180.0</v>
      </c>
      <c r="J204" s="274"/>
    </row>
    <row r="205" ht="12.75" customHeight="1">
      <c r="A205" s="348">
        <f t="shared" si="85"/>
        <v>43663</v>
      </c>
      <c r="B205" s="339">
        <v>190.0</v>
      </c>
      <c r="C205" s="293">
        <v>220.52</v>
      </c>
      <c r="D205" s="293">
        <v>760.0</v>
      </c>
      <c r="E205" s="291">
        <v>150.0</v>
      </c>
      <c r="F205" s="277">
        <f t="shared" si="84"/>
        <v>1320.52</v>
      </c>
      <c r="G205" s="293">
        <v>25.0</v>
      </c>
      <c r="H205" s="293">
        <v>6.0</v>
      </c>
      <c r="I205" s="293">
        <v>140.0</v>
      </c>
      <c r="J205" s="274"/>
    </row>
    <row r="206" ht="12.75" customHeight="1">
      <c r="A206" s="348">
        <f t="shared" si="85"/>
        <v>43664</v>
      </c>
      <c r="B206" s="293">
        <v>510.0</v>
      </c>
      <c r="C206" s="293">
        <v>81.32</v>
      </c>
      <c r="D206" s="293">
        <v>1350.0</v>
      </c>
      <c r="E206" s="291">
        <v>100.0</v>
      </c>
      <c r="F206" s="277">
        <f t="shared" si="84"/>
        <v>2041.32</v>
      </c>
      <c r="G206" s="293">
        <v>35.0</v>
      </c>
      <c r="H206" s="293">
        <v>2.0</v>
      </c>
      <c r="I206" s="293">
        <v>100.0</v>
      </c>
      <c r="J206" s="274"/>
    </row>
    <row r="207" ht="12.75" customHeight="1">
      <c r="A207" s="348">
        <f t="shared" si="85"/>
        <v>43665</v>
      </c>
      <c r="B207" s="299">
        <v>50.0</v>
      </c>
      <c r="C207" s="299">
        <v>124.78</v>
      </c>
      <c r="D207" s="299">
        <v>520.0</v>
      </c>
      <c r="E207" s="298">
        <v>120.0</v>
      </c>
      <c r="F207" s="277">
        <f t="shared" si="84"/>
        <v>814.78</v>
      </c>
      <c r="G207" s="299">
        <v>14.0</v>
      </c>
      <c r="H207" s="299">
        <v>3.0</v>
      </c>
      <c r="I207" s="299">
        <v>120.0</v>
      </c>
      <c r="J207" s="274"/>
    </row>
    <row r="208" ht="12.75" customHeight="1">
      <c r="A208" s="279"/>
      <c r="B208" s="341">
        <v>920.0</v>
      </c>
      <c r="C208" s="325">
        <v>836.8</v>
      </c>
      <c r="D208" s="284" t="s">
        <v>144</v>
      </c>
      <c r="E208" s="326">
        <v>710.0</v>
      </c>
      <c r="F208" s="282">
        <f t="shared" si="84"/>
        <v>2466.8</v>
      </c>
      <c r="G208" s="283">
        <v>114.0</v>
      </c>
      <c r="H208" s="284">
        <v>21.0</v>
      </c>
      <c r="I208" s="296">
        <v>690.0</v>
      </c>
      <c r="J208" s="274"/>
    </row>
    <row r="209" ht="12.75" customHeight="1">
      <c r="A209" s="286"/>
      <c r="B209" s="307"/>
      <c r="C209" s="289"/>
      <c r="D209" s="289"/>
      <c r="E209" s="308"/>
      <c r="F209" s="286"/>
      <c r="G209" s="288"/>
      <c r="H209" s="289"/>
      <c r="I209" s="290"/>
      <c r="J209" s="274"/>
    </row>
    <row r="210" ht="12.75" customHeight="1">
      <c r="A210" s="348">
        <f>A207+3</f>
        <v>43668</v>
      </c>
      <c r="B210" s="293">
        <v>270.0</v>
      </c>
      <c r="C210" s="293">
        <v>273.99</v>
      </c>
      <c r="D210" s="293">
        <v>1160.0</v>
      </c>
      <c r="E210" s="291">
        <v>300.0</v>
      </c>
      <c r="F210" s="297">
        <f t="shared" ref="F210:F215" si="86"> sum(B210:E210)</f>
        <v>2003.99</v>
      </c>
      <c r="G210" s="291">
        <v>33.0</v>
      </c>
      <c r="H210" s="293">
        <v>6.0</v>
      </c>
      <c r="I210" s="293">
        <v>290.0</v>
      </c>
      <c r="J210" s="274"/>
    </row>
    <row r="211" ht="12.75" customHeight="1">
      <c r="A211" s="348">
        <f t="shared" ref="A211:A214" si="87">A210+1</f>
        <v>43669</v>
      </c>
      <c r="B211" s="293">
        <v>100.0</v>
      </c>
      <c r="C211" s="293">
        <v>81.32</v>
      </c>
      <c r="D211" s="293">
        <v>590.0</v>
      </c>
      <c r="E211" s="291">
        <v>50.0</v>
      </c>
      <c r="F211" s="277">
        <f t="shared" si="86"/>
        <v>821.32</v>
      </c>
      <c r="G211" s="291">
        <v>16.0</v>
      </c>
      <c r="H211" s="293">
        <v>2.0</v>
      </c>
      <c r="I211" s="293">
        <v>50.0</v>
      </c>
      <c r="J211" s="274"/>
    </row>
    <row r="212" ht="12.75" customHeight="1">
      <c r="A212" s="348">
        <f t="shared" si="87"/>
        <v>43670</v>
      </c>
      <c r="B212" s="293">
        <v>140.0</v>
      </c>
      <c r="C212" s="293">
        <v>383.65</v>
      </c>
      <c r="D212" s="293">
        <v>250.0</v>
      </c>
      <c r="E212" s="291">
        <v>50.0</v>
      </c>
      <c r="F212" s="277">
        <f t="shared" si="86"/>
        <v>823.65</v>
      </c>
      <c r="G212" s="291">
        <v>17.0</v>
      </c>
      <c r="H212" s="293">
        <v>9.0</v>
      </c>
      <c r="I212" s="293">
        <v>50.0</v>
      </c>
      <c r="J212" s="274"/>
    </row>
    <row r="213" ht="12.75" customHeight="1">
      <c r="A213" s="348">
        <f t="shared" si="87"/>
        <v>43671</v>
      </c>
      <c r="B213" s="293">
        <v>520.0</v>
      </c>
      <c r="C213" s="293">
        <v>0.0</v>
      </c>
      <c r="D213" s="293">
        <v>1070.0</v>
      </c>
      <c r="E213" s="291">
        <v>220.0</v>
      </c>
      <c r="F213" s="277">
        <f t="shared" si="86"/>
        <v>1810</v>
      </c>
      <c r="G213" s="291">
        <v>28.0</v>
      </c>
      <c r="H213" s="293">
        <v>0.0</v>
      </c>
      <c r="I213" s="293">
        <v>210.0</v>
      </c>
      <c r="J213" s="274"/>
    </row>
    <row r="214" ht="12.75" customHeight="1">
      <c r="A214" s="348">
        <f t="shared" si="87"/>
        <v>43672</v>
      </c>
      <c r="B214" s="299">
        <v>390.0</v>
      </c>
      <c r="C214" s="299">
        <v>40.66</v>
      </c>
      <c r="D214" s="299">
        <v>700.0</v>
      </c>
      <c r="E214" s="298">
        <v>70.0</v>
      </c>
      <c r="F214" s="277">
        <f t="shared" si="86"/>
        <v>1200.66</v>
      </c>
      <c r="G214" s="298">
        <v>18.0</v>
      </c>
      <c r="H214" s="299">
        <v>1.0</v>
      </c>
      <c r="I214" s="299">
        <v>70.0</v>
      </c>
      <c r="J214" s="274"/>
    </row>
    <row r="215" ht="12.75" customHeight="1">
      <c r="A215" s="279"/>
      <c r="B215" s="317" t="s">
        <v>145</v>
      </c>
      <c r="C215" s="325">
        <v>779.62</v>
      </c>
      <c r="D215" s="284" t="s">
        <v>146</v>
      </c>
      <c r="E215" s="326">
        <v>690.0</v>
      </c>
      <c r="F215" s="282">
        <f t="shared" si="86"/>
        <v>1469.62</v>
      </c>
      <c r="G215" s="283">
        <v>112.0</v>
      </c>
      <c r="H215" s="284">
        <v>18.0</v>
      </c>
      <c r="I215" s="296">
        <v>670.0</v>
      </c>
      <c r="J215" s="274"/>
    </row>
    <row r="216" ht="12.75" customHeight="1">
      <c r="A216" s="286"/>
      <c r="B216" s="307"/>
      <c r="C216" s="289"/>
      <c r="D216" s="289"/>
      <c r="E216" s="308"/>
      <c r="F216" s="286"/>
      <c r="G216" s="288"/>
      <c r="H216" s="289"/>
      <c r="I216" s="290"/>
      <c r="J216" s="274"/>
    </row>
    <row r="217" ht="12.75" customHeight="1">
      <c r="A217" s="348">
        <f>A214+3</f>
        <v>43675</v>
      </c>
      <c r="B217" s="293">
        <v>290.0</v>
      </c>
      <c r="C217" s="293">
        <v>291.63</v>
      </c>
      <c r="D217" s="293">
        <v>630.0</v>
      </c>
      <c r="E217" s="291">
        <v>210.0</v>
      </c>
      <c r="F217" s="297">
        <f t="shared" ref="F217:F220" si="88"> sum(B217:E217)</f>
        <v>1421.63</v>
      </c>
      <c r="G217" s="291">
        <v>26.0</v>
      </c>
      <c r="H217" s="293">
        <v>5.0</v>
      </c>
      <c r="I217" s="293">
        <v>210.0</v>
      </c>
      <c r="J217" s="274"/>
    </row>
    <row r="218" ht="12.75" customHeight="1">
      <c r="A218" s="348">
        <f t="shared" ref="A218:A219" si="89">A217+1</f>
        <v>43676</v>
      </c>
      <c r="B218" s="293">
        <v>100.0</v>
      </c>
      <c r="C218" s="293">
        <v>40.66</v>
      </c>
      <c r="D218" s="293">
        <v>870.0</v>
      </c>
      <c r="E218" s="291">
        <v>150.0</v>
      </c>
      <c r="F218" s="277">
        <f t="shared" si="88"/>
        <v>1160.66</v>
      </c>
      <c r="G218" s="291">
        <v>23.0</v>
      </c>
      <c r="H218" s="293">
        <v>1.0</v>
      </c>
      <c r="I218" s="293">
        <v>150.0</v>
      </c>
      <c r="J218" s="274"/>
    </row>
    <row r="219" ht="12.75" customHeight="1">
      <c r="A219" s="349">
        <f t="shared" si="89"/>
        <v>43677</v>
      </c>
      <c r="B219" s="299">
        <v>170.0</v>
      </c>
      <c r="C219" s="299">
        <v>80.96</v>
      </c>
      <c r="D219" s="299">
        <v>610.0</v>
      </c>
      <c r="E219" s="298">
        <v>30.0</v>
      </c>
      <c r="F219" s="277">
        <f t="shared" si="88"/>
        <v>890.96</v>
      </c>
      <c r="G219" s="298">
        <v>17.0</v>
      </c>
      <c r="H219" s="299">
        <v>2.0</v>
      </c>
      <c r="I219" s="299">
        <v>30.0</v>
      </c>
      <c r="J219" s="274"/>
    </row>
    <row r="220" ht="12.75" customHeight="1">
      <c r="A220" s="279"/>
      <c r="B220" s="341">
        <v>560.0</v>
      </c>
      <c r="C220" s="325">
        <v>413.25</v>
      </c>
      <c r="D220" s="284" t="s">
        <v>147</v>
      </c>
      <c r="E220" s="326">
        <v>390.0</v>
      </c>
      <c r="F220" s="282">
        <f t="shared" si="88"/>
        <v>1363.25</v>
      </c>
      <c r="G220" s="283">
        <v>66.0</v>
      </c>
      <c r="H220" s="284">
        <v>8.0</v>
      </c>
      <c r="I220" s="296">
        <v>390.0</v>
      </c>
      <c r="J220" s="274"/>
    </row>
    <row r="221" ht="12.75" customHeight="1">
      <c r="A221" s="286"/>
      <c r="B221" s="307"/>
      <c r="C221" s="289"/>
      <c r="D221" s="289"/>
      <c r="E221" s="308"/>
      <c r="F221" s="286"/>
      <c r="G221" s="288"/>
      <c r="H221" s="289"/>
      <c r="I221" s="290"/>
      <c r="J221" s="274"/>
    </row>
    <row r="222" ht="12.75" customHeight="1">
      <c r="A222" s="315">
        <f>A219+1</f>
        <v>43678</v>
      </c>
      <c r="B222" s="291">
        <v>220.0</v>
      </c>
      <c r="C222" s="291">
        <v>233.33</v>
      </c>
      <c r="D222" s="291">
        <v>900.0</v>
      </c>
      <c r="E222" s="291">
        <v>190.0</v>
      </c>
      <c r="F222" s="297">
        <f t="shared" ref="F222:F224" si="90"> sum(B222:E222)</f>
        <v>1543.33</v>
      </c>
      <c r="G222" s="291">
        <v>26.0</v>
      </c>
      <c r="H222" s="291">
        <v>5.0</v>
      </c>
      <c r="I222" s="293">
        <v>180.0</v>
      </c>
      <c r="J222" s="274"/>
    </row>
    <row r="223" ht="12.75" customHeight="1">
      <c r="A223" s="350">
        <f>A222+1</f>
        <v>43679</v>
      </c>
      <c r="B223" s="298">
        <v>500.0</v>
      </c>
      <c r="C223" s="298">
        <v>123.38</v>
      </c>
      <c r="D223" s="298">
        <v>240.0</v>
      </c>
      <c r="E223" s="298">
        <v>0.0</v>
      </c>
      <c r="F223" s="277">
        <f t="shared" si="90"/>
        <v>863.38</v>
      </c>
      <c r="G223" s="298">
        <v>15.0</v>
      </c>
      <c r="H223" s="298">
        <v>3.0</v>
      </c>
      <c r="I223" s="299">
        <v>0.0</v>
      </c>
      <c r="J223" s="274"/>
    </row>
    <row r="224" ht="12.75" customHeight="1">
      <c r="A224" s="279"/>
      <c r="B224" s="294">
        <v>720.0</v>
      </c>
      <c r="C224" s="294">
        <v>356.71</v>
      </c>
      <c r="D224" s="280" t="s">
        <v>148</v>
      </c>
      <c r="E224" s="294">
        <v>190.0</v>
      </c>
      <c r="F224" s="282">
        <f t="shared" si="90"/>
        <v>1266.71</v>
      </c>
      <c r="G224" s="283">
        <v>41.0</v>
      </c>
      <c r="H224" s="284">
        <v>8.0</v>
      </c>
      <c r="I224" s="351">
        <v>180.0</v>
      </c>
      <c r="J224" s="274"/>
    </row>
    <row r="225" ht="12.75" customHeight="1">
      <c r="A225" s="286"/>
      <c r="B225" s="286"/>
      <c r="C225" s="286"/>
      <c r="D225" s="286"/>
      <c r="E225" s="286"/>
      <c r="F225" s="286"/>
      <c r="G225" s="288"/>
      <c r="H225" s="289"/>
      <c r="I225" s="290"/>
      <c r="J225" s="274"/>
    </row>
    <row r="226" ht="12.75" customHeight="1">
      <c r="A226" s="315">
        <f>A223+3</f>
        <v>43682</v>
      </c>
      <c r="B226" s="269"/>
      <c r="C226" s="269"/>
      <c r="D226" s="269"/>
      <c r="E226" s="269"/>
      <c r="F226" s="297">
        <f t="shared" ref="F226:F231" si="91"> sum(B226:E226)</f>
        <v>0</v>
      </c>
      <c r="G226" s="269"/>
      <c r="H226" s="269"/>
      <c r="I226" s="271"/>
      <c r="J226" s="274"/>
    </row>
    <row r="227" ht="12.75" customHeight="1">
      <c r="A227" s="315">
        <f t="shared" ref="A227:A230" si="92">A226+1</f>
        <v>43683</v>
      </c>
      <c r="B227" s="269"/>
      <c r="C227" s="269"/>
      <c r="D227" s="269"/>
      <c r="E227" s="269"/>
      <c r="F227" s="277">
        <f t="shared" si="91"/>
        <v>0</v>
      </c>
      <c r="G227" s="269"/>
      <c r="H227" s="269"/>
      <c r="I227" s="271"/>
      <c r="J227" s="274"/>
    </row>
    <row r="228" ht="12.75" customHeight="1">
      <c r="A228" s="315">
        <f t="shared" si="92"/>
        <v>43684</v>
      </c>
      <c r="B228" s="269"/>
      <c r="C228" s="269"/>
      <c r="D228" s="269"/>
      <c r="E228" s="269"/>
      <c r="F228" s="277">
        <f t="shared" si="91"/>
        <v>0</v>
      </c>
      <c r="G228" s="269"/>
      <c r="H228" s="269"/>
      <c r="I228" s="271"/>
      <c r="J228" s="274"/>
    </row>
    <row r="229" ht="12.75" customHeight="1">
      <c r="A229" s="315">
        <f t="shared" si="92"/>
        <v>43685</v>
      </c>
      <c r="B229" s="269"/>
      <c r="C229" s="269"/>
      <c r="D229" s="269"/>
      <c r="E229" s="269"/>
      <c r="F229" s="277">
        <f t="shared" si="91"/>
        <v>0</v>
      </c>
      <c r="G229" s="269"/>
      <c r="H229" s="269"/>
      <c r="I229" s="271"/>
      <c r="J229" s="274"/>
    </row>
    <row r="230" ht="12.75" customHeight="1">
      <c r="A230" s="315">
        <f t="shared" si="92"/>
        <v>43686</v>
      </c>
      <c r="B230" s="276"/>
      <c r="C230" s="276"/>
      <c r="D230" s="276"/>
      <c r="E230" s="276"/>
      <c r="F230" s="277">
        <f t="shared" si="91"/>
        <v>0</v>
      </c>
      <c r="G230" s="276"/>
      <c r="H230" s="276"/>
      <c r="I230" s="278"/>
      <c r="J230" s="274"/>
    </row>
    <row r="231" ht="12.75" customHeight="1">
      <c r="A231" s="279"/>
      <c r="B231" s="280" t="s">
        <v>90</v>
      </c>
      <c r="C231" s="280" t="s">
        <v>90</v>
      </c>
      <c r="D231" s="280" t="s">
        <v>90</v>
      </c>
      <c r="E231" s="280" t="s">
        <v>90</v>
      </c>
      <c r="F231" s="282">
        <f t="shared" si="91"/>
        <v>0</v>
      </c>
      <c r="G231" s="283">
        <v>0.0</v>
      </c>
      <c r="H231" s="284">
        <v>0.0</v>
      </c>
      <c r="I231" s="352" t="s">
        <v>90</v>
      </c>
      <c r="J231" s="274"/>
    </row>
    <row r="232" ht="12.75" customHeight="1">
      <c r="A232" s="286"/>
      <c r="B232" s="286"/>
      <c r="C232" s="286"/>
      <c r="D232" s="286"/>
      <c r="E232" s="286"/>
      <c r="F232" s="286"/>
      <c r="G232" s="288"/>
      <c r="H232" s="289"/>
      <c r="I232" s="290"/>
      <c r="J232" s="274"/>
    </row>
    <row r="233" ht="12.75" customHeight="1">
      <c r="A233" s="348">
        <f>A230+3</f>
        <v>43689</v>
      </c>
      <c r="B233" s="269"/>
      <c r="C233" s="269"/>
      <c r="D233" s="269"/>
      <c r="E233" s="269"/>
      <c r="F233" s="297">
        <f t="shared" ref="F233:F238" si="93"> sum(B233:E233)</f>
        <v>0</v>
      </c>
      <c r="G233" s="269"/>
      <c r="H233" s="269"/>
      <c r="I233" s="271"/>
      <c r="J233" s="274"/>
    </row>
    <row r="234" ht="12.75" customHeight="1">
      <c r="A234" s="348">
        <f t="shared" ref="A234:A237" si="94">A233+1</f>
        <v>43690</v>
      </c>
      <c r="B234" s="269"/>
      <c r="C234" s="269"/>
      <c r="D234" s="269"/>
      <c r="E234" s="269"/>
      <c r="F234" s="277">
        <f t="shared" si="93"/>
        <v>0</v>
      </c>
      <c r="G234" s="269"/>
      <c r="H234" s="269"/>
      <c r="I234" s="271"/>
      <c r="J234" s="274"/>
    </row>
    <row r="235" ht="12.75" customHeight="1">
      <c r="A235" s="348">
        <f t="shared" si="94"/>
        <v>43691</v>
      </c>
      <c r="B235" s="269"/>
      <c r="C235" s="269"/>
      <c r="D235" s="269"/>
      <c r="E235" s="269"/>
      <c r="F235" s="277">
        <f t="shared" si="93"/>
        <v>0</v>
      </c>
      <c r="G235" s="269"/>
      <c r="H235" s="269"/>
      <c r="I235" s="271"/>
      <c r="J235" s="274"/>
    </row>
    <row r="236" ht="12.75" customHeight="1">
      <c r="A236" s="348">
        <f t="shared" si="94"/>
        <v>43692</v>
      </c>
      <c r="B236" s="269"/>
      <c r="C236" s="269"/>
      <c r="D236" s="269"/>
      <c r="E236" s="269"/>
      <c r="F236" s="277">
        <f t="shared" si="93"/>
        <v>0</v>
      </c>
      <c r="G236" s="269"/>
      <c r="H236" s="269"/>
      <c r="I236" s="271"/>
      <c r="J236" s="274"/>
    </row>
    <row r="237" ht="12.75" customHeight="1">
      <c r="A237" s="348">
        <f t="shared" si="94"/>
        <v>43693</v>
      </c>
      <c r="B237" s="269"/>
      <c r="C237" s="269"/>
      <c r="D237" s="269"/>
      <c r="E237" s="269"/>
      <c r="F237" s="277">
        <f t="shared" si="93"/>
        <v>0</v>
      </c>
      <c r="G237" s="269"/>
      <c r="H237" s="269"/>
      <c r="I237" s="271"/>
      <c r="J237" s="274"/>
    </row>
    <row r="238" ht="12.75" customHeight="1">
      <c r="A238" s="279"/>
      <c r="B238" s="337" t="s">
        <v>90</v>
      </c>
      <c r="C238" s="337" t="s">
        <v>90</v>
      </c>
      <c r="D238" s="337" t="s">
        <v>90</v>
      </c>
      <c r="E238" s="337" t="s">
        <v>90</v>
      </c>
      <c r="F238" s="282">
        <f t="shared" si="93"/>
        <v>0</v>
      </c>
      <c r="G238" s="353">
        <v>0.0</v>
      </c>
      <c r="H238" s="337">
        <v>0.0</v>
      </c>
      <c r="I238" s="337" t="s">
        <v>90</v>
      </c>
      <c r="J238" s="274"/>
    </row>
    <row r="239" ht="12.75" customHeight="1">
      <c r="A239" s="286"/>
      <c r="B239" s="286"/>
      <c r="C239" s="286"/>
      <c r="D239" s="286"/>
      <c r="E239" s="286"/>
      <c r="F239" s="286"/>
      <c r="G239" s="344"/>
      <c r="H239" s="286"/>
      <c r="I239" s="286"/>
      <c r="J239" s="274"/>
    </row>
    <row r="240" ht="12.75" customHeight="1">
      <c r="A240" s="315">
        <f>A237+3</f>
        <v>43696</v>
      </c>
      <c r="B240" s="269"/>
      <c r="C240" s="269"/>
      <c r="D240" s="269"/>
      <c r="E240" s="269"/>
      <c r="F240" s="297">
        <f t="shared" ref="F240:F245" si="95"> sum(B240:E240)</f>
        <v>0</v>
      </c>
      <c r="G240" s="269"/>
      <c r="H240" s="269"/>
      <c r="I240" s="271"/>
      <c r="J240" s="274"/>
    </row>
    <row r="241" ht="12.75" customHeight="1">
      <c r="A241" s="319">
        <f t="shared" ref="A241:A244" si="96">A240+1</f>
        <v>43697</v>
      </c>
      <c r="B241" s="269"/>
      <c r="C241" s="269"/>
      <c r="D241" s="269"/>
      <c r="E241" s="269"/>
      <c r="F241" s="277">
        <f t="shared" si="95"/>
        <v>0</v>
      </c>
      <c r="G241" s="269"/>
      <c r="H241" s="269"/>
      <c r="I241" s="271"/>
      <c r="J241" s="274"/>
    </row>
    <row r="242" ht="12.75" customHeight="1">
      <c r="A242" s="319">
        <f t="shared" si="96"/>
        <v>43698</v>
      </c>
      <c r="B242" s="269"/>
      <c r="C242" s="269"/>
      <c r="D242" s="269"/>
      <c r="E242" s="269"/>
      <c r="F242" s="277">
        <f t="shared" si="95"/>
        <v>0</v>
      </c>
      <c r="G242" s="269"/>
      <c r="H242" s="269"/>
      <c r="I242" s="271"/>
      <c r="J242" s="274"/>
    </row>
    <row r="243" ht="12.75" customHeight="1">
      <c r="A243" s="319">
        <f t="shared" si="96"/>
        <v>43699</v>
      </c>
      <c r="B243" s="269"/>
      <c r="C243" s="269"/>
      <c r="D243" s="269"/>
      <c r="E243" s="269"/>
      <c r="F243" s="277">
        <f t="shared" si="95"/>
        <v>0</v>
      </c>
      <c r="G243" s="269"/>
      <c r="H243" s="269"/>
      <c r="I243" s="271"/>
      <c r="J243" s="274"/>
    </row>
    <row r="244" ht="12.75" customHeight="1">
      <c r="A244" s="319">
        <f t="shared" si="96"/>
        <v>43700</v>
      </c>
      <c r="B244" s="269"/>
      <c r="C244" s="269"/>
      <c r="D244" s="269"/>
      <c r="E244" s="269"/>
      <c r="F244" s="277">
        <f t="shared" si="95"/>
        <v>0</v>
      </c>
      <c r="G244" s="269"/>
      <c r="H244" s="269"/>
      <c r="I244" s="271"/>
      <c r="J244" s="274"/>
    </row>
    <row r="245" ht="12.75" customHeight="1">
      <c r="A245" s="279"/>
      <c r="B245" s="337" t="s">
        <v>90</v>
      </c>
      <c r="C245" s="337" t="s">
        <v>90</v>
      </c>
      <c r="D245" s="337" t="s">
        <v>90</v>
      </c>
      <c r="E245" s="337" t="s">
        <v>90</v>
      </c>
      <c r="F245" s="282">
        <f t="shared" si="95"/>
        <v>0</v>
      </c>
      <c r="G245" s="353">
        <v>0.0</v>
      </c>
      <c r="H245" s="337">
        <v>0.0</v>
      </c>
      <c r="I245" s="337" t="s">
        <v>90</v>
      </c>
      <c r="J245" s="274"/>
    </row>
    <row r="246" ht="12.75" customHeight="1">
      <c r="A246" s="286"/>
      <c r="B246" s="354"/>
      <c r="C246" s="354"/>
      <c r="D246" s="354"/>
      <c r="E246" s="354"/>
      <c r="F246" s="286"/>
      <c r="G246" s="355"/>
      <c r="H246" s="354"/>
      <c r="I246" s="354"/>
      <c r="J246" s="274"/>
    </row>
    <row r="247" ht="12.75" customHeight="1">
      <c r="A247" s="315">
        <f>A244+3</f>
        <v>43703</v>
      </c>
      <c r="B247" s="298">
        <v>400.0</v>
      </c>
      <c r="C247" s="298">
        <v>220.94</v>
      </c>
      <c r="D247" s="298">
        <v>820.0</v>
      </c>
      <c r="E247" s="298">
        <v>200.0</v>
      </c>
      <c r="F247" s="297">
        <f t="shared" ref="F247:F252" si="97"> sum(B247:E247)</f>
        <v>1640.94</v>
      </c>
      <c r="G247" s="298">
        <v>28.0</v>
      </c>
      <c r="H247" s="298">
        <v>4.0</v>
      </c>
      <c r="I247" s="299">
        <v>200.0</v>
      </c>
      <c r="J247" s="274"/>
    </row>
    <row r="248" ht="12.75" customHeight="1">
      <c r="A248" s="315">
        <f t="shared" ref="A248:A251" si="98">A247+1</f>
        <v>43704</v>
      </c>
      <c r="B248" s="298">
        <v>220.0</v>
      </c>
      <c r="C248" s="298">
        <v>111.35</v>
      </c>
      <c r="D248" s="298">
        <v>1120.0</v>
      </c>
      <c r="E248" s="298">
        <v>90.0</v>
      </c>
      <c r="F248" s="277">
        <f t="shared" si="97"/>
        <v>1541.35</v>
      </c>
      <c r="G248" s="298">
        <v>28.0</v>
      </c>
      <c r="H248" s="298">
        <v>2.0</v>
      </c>
      <c r="I248" s="299">
        <v>90.0</v>
      </c>
      <c r="J248" s="274"/>
    </row>
    <row r="249" ht="12.75" customHeight="1">
      <c r="A249" s="315">
        <f t="shared" si="98"/>
        <v>43705</v>
      </c>
      <c r="B249" s="298">
        <v>320.0</v>
      </c>
      <c r="C249" s="298">
        <v>38.9</v>
      </c>
      <c r="D249" s="298">
        <v>520.0</v>
      </c>
      <c r="E249" s="298">
        <v>70.0</v>
      </c>
      <c r="F249" s="277">
        <f t="shared" si="97"/>
        <v>948.9</v>
      </c>
      <c r="G249" s="298">
        <v>17.0</v>
      </c>
      <c r="H249" s="298">
        <v>1.0</v>
      </c>
      <c r="I249" s="299">
        <v>60.0</v>
      </c>
      <c r="J249" s="274"/>
    </row>
    <row r="250" ht="12.75" customHeight="1">
      <c r="A250" s="315">
        <f t="shared" si="98"/>
        <v>43706</v>
      </c>
      <c r="B250" s="298">
        <v>140.0</v>
      </c>
      <c r="C250" s="298">
        <v>275.39</v>
      </c>
      <c r="D250" s="298">
        <v>920.0</v>
      </c>
      <c r="E250" s="298">
        <v>250.0</v>
      </c>
      <c r="F250" s="277">
        <f t="shared" si="97"/>
        <v>1585.39</v>
      </c>
      <c r="G250" s="298">
        <v>30.0</v>
      </c>
      <c r="H250" s="298">
        <v>6.0</v>
      </c>
      <c r="I250" s="299">
        <v>250.0</v>
      </c>
      <c r="J250" s="274"/>
    </row>
    <row r="251" ht="12.75" customHeight="1">
      <c r="A251" s="315">
        <f t="shared" si="98"/>
        <v>43707</v>
      </c>
      <c r="B251" s="291">
        <v>100.0</v>
      </c>
      <c r="C251" s="291">
        <v>0.0</v>
      </c>
      <c r="D251" s="291">
        <v>800.0</v>
      </c>
      <c r="E251" s="291">
        <v>190.0</v>
      </c>
      <c r="F251" s="277">
        <f t="shared" si="97"/>
        <v>1090</v>
      </c>
      <c r="G251" s="291">
        <v>24.0</v>
      </c>
      <c r="H251" s="356"/>
      <c r="I251" s="293">
        <v>200.0</v>
      </c>
      <c r="J251" s="274"/>
    </row>
    <row r="252" ht="12.75" customHeight="1">
      <c r="A252" s="279"/>
      <c r="B252" s="337" t="s">
        <v>132</v>
      </c>
      <c r="C252" s="338">
        <v>646.58</v>
      </c>
      <c r="D252" s="337" t="s">
        <v>149</v>
      </c>
      <c r="E252" s="338">
        <v>800.0</v>
      </c>
      <c r="F252" s="282">
        <f t="shared" si="97"/>
        <v>1446.58</v>
      </c>
      <c r="G252" s="353">
        <v>127.0</v>
      </c>
      <c r="H252" s="337">
        <v>13.0</v>
      </c>
      <c r="I252" s="357">
        <v>800.0</v>
      </c>
      <c r="J252" s="274"/>
    </row>
    <row r="253" ht="12.75" customHeight="1">
      <c r="A253" s="286"/>
      <c r="B253" s="286"/>
      <c r="C253" s="286"/>
      <c r="D253" s="286"/>
      <c r="E253" s="286"/>
      <c r="F253" s="286"/>
      <c r="G253" s="344"/>
      <c r="H253" s="286"/>
      <c r="I253" s="286"/>
      <c r="J253" s="274"/>
    </row>
    <row r="254" ht="12.75" customHeight="1">
      <c r="A254" s="273">
        <f>A251+3</f>
        <v>43710</v>
      </c>
      <c r="B254" s="358">
        <v>210.0</v>
      </c>
      <c r="C254" s="358">
        <v>162.64</v>
      </c>
      <c r="D254" s="291">
        <v>1690.0</v>
      </c>
      <c r="E254" s="358">
        <v>0.0</v>
      </c>
      <c r="F254" s="297">
        <f t="shared" ref="F254:F259" si="99"> sum(B254:E254)</f>
        <v>2062.64</v>
      </c>
      <c r="G254" s="291">
        <v>34.0</v>
      </c>
      <c r="H254" s="291">
        <v>4.0</v>
      </c>
      <c r="I254" s="359">
        <v>0.0</v>
      </c>
      <c r="J254" s="274"/>
    </row>
    <row r="255" ht="12.75" customHeight="1">
      <c r="A255" s="273">
        <f t="shared" ref="A255:A258" si="100">A254+1</f>
        <v>43711</v>
      </c>
      <c r="B255" s="358">
        <v>270.0</v>
      </c>
      <c r="C255" s="358">
        <v>208.64</v>
      </c>
      <c r="D255" s="358">
        <v>860.0</v>
      </c>
      <c r="E255" s="358">
        <v>190.0</v>
      </c>
      <c r="F255" s="277">
        <f t="shared" si="99"/>
        <v>1528.64</v>
      </c>
      <c r="G255" s="291">
        <v>29.0</v>
      </c>
      <c r="H255" s="291">
        <v>5.0</v>
      </c>
      <c r="I255" s="359">
        <v>210.0</v>
      </c>
      <c r="J255" s="274"/>
    </row>
    <row r="256" ht="12.75" customHeight="1">
      <c r="A256" s="273">
        <f t="shared" si="100"/>
        <v>43712</v>
      </c>
      <c r="B256" s="358">
        <v>270.0</v>
      </c>
      <c r="C256" s="358">
        <v>77.8</v>
      </c>
      <c r="D256" s="358">
        <v>700.0</v>
      </c>
      <c r="E256" s="358">
        <v>150.0</v>
      </c>
      <c r="F256" s="277">
        <f t="shared" si="99"/>
        <v>1197.8</v>
      </c>
      <c r="G256" s="291">
        <v>23.0</v>
      </c>
      <c r="H256" s="291">
        <v>2.0</v>
      </c>
      <c r="I256" s="359">
        <v>160.0</v>
      </c>
      <c r="J256" s="274"/>
    </row>
    <row r="257" ht="12.75" customHeight="1">
      <c r="A257" s="273">
        <f t="shared" si="100"/>
        <v>43713</v>
      </c>
      <c r="B257" s="358">
        <v>320.0</v>
      </c>
      <c r="C257" s="358">
        <v>242.67</v>
      </c>
      <c r="D257" s="291">
        <v>1120.0</v>
      </c>
      <c r="E257" s="358">
        <v>310.0</v>
      </c>
      <c r="F257" s="277">
        <f t="shared" si="99"/>
        <v>1992.67</v>
      </c>
      <c r="G257" s="291">
        <v>34.0</v>
      </c>
      <c r="H257" s="291">
        <v>5.0</v>
      </c>
      <c r="I257" s="359">
        <v>300.0</v>
      </c>
      <c r="J257" s="274"/>
    </row>
    <row r="258" ht="12.75" customHeight="1">
      <c r="A258" s="273">
        <f t="shared" si="100"/>
        <v>43714</v>
      </c>
      <c r="B258" s="360">
        <v>190.0</v>
      </c>
      <c r="C258" s="360">
        <v>111.32</v>
      </c>
      <c r="D258" s="360">
        <v>890.0</v>
      </c>
      <c r="E258" s="360">
        <v>220.0</v>
      </c>
      <c r="F258" s="277">
        <f t="shared" si="99"/>
        <v>1411.32</v>
      </c>
      <c r="G258" s="298">
        <v>23.0</v>
      </c>
      <c r="H258" s="298">
        <v>3.0</v>
      </c>
      <c r="I258" s="361">
        <v>200.0</v>
      </c>
      <c r="J258" s="274"/>
    </row>
    <row r="259" ht="12.75" customHeight="1">
      <c r="A259" s="323"/>
      <c r="B259" s="342" t="s">
        <v>150</v>
      </c>
      <c r="C259" s="325">
        <v>803.07</v>
      </c>
      <c r="D259" s="284" t="s">
        <v>151</v>
      </c>
      <c r="E259" s="326">
        <v>870.0</v>
      </c>
      <c r="F259" s="282">
        <f t="shared" si="99"/>
        <v>1673.07</v>
      </c>
      <c r="G259" s="283">
        <v>143.0</v>
      </c>
      <c r="H259" s="284">
        <v>19.0</v>
      </c>
      <c r="I259" s="296">
        <v>870.0</v>
      </c>
      <c r="J259" s="274"/>
    </row>
    <row r="260" ht="12.75" customHeight="1">
      <c r="A260" s="327"/>
      <c r="B260" s="328"/>
      <c r="C260" s="289"/>
      <c r="D260" s="289"/>
      <c r="E260" s="308"/>
      <c r="F260" s="286"/>
      <c r="G260" s="288"/>
      <c r="H260" s="289"/>
      <c r="I260" s="290"/>
      <c r="J260" s="274"/>
    </row>
    <row r="261" ht="12.75" customHeight="1">
      <c r="A261" s="273">
        <f>A258+3</f>
        <v>43717</v>
      </c>
      <c r="B261" s="358">
        <v>140.0</v>
      </c>
      <c r="C261" s="358">
        <v>123.38</v>
      </c>
      <c r="D261" s="358">
        <v>770.0</v>
      </c>
      <c r="E261" s="358">
        <v>0.0</v>
      </c>
      <c r="F261" s="297">
        <f t="shared" ref="F261:F266" si="101"> sum(B261:E261)</f>
        <v>1033.38</v>
      </c>
      <c r="G261" s="291">
        <v>20.0</v>
      </c>
      <c r="H261" s="291">
        <v>3.0</v>
      </c>
      <c r="I261" s="359">
        <v>0.0</v>
      </c>
      <c r="J261" s="274"/>
    </row>
    <row r="262" ht="12.75" customHeight="1">
      <c r="A262" s="273">
        <f t="shared" ref="A262:A265" si="102">A261+1</f>
        <v>43718</v>
      </c>
      <c r="B262" s="358">
        <v>150.0</v>
      </c>
      <c r="C262" s="358">
        <v>81.32</v>
      </c>
      <c r="D262" s="358">
        <v>700.0</v>
      </c>
      <c r="E262" s="358">
        <v>0.0</v>
      </c>
      <c r="F262" s="277">
        <f t="shared" si="101"/>
        <v>931.32</v>
      </c>
      <c r="G262" s="291">
        <v>17.0</v>
      </c>
      <c r="H262" s="291">
        <v>2.0</v>
      </c>
      <c r="I262" s="359">
        <v>0.0</v>
      </c>
      <c r="J262" s="274"/>
    </row>
    <row r="263" ht="12.75" customHeight="1">
      <c r="A263" s="273">
        <f t="shared" si="102"/>
        <v>43719</v>
      </c>
      <c r="B263" s="358">
        <v>50.0</v>
      </c>
      <c r="C263" s="358">
        <v>393.55</v>
      </c>
      <c r="D263" s="358">
        <v>790.0</v>
      </c>
      <c r="E263" s="358">
        <v>100.0</v>
      </c>
      <c r="F263" s="277">
        <f t="shared" si="101"/>
        <v>1333.55</v>
      </c>
      <c r="G263" s="291">
        <v>25.0</v>
      </c>
      <c r="H263" s="291">
        <v>8.0</v>
      </c>
      <c r="I263" s="359">
        <v>100.0</v>
      </c>
      <c r="J263" s="274"/>
    </row>
    <row r="264" ht="12.75" customHeight="1">
      <c r="A264" s="273">
        <f t="shared" si="102"/>
        <v>43720</v>
      </c>
      <c r="B264" s="358">
        <v>572.2</v>
      </c>
      <c r="C264" s="358">
        <v>162.64</v>
      </c>
      <c r="D264" s="291">
        <v>1070.0</v>
      </c>
      <c r="E264" s="358">
        <v>150.0</v>
      </c>
      <c r="F264" s="277">
        <f t="shared" si="101"/>
        <v>1954.84</v>
      </c>
      <c r="G264" s="291">
        <v>32.0</v>
      </c>
      <c r="H264" s="291">
        <v>5.0</v>
      </c>
      <c r="I264" s="359">
        <v>150.0</v>
      </c>
      <c r="J264" s="274"/>
    </row>
    <row r="265" ht="12.75" customHeight="1">
      <c r="A265" s="273">
        <f t="shared" si="102"/>
        <v>43721</v>
      </c>
      <c r="B265" s="360">
        <v>260.0</v>
      </c>
      <c r="C265" s="360">
        <v>120.22</v>
      </c>
      <c r="D265" s="360">
        <v>870.0</v>
      </c>
      <c r="E265" s="360">
        <v>300.0</v>
      </c>
      <c r="F265" s="277">
        <f t="shared" si="101"/>
        <v>1550.22</v>
      </c>
      <c r="G265" s="298">
        <v>24.0</v>
      </c>
      <c r="H265" s="298">
        <v>3.0</v>
      </c>
      <c r="I265" s="361">
        <v>300.0</v>
      </c>
      <c r="J265" s="274"/>
    </row>
    <row r="266" ht="12.75" customHeight="1">
      <c r="A266" s="323"/>
      <c r="B266" s="342" t="s">
        <v>152</v>
      </c>
      <c r="C266" s="325">
        <v>881.11</v>
      </c>
      <c r="D266" s="284" t="s">
        <v>153</v>
      </c>
      <c r="E266" s="326">
        <v>550.0</v>
      </c>
      <c r="F266" s="282">
        <f t="shared" si="101"/>
        <v>1431.11</v>
      </c>
      <c r="G266" s="283">
        <v>118.0</v>
      </c>
      <c r="H266" s="284">
        <v>21.0</v>
      </c>
      <c r="I266" s="296">
        <v>550.0</v>
      </c>
      <c r="J266" s="274"/>
    </row>
    <row r="267" ht="12.75" customHeight="1">
      <c r="A267" s="327"/>
      <c r="B267" s="328"/>
      <c r="C267" s="289"/>
      <c r="D267" s="289"/>
      <c r="E267" s="308"/>
      <c r="F267" s="286"/>
      <c r="G267" s="288"/>
      <c r="H267" s="289"/>
      <c r="I267" s="290"/>
      <c r="J267" s="274"/>
    </row>
    <row r="268" ht="12.75" customHeight="1">
      <c r="A268" s="273">
        <f>A265+3</f>
        <v>43724</v>
      </c>
      <c r="B268" s="358">
        <v>150.0</v>
      </c>
      <c r="C268" s="358">
        <v>242.2</v>
      </c>
      <c r="D268" s="291">
        <v>1160.0</v>
      </c>
      <c r="E268" s="358">
        <v>150.0</v>
      </c>
      <c r="F268" s="297">
        <f t="shared" ref="F268:F273" si="103"> sum(B268:E268)</f>
        <v>1702.2</v>
      </c>
      <c r="G268" s="291">
        <v>30.0</v>
      </c>
      <c r="H268" s="291">
        <v>6.0</v>
      </c>
      <c r="I268" s="359">
        <v>150.0</v>
      </c>
      <c r="J268" s="274"/>
    </row>
    <row r="269" ht="12.75" customHeight="1">
      <c r="A269" s="273">
        <f t="shared" ref="A269:A272" si="104">A268+1</f>
        <v>43725</v>
      </c>
      <c r="B269" s="358">
        <v>100.0</v>
      </c>
      <c r="C269" s="358">
        <v>121.62</v>
      </c>
      <c r="D269" s="358">
        <v>570.0</v>
      </c>
      <c r="E269" s="358">
        <v>240.0</v>
      </c>
      <c r="F269" s="277">
        <f t="shared" si="103"/>
        <v>1031.62</v>
      </c>
      <c r="G269" s="291">
        <v>19.0</v>
      </c>
      <c r="H269" s="291">
        <v>3.0</v>
      </c>
      <c r="I269" s="359">
        <v>240.0</v>
      </c>
      <c r="J269" s="274"/>
    </row>
    <row r="270" ht="12.75" customHeight="1">
      <c r="A270" s="273">
        <f t="shared" si="104"/>
        <v>43726</v>
      </c>
      <c r="B270" s="358">
        <v>220.0</v>
      </c>
      <c r="C270" s="358">
        <v>197.66</v>
      </c>
      <c r="D270" s="358">
        <v>490.0</v>
      </c>
      <c r="E270" s="358">
        <v>0.0</v>
      </c>
      <c r="F270" s="277">
        <f t="shared" si="103"/>
        <v>907.66</v>
      </c>
      <c r="G270" s="291">
        <v>19.0</v>
      </c>
      <c r="H270" s="291">
        <v>5.0</v>
      </c>
      <c r="I270" s="359">
        <v>0.0</v>
      </c>
      <c r="J270" s="274"/>
    </row>
    <row r="271" ht="12.75" customHeight="1">
      <c r="A271" s="273">
        <f t="shared" si="104"/>
        <v>43727</v>
      </c>
      <c r="B271" s="358">
        <v>260.0</v>
      </c>
      <c r="C271" s="358">
        <v>284.62</v>
      </c>
      <c r="D271" s="358">
        <v>940.0</v>
      </c>
      <c r="E271" s="358">
        <v>140.0</v>
      </c>
      <c r="F271" s="277">
        <f t="shared" si="103"/>
        <v>1624.62</v>
      </c>
      <c r="G271" s="291">
        <v>32.0</v>
      </c>
      <c r="H271" s="291">
        <v>7.0</v>
      </c>
      <c r="I271" s="359">
        <v>140.0</v>
      </c>
      <c r="J271" s="274"/>
    </row>
    <row r="272" ht="12.75" customHeight="1">
      <c r="A272" s="273">
        <f t="shared" si="104"/>
        <v>43728</v>
      </c>
      <c r="B272" s="360">
        <v>560.0</v>
      </c>
      <c r="C272" s="360">
        <v>81.32</v>
      </c>
      <c r="D272" s="360">
        <v>600.0</v>
      </c>
      <c r="E272" s="360">
        <v>190.0</v>
      </c>
      <c r="F272" s="277">
        <f t="shared" si="103"/>
        <v>1431.32</v>
      </c>
      <c r="G272" s="298">
        <v>24.0</v>
      </c>
      <c r="H272" s="298">
        <v>2.0</v>
      </c>
      <c r="I272" s="361">
        <v>180.0</v>
      </c>
      <c r="J272" s="274"/>
    </row>
    <row r="273" ht="12.75" customHeight="1">
      <c r="A273" s="323"/>
      <c r="B273" s="342" t="s">
        <v>154</v>
      </c>
      <c r="C273" s="325">
        <v>927.42</v>
      </c>
      <c r="D273" s="284" t="s">
        <v>155</v>
      </c>
      <c r="E273" s="326">
        <v>720.0</v>
      </c>
      <c r="F273" s="282">
        <f t="shared" si="103"/>
        <v>1647.42</v>
      </c>
      <c r="G273" s="283">
        <v>124.0</v>
      </c>
      <c r="H273" s="284">
        <v>23.0</v>
      </c>
      <c r="I273" s="296">
        <v>710.0</v>
      </c>
      <c r="J273" s="274"/>
    </row>
    <row r="274" ht="12.75" customHeight="1">
      <c r="A274" s="327"/>
      <c r="B274" s="328"/>
      <c r="C274" s="289"/>
      <c r="D274" s="289"/>
      <c r="E274" s="308"/>
      <c r="F274" s="286"/>
      <c r="G274" s="288"/>
      <c r="H274" s="289"/>
      <c r="I274" s="290"/>
      <c r="J274" s="274"/>
    </row>
    <row r="275" ht="12.75" customHeight="1">
      <c r="A275" s="362">
        <f>A272+3</f>
        <v>43731</v>
      </c>
      <c r="B275" s="298">
        <v>500.0</v>
      </c>
      <c r="C275" s="298">
        <v>233.33</v>
      </c>
      <c r="D275" s="298">
        <v>420.0</v>
      </c>
      <c r="E275" s="298">
        <v>0.0</v>
      </c>
      <c r="F275" s="297">
        <f t="shared" ref="F275:F280" si="105"> sum(B275:E275)</f>
        <v>1153.33</v>
      </c>
      <c r="G275" s="298">
        <v>21.0</v>
      </c>
      <c r="H275" s="298">
        <v>5.0</v>
      </c>
      <c r="I275" s="361">
        <v>0.0</v>
      </c>
      <c r="J275" s="274"/>
    </row>
    <row r="276" ht="12.75" customHeight="1">
      <c r="A276" s="363">
        <f t="shared" ref="A276:A279" si="106">A275+1</f>
        <v>43732</v>
      </c>
      <c r="B276" s="298">
        <v>70.0</v>
      </c>
      <c r="C276" s="298">
        <v>121.62</v>
      </c>
      <c r="D276" s="298">
        <v>660.0</v>
      </c>
      <c r="E276" s="298">
        <v>140.0</v>
      </c>
      <c r="F276" s="277">
        <f t="shared" si="105"/>
        <v>991.62</v>
      </c>
      <c r="G276" s="291">
        <v>19.0</v>
      </c>
      <c r="H276" s="291">
        <v>3.0</v>
      </c>
      <c r="I276" s="293">
        <v>140.0</v>
      </c>
      <c r="J276" s="274"/>
    </row>
    <row r="277" ht="12.75" customHeight="1">
      <c r="A277" s="362">
        <f t="shared" si="106"/>
        <v>43733</v>
      </c>
      <c r="B277" s="298">
        <v>240.0</v>
      </c>
      <c r="C277" s="298">
        <v>327.22</v>
      </c>
      <c r="D277" s="298">
        <v>290.0</v>
      </c>
      <c r="E277" s="298">
        <v>70.0</v>
      </c>
      <c r="F277" s="277">
        <f t="shared" si="105"/>
        <v>927.22</v>
      </c>
      <c r="G277" s="298">
        <v>18.0</v>
      </c>
      <c r="H277" s="298">
        <v>8.0</v>
      </c>
      <c r="I277" s="299">
        <v>70.0</v>
      </c>
      <c r="J277" s="274"/>
    </row>
    <row r="278" ht="12.75" customHeight="1">
      <c r="A278" s="363">
        <f t="shared" si="106"/>
        <v>43734</v>
      </c>
      <c r="B278" s="298">
        <v>280.0</v>
      </c>
      <c r="C278" s="298">
        <v>466.66</v>
      </c>
      <c r="D278" s="298">
        <v>680.0</v>
      </c>
      <c r="E278" s="298">
        <v>140.0</v>
      </c>
      <c r="F278" s="277">
        <f t="shared" si="105"/>
        <v>1566.66</v>
      </c>
      <c r="G278" s="298">
        <v>29.0</v>
      </c>
      <c r="H278" s="298">
        <v>10.0</v>
      </c>
      <c r="I278" s="299">
        <v>140.0</v>
      </c>
      <c r="J278" s="274"/>
    </row>
    <row r="279" ht="12.75" customHeight="1">
      <c r="A279" s="364">
        <f t="shared" si="106"/>
        <v>43735</v>
      </c>
      <c r="B279" s="298">
        <v>370.0</v>
      </c>
      <c r="C279" s="298">
        <v>203.3</v>
      </c>
      <c r="D279" s="298">
        <v>750.0</v>
      </c>
      <c r="E279" s="298">
        <v>180.0</v>
      </c>
      <c r="F279" s="277">
        <f t="shared" si="105"/>
        <v>1503.3</v>
      </c>
      <c r="G279" s="298">
        <v>25.0</v>
      </c>
      <c r="H279" s="298">
        <v>5.0</v>
      </c>
      <c r="I279" s="299">
        <v>180.0</v>
      </c>
      <c r="J279" s="274"/>
    </row>
    <row r="280" ht="12.75" customHeight="1">
      <c r="A280" s="365"/>
      <c r="B280" s="342" t="s">
        <v>156</v>
      </c>
      <c r="C280" s="284" t="s">
        <v>157</v>
      </c>
      <c r="D280" s="284" t="s">
        <v>158</v>
      </c>
      <c r="E280" s="326">
        <v>530.0</v>
      </c>
      <c r="F280" s="282">
        <f t="shared" si="105"/>
        <v>530</v>
      </c>
      <c r="G280" s="283">
        <v>112.0</v>
      </c>
      <c r="H280" s="284">
        <v>31.0</v>
      </c>
      <c r="I280" s="296">
        <v>530.0</v>
      </c>
      <c r="J280" s="274"/>
    </row>
    <row r="281" ht="12.75" customHeight="1">
      <c r="A281" s="327"/>
      <c r="B281" s="328"/>
      <c r="C281" s="289"/>
      <c r="D281" s="289"/>
      <c r="E281" s="308"/>
      <c r="F281" s="286"/>
      <c r="G281" s="288"/>
      <c r="H281" s="289"/>
      <c r="I281" s="290"/>
      <c r="J281" s="274"/>
    </row>
    <row r="282" ht="12.75" customHeight="1">
      <c r="A282" s="364">
        <f>A279+3</f>
        <v>43738</v>
      </c>
      <c r="B282" s="298">
        <v>470.0</v>
      </c>
      <c r="C282" s="298">
        <v>281.1</v>
      </c>
      <c r="D282" s="298">
        <v>1210.0</v>
      </c>
      <c r="E282" s="298">
        <v>170.0</v>
      </c>
      <c r="F282" s="297">
        <f t="shared" ref="F282:F283" si="107"> sum(B282:E282)</f>
        <v>2131.1</v>
      </c>
      <c r="G282" s="298">
        <v>37.0</v>
      </c>
      <c r="H282" s="298">
        <v>7.0</v>
      </c>
      <c r="I282" s="299">
        <v>170.0</v>
      </c>
      <c r="J282" s="274"/>
    </row>
    <row r="283" ht="17.25" customHeight="1">
      <c r="A283" s="365"/>
      <c r="B283" s="324">
        <v>470.0</v>
      </c>
      <c r="C283" s="325">
        <v>281.1</v>
      </c>
      <c r="D283" s="284" t="s">
        <v>159</v>
      </c>
      <c r="E283" s="326">
        <v>170.0</v>
      </c>
      <c r="F283" s="282">
        <f t="shared" si="107"/>
        <v>921.1</v>
      </c>
      <c r="G283" s="283">
        <v>37.0</v>
      </c>
      <c r="H283" s="284">
        <v>7.0</v>
      </c>
      <c r="I283" s="296">
        <v>170.0</v>
      </c>
      <c r="J283" s="274"/>
    </row>
    <row r="284" ht="42.75" customHeight="1">
      <c r="A284" s="327"/>
      <c r="B284" s="328"/>
      <c r="C284" s="289"/>
      <c r="D284" s="289"/>
      <c r="E284" s="308"/>
      <c r="F284" s="286"/>
      <c r="G284" s="288"/>
      <c r="H284" s="289"/>
      <c r="I284" s="290"/>
      <c r="J284" s="322" t="s">
        <v>160</v>
      </c>
    </row>
    <row r="285" ht="12.75" customHeight="1">
      <c r="A285" s="309">
        <f>A282+1</f>
        <v>43739</v>
      </c>
      <c r="B285" s="366">
        <v>210.0</v>
      </c>
      <c r="C285" s="366">
        <v>162.64</v>
      </c>
      <c r="D285" s="366">
        <v>1690.0</v>
      </c>
      <c r="E285" s="366">
        <v>0.0</v>
      </c>
      <c r="F285" s="297">
        <f t="shared" ref="F285:F289" si="108"> sum(B285:E285)</f>
        <v>2062.64</v>
      </c>
      <c r="G285" s="366">
        <v>30.0</v>
      </c>
      <c r="H285" s="366">
        <v>4.0</v>
      </c>
      <c r="I285" s="367">
        <v>0.0</v>
      </c>
      <c r="J285" s="322"/>
    </row>
    <row r="286" ht="12.75" customHeight="1">
      <c r="A286" s="309">
        <f t="shared" ref="A286:A288" si="109">A285+1</f>
        <v>43740</v>
      </c>
      <c r="B286" s="366">
        <v>270.0</v>
      </c>
      <c r="C286" s="366">
        <v>208.64</v>
      </c>
      <c r="D286" s="366">
        <v>860.0</v>
      </c>
      <c r="E286" s="366">
        <v>190.0</v>
      </c>
      <c r="F286" s="277">
        <f t="shared" si="108"/>
        <v>1528.64</v>
      </c>
      <c r="G286" s="366">
        <v>24.0</v>
      </c>
      <c r="H286" s="366">
        <v>5.0</v>
      </c>
      <c r="I286" s="367">
        <v>60.0</v>
      </c>
      <c r="J286" s="322"/>
    </row>
    <row r="287" ht="12.75" customHeight="1">
      <c r="A287" s="309">
        <f t="shared" si="109"/>
        <v>43741</v>
      </c>
      <c r="B287" s="366">
        <v>270.0</v>
      </c>
      <c r="C287" s="366">
        <v>77.8</v>
      </c>
      <c r="D287" s="366">
        <v>700.0</v>
      </c>
      <c r="E287" s="366">
        <v>150.0</v>
      </c>
      <c r="F287" s="277">
        <f t="shared" si="108"/>
        <v>1197.8</v>
      </c>
      <c r="G287" s="366">
        <v>21.0</v>
      </c>
      <c r="H287" s="366">
        <v>2.0</v>
      </c>
      <c r="I287" s="367">
        <v>260.0</v>
      </c>
      <c r="J287" s="322"/>
    </row>
    <row r="288" ht="12.75" customHeight="1">
      <c r="A288" s="309">
        <f t="shared" si="109"/>
        <v>43742</v>
      </c>
      <c r="B288" s="269"/>
      <c r="C288" s="269"/>
      <c r="D288" s="269"/>
      <c r="E288" s="269"/>
      <c r="F288" s="277">
        <f t="shared" si="108"/>
        <v>0</v>
      </c>
      <c r="G288" s="276"/>
      <c r="H288" s="276"/>
      <c r="I288" s="271"/>
      <c r="J288" s="322"/>
    </row>
    <row r="289" ht="12.75" customHeight="1">
      <c r="A289" s="330"/>
      <c r="B289" s="302">
        <v>750.0</v>
      </c>
      <c r="C289" s="302">
        <v>449.08</v>
      </c>
      <c r="D289" s="303" t="s">
        <v>161</v>
      </c>
      <c r="E289" s="304">
        <v>340.0</v>
      </c>
      <c r="F289" s="282">
        <f t="shared" si="108"/>
        <v>1539.08</v>
      </c>
      <c r="G289" s="283">
        <v>75.0</v>
      </c>
      <c r="H289" s="284">
        <v>11.0</v>
      </c>
      <c r="I289" s="314">
        <f>SUM(I285:I287)</f>
        <v>320</v>
      </c>
      <c r="J289" s="322"/>
    </row>
    <row r="290" ht="12.75" customHeight="1">
      <c r="A290" s="74"/>
      <c r="B290" s="74"/>
      <c r="C290" s="74"/>
      <c r="D290" s="74"/>
      <c r="E290" s="234"/>
      <c r="F290" s="286"/>
      <c r="G290" s="288"/>
      <c r="H290" s="289"/>
      <c r="I290" s="331"/>
      <c r="J290" s="322"/>
    </row>
    <row r="291" ht="12.75" customHeight="1">
      <c r="A291" s="309">
        <f>A288+3</f>
        <v>43745</v>
      </c>
      <c r="B291" s="366">
        <v>320.0</v>
      </c>
      <c r="C291" s="366">
        <v>242.67</v>
      </c>
      <c r="D291" s="366">
        <v>1120.0</v>
      </c>
      <c r="E291" s="366">
        <v>310.0</v>
      </c>
      <c r="F291" s="297">
        <f t="shared" ref="F291:F296" si="110"> sum(B291:E291)</f>
        <v>1992.67</v>
      </c>
      <c r="G291" s="366">
        <v>29.0</v>
      </c>
      <c r="H291" s="366">
        <v>5.0</v>
      </c>
      <c r="I291" s="368">
        <v>320.0</v>
      </c>
      <c r="J291" s="322"/>
    </row>
    <row r="292" ht="12.75" customHeight="1">
      <c r="A292" s="309">
        <f t="shared" ref="A292:A295" si="111">A291+1</f>
        <v>43746</v>
      </c>
      <c r="B292" s="366">
        <v>190.0</v>
      </c>
      <c r="C292" s="366">
        <v>111.32</v>
      </c>
      <c r="D292" s="366">
        <v>890.0</v>
      </c>
      <c r="E292" s="366">
        <v>220.0</v>
      </c>
      <c r="F292" s="277">
        <f t="shared" si="110"/>
        <v>1411.32</v>
      </c>
      <c r="G292" s="366">
        <v>20.0</v>
      </c>
      <c r="H292" s="366">
        <v>3.0</v>
      </c>
      <c r="I292" s="369">
        <v>100.0</v>
      </c>
      <c r="J292" s="322"/>
    </row>
    <row r="293" ht="12.75" customHeight="1">
      <c r="A293" s="309">
        <f t="shared" si="111"/>
        <v>43747</v>
      </c>
      <c r="B293" s="366">
        <v>140.0</v>
      </c>
      <c r="C293" s="366">
        <v>123.38</v>
      </c>
      <c r="D293" s="366">
        <v>770.0</v>
      </c>
      <c r="E293" s="366">
        <v>0.0</v>
      </c>
      <c r="F293" s="277">
        <f t="shared" si="110"/>
        <v>1033.38</v>
      </c>
      <c r="G293" s="366">
        <v>17.0</v>
      </c>
      <c r="H293" s="366">
        <v>3.0</v>
      </c>
      <c r="I293" s="369">
        <v>0.0</v>
      </c>
      <c r="J293" s="322"/>
    </row>
    <row r="294" ht="12.75" customHeight="1">
      <c r="A294" s="309">
        <f t="shared" si="111"/>
        <v>43748</v>
      </c>
      <c r="B294" s="366">
        <v>150.0</v>
      </c>
      <c r="C294" s="366">
        <v>81.32</v>
      </c>
      <c r="D294" s="366">
        <v>700.0</v>
      </c>
      <c r="E294" s="366">
        <v>0.0</v>
      </c>
      <c r="F294" s="277">
        <f t="shared" si="110"/>
        <v>931.32</v>
      </c>
      <c r="G294" s="366">
        <v>15.0</v>
      </c>
      <c r="H294" s="366">
        <v>2.0</v>
      </c>
      <c r="I294" s="369">
        <v>170.0</v>
      </c>
      <c r="J294" s="322"/>
    </row>
    <row r="295" ht="12.75" customHeight="1">
      <c r="A295" s="309">
        <f t="shared" si="111"/>
        <v>43749</v>
      </c>
      <c r="B295" s="366">
        <v>50.0</v>
      </c>
      <c r="C295" s="366">
        <v>393.55</v>
      </c>
      <c r="D295" s="366">
        <v>790.0</v>
      </c>
      <c r="E295" s="366">
        <v>100.0</v>
      </c>
      <c r="F295" s="277">
        <f t="shared" si="110"/>
        <v>1333.55</v>
      </c>
      <c r="G295" s="370">
        <v>17.0</v>
      </c>
      <c r="H295" s="370">
        <v>8.0</v>
      </c>
      <c r="I295" s="369">
        <v>170.0</v>
      </c>
      <c r="J295" s="322"/>
    </row>
    <row r="296" ht="12.75" customHeight="1">
      <c r="A296" s="330"/>
      <c r="B296" s="302">
        <v>850.0</v>
      </c>
      <c r="C296" s="302">
        <v>952.24</v>
      </c>
      <c r="D296" s="303" t="s">
        <v>162</v>
      </c>
      <c r="E296" s="304">
        <v>630.0</v>
      </c>
      <c r="F296" s="282">
        <f t="shared" si="110"/>
        <v>2432.24</v>
      </c>
      <c r="G296" s="283">
        <v>98.0</v>
      </c>
      <c r="H296" s="284">
        <v>21.0</v>
      </c>
      <c r="I296" s="314">
        <f>SUM(I291:I295)</f>
        <v>760</v>
      </c>
      <c r="J296" s="322"/>
    </row>
    <row r="297" ht="12.75" customHeight="1">
      <c r="A297" s="74"/>
      <c r="B297" s="74"/>
      <c r="C297" s="74"/>
      <c r="D297" s="74"/>
      <c r="E297" s="234"/>
      <c r="F297" s="286"/>
      <c r="G297" s="288"/>
      <c r="H297" s="289"/>
      <c r="I297" s="331"/>
      <c r="J297" s="322"/>
    </row>
    <row r="298" ht="12.75" customHeight="1">
      <c r="A298" s="309">
        <f>A295+3</f>
        <v>43752</v>
      </c>
      <c r="B298" s="366">
        <v>572.5</v>
      </c>
      <c r="C298" s="366">
        <v>162.64</v>
      </c>
      <c r="D298" s="366">
        <v>1070.0</v>
      </c>
      <c r="E298" s="366">
        <v>150.0</v>
      </c>
      <c r="F298" s="297">
        <f t="shared" ref="F298:F303" si="112"> sum(B298:E298)</f>
        <v>1955.14</v>
      </c>
      <c r="G298" s="366">
        <v>27.0</v>
      </c>
      <c r="H298" s="366">
        <v>5.0</v>
      </c>
      <c r="I298" s="367">
        <v>340.0</v>
      </c>
      <c r="J298" s="322"/>
    </row>
    <row r="299" ht="12.75" customHeight="1">
      <c r="A299" s="309">
        <f t="shared" ref="A299:A302" si="113">A298+1</f>
        <v>43753</v>
      </c>
      <c r="B299" s="366">
        <v>260.0</v>
      </c>
      <c r="C299" s="366">
        <v>120.22</v>
      </c>
      <c r="D299" s="366">
        <v>870.0</v>
      </c>
      <c r="E299" s="366">
        <v>300.0</v>
      </c>
      <c r="F299" s="277">
        <f t="shared" si="112"/>
        <v>1550.22</v>
      </c>
      <c r="G299" s="366">
        <v>21.0</v>
      </c>
      <c r="H299" s="366">
        <v>3.0</v>
      </c>
      <c r="I299" s="367">
        <v>0.0</v>
      </c>
      <c r="J299" s="322"/>
    </row>
    <row r="300" ht="12.75" customHeight="1">
      <c r="A300" s="309">
        <f t="shared" si="113"/>
        <v>43754</v>
      </c>
      <c r="B300" s="366">
        <v>150.0</v>
      </c>
      <c r="C300" s="366">
        <v>242.2</v>
      </c>
      <c r="D300" s="366">
        <v>1160.0</v>
      </c>
      <c r="E300" s="366">
        <v>150.0</v>
      </c>
      <c r="F300" s="277">
        <f t="shared" si="112"/>
        <v>1702.2</v>
      </c>
      <c r="G300" s="366">
        <v>24.0</v>
      </c>
      <c r="H300" s="366">
        <v>6.0</v>
      </c>
      <c r="I300" s="367">
        <v>0.0</v>
      </c>
      <c r="J300" s="322"/>
    </row>
    <row r="301" ht="12.75" customHeight="1">
      <c r="A301" s="309">
        <f t="shared" si="113"/>
        <v>43755</v>
      </c>
      <c r="B301" s="366">
        <v>100.0</v>
      </c>
      <c r="C301" s="366">
        <v>121.62</v>
      </c>
      <c r="D301" s="366">
        <v>570.0</v>
      </c>
      <c r="E301" s="366">
        <v>240.0</v>
      </c>
      <c r="F301" s="277">
        <f t="shared" si="112"/>
        <v>1031.62</v>
      </c>
      <c r="G301" s="366">
        <v>16.0</v>
      </c>
      <c r="H301" s="366">
        <v>3.0</v>
      </c>
      <c r="I301" s="367">
        <v>150.0</v>
      </c>
      <c r="J301" s="322"/>
    </row>
    <row r="302" ht="12.75" customHeight="1">
      <c r="A302" s="309">
        <f t="shared" si="113"/>
        <v>43756</v>
      </c>
      <c r="B302" s="366">
        <v>220.0</v>
      </c>
      <c r="C302" s="366">
        <v>197.66</v>
      </c>
      <c r="D302" s="366">
        <v>490.0</v>
      </c>
      <c r="E302" s="366">
        <v>0.0</v>
      </c>
      <c r="F302" s="277">
        <f t="shared" si="112"/>
        <v>907.66</v>
      </c>
      <c r="G302" s="370">
        <v>14.0</v>
      </c>
      <c r="H302" s="370">
        <v>5.0</v>
      </c>
      <c r="I302" s="367">
        <v>170.0</v>
      </c>
      <c r="J302" s="322"/>
    </row>
    <row r="303" ht="12.75" customHeight="1">
      <c r="A303" s="330"/>
      <c r="B303" s="303" t="s">
        <v>163</v>
      </c>
      <c r="C303" s="302">
        <v>844.34</v>
      </c>
      <c r="D303" s="303" t="s">
        <v>164</v>
      </c>
      <c r="E303" s="304">
        <v>840.0</v>
      </c>
      <c r="F303" s="282">
        <f t="shared" si="112"/>
        <v>1684.34</v>
      </c>
      <c r="G303" s="283">
        <v>102.0</v>
      </c>
      <c r="H303" s="284">
        <v>22.0</v>
      </c>
      <c r="I303" s="314">
        <f>SUM(I298:I302)</f>
        <v>660</v>
      </c>
      <c r="J303" s="322"/>
    </row>
    <row r="304" ht="12.75" customHeight="1">
      <c r="A304" s="74"/>
      <c r="B304" s="74"/>
      <c r="C304" s="74"/>
      <c r="D304" s="74"/>
      <c r="E304" s="234"/>
      <c r="F304" s="286"/>
      <c r="G304" s="288"/>
      <c r="H304" s="289"/>
      <c r="I304" s="331"/>
      <c r="J304" s="322"/>
    </row>
    <row r="305" ht="12.75" customHeight="1">
      <c r="A305" s="309">
        <f>A302+3</f>
        <v>43759</v>
      </c>
      <c r="B305" s="366">
        <v>260.0</v>
      </c>
      <c r="C305" s="366">
        <v>284.62</v>
      </c>
      <c r="D305" s="366">
        <v>940.0</v>
      </c>
      <c r="E305" s="366">
        <v>140.0</v>
      </c>
      <c r="F305" s="297">
        <f t="shared" ref="F305:F310" si="114"> sum(B305:E305)</f>
        <v>1624.62</v>
      </c>
      <c r="G305" s="366">
        <v>25.0</v>
      </c>
      <c r="H305" s="366">
        <v>7.0</v>
      </c>
      <c r="I305" s="367">
        <v>160.0</v>
      </c>
      <c r="J305" s="322"/>
    </row>
    <row r="306" ht="12.75" customHeight="1">
      <c r="A306" s="309">
        <f t="shared" ref="A306:A309" si="115">A305+1</f>
        <v>43760</v>
      </c>
      <c r="B306" s="366">
        <v>560.0</v>
      </c>
      <c r="C306" s="366">
        <v>81.32</v>
      </c>
      <c r="D306" s="366">
        <v>600.0</v>
      </c>
      <c r="E306" s="366">
        <v>190.0</v>
      </c>
      <c r="F306" s="277">
        <f t="shared" si="114"/>
        <v>1431.32</v>
      </c>
      <c r="G306" s="366">
        <v>22.0</v>
      </c>
      <c r="H306" s="366">
        <v>2.0</v>
      </c>
      <c r="I306" s="367">
        <v>50.0</v>
      </c>
      <c r="J306" s="322"/>
    </row>
    <row r="307" ht="12.75" customHeight="1">
      <c r="A307" s="309">
        <f t="shared" si="115"/>
        <v>43761</v>
      </c>
      <c r="B307" s="366">
        <v>500.0</v>
      </c>
      <c r="C307" s="366">
        <v>233.33</v>
      </c>
      <c r="D307" s="366">
        <v>420.0</v>
      </c>
      <c r="E307" s="366">
        <v>0.0</v>
      </c>
      <c r="F307" s="277">
        <f t="shared" si="114"/>
        <v>1153.33</v>
      </c>
      <c r="G307" s="366">
        <v>16.0</v>
      </c>
      <c r="H307" s="366">
        <v>5.0</v>
      </c>
      <c r="I307" s="367">
        <v>0.0</v>
      </c>
      <c r="J307" s="322"/>
    </row>
    <row r="308" ht="12.75" customHeight="1">
      <c r="A308" s="309">
        <f t="shared" si="115"/>
        <v>43762</v>
      </c>
      <c r="B308" s="366">
        <v>70.0</v>
      </c>
      <c r="C308" s="366">
        <v>121.62</v>
      </c>
      <c r="D308" s="366">
        <v>660.0</v>
      </c>
      <c r="E308" s="366">
        <v>140.0</v>
      </c>
      <c r="F308" s="277">
        <f t="shared" si="114"/>
        <v>991.62</v>
      </c>
      <c r="G308" s="366">
        <v>16.0</v>
      </c>
      <c r="H308" s="366">
        <v>3.0</v>
      </c>
      <c r="I308" s="367">
        <v>50.0</v>
      </c>
      <c r="J308" s="322"/>
    </row>
    <row r="309" ht="12.75" customHeight="1">
      <c r="A309" s="309">
        <f t="shared" si="115"/>
        <v>43763</v>
      </c>
      <c r="B309" s="366">
        <v>240.0</v>
      </c>
      <c r="C309" s="366">
        <v>327.22</v>
      </c>
      <c r="D309" s="366">
        <v>290.0</v>
      </c>
      <c r="E309" s="366">
        <v>70.0</v>
      </c>
      <c r="F309" s="277">
        <f t="shared" si="114"/>
        <v>927.22</v>
      </c>
      <c r="G309" s="370">
        <v>10.0</v>
      </c>
      <c r="H309" s="370">
        <v>8.0</v>
      </c>
      <c r="I309" s="371">
        <v>0.0</v>
      </c>
      <c r="J309" s="322"/>
    </row>
    <row r="310" ht="12.75" customHeight="1">
      <c r="A310" s="330"/>
      <c r="B310" s="303" t="s">
        <v>165</v>
      </c>
      <c r="C310" s="303" t="s">
        <v>166</v>
      </c>
      <c r="D310" s="303" t="s">
        <v>167</v>
      </c>
      <c r="E310" s="304">
        <v>540.0</v>
      </c>
      <c r="F310" s="282">
        <f t="shared" si="114"/>
        <v>540</v>
      </c>
      <c r="G310" s="283">
        <v>89.0</v>
      </c>
      <c r="H310" s="284">
        <v>25.0</v>
      </c>
      <c r="I310" s="314">
        <f>SUM(I305:I309)</f>
        <v>260</v>
      </c>
      <c r="J310" s="322"/>
    </row>
    <row r="311" ht="12.75" customHeight="1">
      <c r="A311" s="74"/>
      <c r="B311" s="74"/>
      <c r="C311" s="74"/>
      <c r="D311" s="74"/>
      <c r="E311" s="234"/>
      <c r="F311" s="286"/>
      <c r="G311" s="288"/>
      <c r="H311" s="289"/>
      <c r="I311" s="331"/>
      <c r="J311" s="322"/>
    </row>
    <row r="312" ht="12.75" customHeight="1">
      <c r="A312" s="309">
        <f>A309+3</f>
        <v>43766</v>
      </c>
      <c r="B312" s="291">
        <v>280.0</v>
      </c>
      <c r="C312" s="291">
        <v>466.66</v>
      </c>
      <c r="D312" s="291">
        <v>680.0</v>
      </c>
      <c r="E312" s="291">
        <v>140.0</v>
      </c>
      <c r="F312" s="297">
        <f t="shared" ref="F312:F316" si="116"> sum(B312:E312)</f>
        <v>1566.66</v>
      </c>
      <c r="G312" s="366">
        <v>19.0</v>
      </c>
      <c r="H312" s="366">
        <v>10.0</v>
      </c>
      <c r="I312" s="367">
        <v>100.0</v>
      </c>
      <c r="J312" s="322"/>
    </row>
    <row r="313" ht="12.75" customHeight="1">
      <c r="A313" s="309">
        <f t="shared" ref="A313:A315" si="117">A312+1</f>
        <v>43767</v>
      </c>
      <c r="B313" s="366">
        <v>370.0</v>
      </c>
      <c r="C313" s="366">
        <v>203.3</v>
      </c>
      <c r="D313" s="366">
        <v>750.0</v>
      </c>
      <c r="E313" s="366">
        <v>180.0</v>
      </c>
      <c r="F313" s="277">
        <f t="shared" si="116"/>
        <v>1503.3</v>
      </c>
      <c r="G313" s="366">
        <v>20.0</v>
      </c>
      <c r="H313" s="366">
        <v>5.0</v>
      </c>
      <c r="I313" s="367">
        <v>200.0</v>
      </c>
      <c r="J313" s="322"/>
    </row>
    <row r="314" ht="12.75" customHeight="1">
      <c r="A314" s="309">
        <f t="shared" si="117"/>
        <v>43768</v>
      </c>
      <c r="B314" s="366">
        <v>470.0</v>
      </c>
      <c r="C314" s="366">
        <v>281.1</v>
      </c>
      <c r="D314" s="366">
        <v>1210.0</v>
      </c>
      <c r="E314" s="366">
        <v>170.0</v>
      </c>
      <c r="F314" s="277">
        <f t="shared" si="116"/>
        <v>2131.1</v>
      </c>
      <c r="G314" s="366">
        <v>30.0</v>
      </c>
      <c r="H314" s="366">
        <v>7.0</v>
      </c>
      <c r="I314" s="367">
        <v>60.0</v>
      </c>
      <c r="J314" s="322"/>
    </row>
    <row r="315" ht="12.75" customHeight="1">
      <c r="A315" s="309">
        <f t="shared" si="117"/>
        <v>43769</v>
      </c>
      <c r="B315" s="366">
        <v>330.0</v>
      </c>
      <c r="C315" s="366">
        <v>153.41</v>
      </c>
      <c r="D315" s="366">
        <v>460.0</v>
      </c>
      <c r="E315" s="366">
        <v>140.0</v>
      </c>
      <c r="F315" s="277">
        <f t="shared" si="116"/>
        <v>1083.41</v>
      </c>
      <c r="G315" s="370">
        <v>15.0</v>
      </c>
      <c r="H315" s="370">
        <v>3.0</v>
      </c>
      <c r="I315" s="367">
        <v>200.0</v>
      </c>
      <c r="J315" s="322"/>
    </row>
    <row r="316" ht="12.75" customHeight="1">
      <c r="A316" s="330"/>
      <c r="B316" s="303" t="s">
        <v>168</v>
      </c>
      <c r="C316" s="303" t="s">
        <v>169</v>
      </c>
      <c r="D316" s="303" t="s">
        <v>170</v>
      </c>
      <c r="E316" s="304">
        <v>630.0</v>
      </c>
      <c r="F316" s="282">
        <f t="shared" si="116"/>
        <v>630</v>
      </c>
      <c r="G316" s="283">
        <v>84.0</v>
      </c>
      <c r="H316" s="284">
        <v>25.0</v>
      </c>
      <c r="I316" s="314">
        <f>SUM(I311:I315)</f>
        <v>560</v>
      </c>
      <c r="J316" s="322"/>
    </row>
    <row r="317" ht="12.75" customHeight="1">
      <c r="A317" s="74"/>
      <c r="B317" s="74"/>
      <c r="C317" s="74"/>
      <c r="D317" s="74"/>
      <c r="E317" s="234"/>
      <c r="F317" s="286"/>
      <c r="G317" s="288"/>
      <c r="H317" s="289"/>
      <c r="I317" s="331"/>
      <c r="J317" s="322"/>
    </row>
    <row r="318" ht="12.75" customHeight="1">
      <c r="A318" s="372">
        <f>A315+1</f>
        <v>43770</v>
      </c>
      <c r="B318" s="269"/>
      <c r="C318" s="269"/>
      <c r="D318" s="269"/>
      <c r="E318" s="269"/>
      <c r="F318" s="297">
        <f t="shared" ref="F318:F319" si="118"> sum(B318:E318)</f>
        <v>0</v>
      </c>
      <c r="G318" s="269"/>
      <c r="H318" s="269"/>
      <c r="I318" s="271"/>
      <c r="J318" s="272" t="s">
        <v>171</v>
      </c>
    </row>
    <row r="319" ht="12.75" customHeight="1">
      <c r="A319" s="330"/>
      <c r="B319" s="303" t="s">
        <v>172</v>
      </c>
      <c r="C319" s="303" t="s">
        <v>173</v>
      </c>
      <c r="D319" s="303" t="s">
        <v>174</v>
      </c>
      <c r="E319" s="335" t="s">
        <v>175</v>
      </c>
      <c r="F319" s="282">
        <f t="shared" si="118"/>
        <v>0</v>
      </c>
      <c r="G319" s="305">
        <v>970.0</v>
      </c>
      <c r="H319" s="303">
        <v>222.0</v>
      </c>
      <c r="I319" s="306">
        <v>340.0</v>
      </c>
      <c r="J319" s="274"/>
    </row>
    <row r="320" ht="12.75" customHeight="1">
      <c r="A320" s="74"/>
      <c r="B320" s="74"/>
      <c r="C320" s="74"/>
      <c r="D320" s="74"/>
      <c r="E320" s="234"/>
      <c r="F320" s="286"/>
      <c r="G320" s="77"/>
      <c r="H320" s="74"/>
      <c r="I320" s="331"/>
      <c r="J320" s="274"/>
    </row>
    <row r="321" ht="12.75" customHeight="1">
      <c r="A321" s="315">
        <f>A318+3</f>
        <v>43773</v>
      </c>
      <c r="B321" s="373">
        <v>330.0</v>
      </c>
      <c r="C321" s="373">
        <v>153.41</v>
      </c>
      <c r="D321" s="373">
        <v>460.0</v>
      </c>
      <c r="E321" s="373">
        <v>140.0</v>
      </c>
      <c r="F321" s="297">
        <f t="shared" ref="F321:F326" si="119"> sum(B321:E321)</f>
        <v>1083.41</v>
      </c>
      <c r="G321" s="366">
        <v>18.0</v>
      </c>
      <c r="H321" s="366">
        <v>3.0</v>
      </c>
      <c r="I321" s="374">
        <v>150.0</v>
      </c>
      <c r="J321" s="274"/>
    </row>
    <row r="322" ht="12.75" customHeight="1">
      <c r="A322" s="315">
        <f t="shared" ref="A322:A325" si="120">A321+1</f>
        <v>43774</v>
      </c>
      <c r="B322" s="373">
        <v>50.0</v>
      </c>
      <c r="C322" s="373">
        <v>173.38</v>
      </c>
      <c r="D322" s="373">
        <v>620.0</v>
      </c>
      <c r="E322" s="373">
        <v>50.0</v>
      </c>
      <c r="F322" s="277">
        <f t="shared" si="119"/>
        <v>893.38</v>
      </c>
      <c r="G322" s="366">
        <v>18.0</v>
      </c>
      <c r="H322" s="366">
        <v>4.0</v>
      </c>
      <c r="I322" s="374">
        <v>50.0</v>
      </c>
      <c r="J322" s="274"/>
    </row>
    <row r="323" ht="12.75" customHeight="1">
      <c r="A323" s="315">
        <f t="shared" si="120"/>
        <v>43775</v>
      </c>
      <c r="B323" s="373">
        <v>150.0</v>
      </c>
      <c r="C323" s="373">
        <v>373.6</v>
      </c>
      <c r="D323" s="373">
        <v>480.0</v>
      </c>
      <c r="E323" s="373">
        <v>100.0</v>
      </c>
      <c r="F323" s="277">
        <f t="shared" si="119"/>
        <v>1103.6</v>
      </c>
      <c r="G323" s="366">
        <v>21.0</v>
      </c>
      <c r="H323" s="366">
        <v>8.0</v>
      </c>
      <c r="I323" s="374">
        <v>100.0</v>
      </c>
      <c r="J323" s="274"/>
    </row>
    <row r="324" ht="12.75" customHeight="1">
      <c r="A324" s="315">
        <f t="shared" si="120"/>
        <v>43776</v>
      </c>
      <c r="B324" s="373">
        <v>510.0</v>
      </c>
      <c r="C324" s="373">
        <v>203.3</v>
      </c>
      <c r="D324" s="366">
        <v>1130.0</v>
      </c>
      <c r="E324" s="373">
        <v>0.0</v>
      </c>
      <c r="F324" s="277">
        <f t="shared" si="119"/>
        <v>1843.3</v>
      </c>
      <c r="G324" s="366">
        <v>31.0</v>
      </c>
      <c r="H324" s="366">
        <v>5.0</v>
      </c>
      <c r="I324" s="374">
        <v>0.0</v>
      </c>
      <c r="J324" s="274"/>
    </row>
    <row r="325" ht="12.75" customHeight="1">
      <c r="A325" s="315">
        <f t="shared" si="120"/>
        <v>43777</v>
      </c>
      <c r="B325" s="375">
        <v>230.0</v>
      </c>
      <c r="C325" s="375">
        <v>316.05</v>
      </c>
      <c r="D325" s="375">
        <v>770.0</v>
      </c>
      <c r="E325" s="375">
        <v>0.0</v>
      </c>
      <c r="F325" s="277">
        <f t="shared" si="119"/>
        <v>1316.05</v>
      </c>
      <c r="G325" s="298">
        <v>23.0</v>
      </c>
      <c r="H325" s="298">
        <v>5.0</v>
      </c>
      <c r="I325" s="376">
        <v>0.0</v>
      </c>
      <c r="J325" s="274"/>
    </row>
    <row r="326" ht="12.75" customHeight="1">
      <c r="A326" s="323"/>
      <c r="B326" s="377" t="s">
        <v>176</v>
      </c>
      <c r="C326" s="280" t="s">
        <v>177</v>
      </c>
      <c r="D326" s="280" t="s">
        <v>178</v>
      </c>
      <c r="E326" s="294">
        <v>290.0</v>
      </c>
      <c r="F326" s="282">
        <f t="shared" si="119"/>
        <v>290</v>
      </c>
      <c r="G326" s="280">
        <v>111.0</v>
      </c>
      <c r="H326" s="280">
        <v>25.0</v>
      </c>
      <c r="I326" s="294">
        <v>300.0</v>
      </c>
      <c r="J326" s="274"/>
    </row>
    <row r="327" ht="12.75" customHeight="1">
      <c r="A327" s="327"/>
      <c r="B327" s="378"/>
      <c r="C327" s="286"/>
      <c r="D327" s="286"/>
      <c r="E327" s="286"/>
      <c r="F327" s="286"/>
      <c r="G327" s="286"/>
      <c r="H327" s="286"/>
      <c r="I327" s="286"/>
      <c r="J327" s="274"/>
    </row>
    <row r="328" ht="12.75" customHeight="1">
      <c r="A328" s="315">
        <f>A325+3</f>
        <v>43780</v>
      </c>
      <c r="B328" s="269"/>
      <c r="C328" s="269"/>
      <c r="D328" s="269"/>
      <c r="E328" s="269"/>
      <c r="F328" s="297">
        <f t="shared" ref="F328:F333" si="121"> sum(B328:E328)</f>
        <v>0</v>
      </c>
      <c r="G328" s="269"/>
      <c r="H328" s="269"/>
      <c r="I328" s="271"/>
      <c r="J328" s="274"/>
    </row>
    <row r="329" ht="12.75" customHeight="1">
      <c r="A329" s="315">
        <f t="shared" ref="A329:A332" si="122">A328+1</f>
        <v>43781</v>
      </c>
      <c r="B329" s="373">
        <v>550.0</v>
      </c>
      <c r="C329" s="373">
        <v>82.72</v>
      </c>
      <c r="D329" s="373">
        <v>360.0</v>
      </c>
      <c r="E329" s="373">
        <v>190.0</v>
      </c>
      <c r="F329" s="277">
        <f t="shared" si="121"/>
        <v>1182.72</v>
      </c>
      <c r="G329" s="366">
        <v>20.0</v>
      </c>
      <c r="H329" s="366">
        <v>2.0</v>
      </c>
      <c r="I329" s="374">
        <v>190.0</v>
      </c>
      <c r="J329" s="274"/>
    </row>
    <row r="330" ht="12.75" customHeight="1">
      <c r="A330" s="315">
        <f t="shared" si="122"/>
        <v>43782</v>
      </c>
      <c r="B330" s="373">
        <v>0.0</v>
      </c>
      <c r="C330" s="373">
        <v>317.52</v>
      </c>
      <c r="D330" s="366">
        <v>1040.0</v>
      </c>
      <c r="E330" s="373">
        <v>50.0</v>
      </c>
      <c r="F330" s="277">
        <f t="shared" si="121"/>
        <v>1407.52</v>
      </c>
      <c r="G330" s="366">
        <v>27.0</v>
      </c>
      <c r="H330" s="366">
        <v>8.0</v>
      </c>
      <c r="I330" s="374">
        <v>50.0</v>
      </c>
      <c r="J330" s="274"/>
    </row>
    <row r="331" ht="12.75" customHeight="1">
      <c r="A331" s="315">
        <f t="shared" si="122"/>
        <v>43783</v>
      </c>
      <c r="B331" s="373">
        <v>160.0</v>
      </c>
      <c r="C331" s="373">
        <v>234.73</v>
      </c>
      <c r="D331" s="366">
        <v>1260.0</v>
      </c>
      <c r="E331" s="373">
        <v>50.0</v>
      </c>
      <c r="F331" s="277">
        <f t="shared" si="121"/>
        <v>1704.73</v>
      </c>
      <c r="G331" s="366">
        <v>26.0</v>
      </c>
      <c r="H331" s="366">
        <v>5.0</v>
      </c>
      <c r="I331" s="374">
        <v>50.0</v>
      </c>
      <c r="J331" s="274"/>
    </row>
    <row r="332" ht="12.75" customHeight="1">
      <c r="A332" s="315">
        <f t="shared" si="122"/>
        <v>43784</v>
      </c>
      <c r="B332" s="375">
        <v>90.0</v>
      </c>
      <c r="C332" s="375">
        <v>304.02</v>
      </c>
      <c r="D332" s="375">
        <v>920.0</v>
      </c>
      <c r="E332" s="375">
        <v>140.0</v>
      </c>
      <c r="F332" s="277">
        <f t="shared" si="121"/>
        <v>1454.02</v>
      </c>
      <c r="G332" s="370">
        <v>22.0</v>
      </c>
      <c r="H332" s="370">
        <v>6.0</v>
      </c>
      <c r="I332" s="376">
        <v>150.0</v>
      </c>
      <c r="J332" s="274"/>
    </row>
    <row r="333" ht="12.75" customHeight="1">
      <c r="A333" s="279"/>
      <c r="B333" s="341">
        <v>800.0</v>
      </c>
      <c r="C333" s="325">
        <v>938.99</v>
      </c>
      <c r="D333" s="284" t="s">
        <v>179</v>
      </c>
      <c r="E333" s="326">
        <v>430.0</v>
      </c>
      <c r="F333" s="282">
        <f t="shared" si="121"/>
        <v>2168.99</v>
      </c>
      <c r="G333" s="280">
        <v>95.0</v>
      </c>
      <c r="H333" s="280">
        <v>21.0</v>
      </c>
      <c r="I333" s="294">
        <v>440.0</v>
      </c>
      <c r="J333" s="274"/>
    </row>
    <row r="334" ht="12.75" customHeight="1">
      <c r="A334" s="286"/>
      <c r="B334" s="307"/>
      <c r="C334" s="289"/>
      <c r="D334" s="289"/>
      <c r="E334" s="308"/>
      <c r="F334" s="286"/>
      <c r="G334" s="286"/>
      <c r="H334" s="286"/>
      <c r="I334" s="286"/>
      <c r="J334" s="274"/>
    </row>
    <row r="335" ht="12.75" customHeight="1">
      <c r="A335" s="315">
        <f>A332+3</f>
        <v>43787</v>
      </c>
      <c r="B335" s="373">
        <v>140.0</v>
      </c>
      <c r="C335" s="373">
        <v>203.3</v>
      </c>
      <c r="D335" s="373">
        <v>890.0</v>
      </c>
      <c r="E335" s="373">
        <v>0.0</v>
      </c>
      <c r="F335" s="297">
        <f t="shared" ref="F335:F340" si="123"> sum(B335:E335)</f>
        <v>1233.3</v>
      </c>
      <c r="G335" s="366">
        <v>22.0</v>
      </c>
      <c r="H335" s="366">
        <v>4.0</v>
      </c>
      <c r="I335" s="374">
        <v>0.0</v>
      </c>
      <c r="J335" s="274"/>
    </row>
    <row r="336" ht="12.75" customHeight="1">
      <c r="A336" s="315">
        <f t="shared" ref="A336:A339" si="124">A335+1</f>
        <v>43788</v>
      </c>
      <c r="B336" s="373">
        <v>90.0</v>
      </c>
      <c r="C336" s="373">
        <v>203.3</v>
      </c>
      <c r="D336" s="373">
        <v>810.0</v>
      </c>
      <c r="E336" s="373">
        <v>140.0</v>
      </c>
      <c r="F336" s="277">
        <f t="shared" si="123"/>
        <v>1243.3</v>
      </c>
      <c r="G336" s="366">
        <v>23.0</v>
      </c>
      <c r="H336" s="366">
        <v>5.0</v>
      </c>
      <c r="I336" s="374">
        <v>140.0</v>
      </c>
      <c r="J336" s="274"/>
    </row>
    <row r="337" ht="12.75" customHeight="1">
      <c r="A337" s="315">
        <f t="shared" si="124"/>
        <v>43789</v>
      </c>
      <c r="B337" s="373">
        <v>300.0</v>
      </c>
      <c r="C337" s="373">
        <v>70.0</v>
      </c>
      <c r="D337" s="373">
        <v>280.38</v>
      </c>
      <c r="E337" s="373">
        <v>600.0</v>
      </c>
      <c r="F337" s="277">
        <f t="shared" si="123"/>
        <v>1250.38</v>
      </c>
      <c r="G337" s="366">
        <v>25.0</v>
      </c>
      <c r="H337" s="366">
        <v>10.0</v>
      </c>
      <c r="I337" s="374">
        <v>70.0</v>
      </c>
      <c r="J337" s="274"/>
    </row>
    <row r="338" ht="12.75" customHeight="1">
      <c r="A338" s="315">
        <f t="shared" si="124"/>
        <v>43790</v>
      </c>
      <c r="B338" s="373">
        <v>450.0</v>
      </c>
      <c r="C338" s="373">
        <v>111.35</v>
      </c>
      <c r="D338" s="373">
        <v>980.0</v>
      </c>
      <c r="E338" s="373">
        <v>190.0</v>
      </c>
      <c r="F338" s="277">
        <f t="shared" si="123"/>
        <v>1731.35</v>
      </c>
      <c r="G338" s="366">
        <v>32.0</v>
      </c>
      <c r="H338" s="366">
        <v>2.0</v>
      </c>
      <c r="I338" s="374">
        <v>190.0</v>
      </c>
      <c r="J338" s="274"/>
    </row>
    <row r="339" ht="12.75" customHeight="1">
      <c r="A339" s="315">
        <f t="shared" si="124"/>
        <v>43791</v>
      </c>
      <c r="B339" s="375">
        <v>320.0</v>
      </c>
      <c r="C339" s="375">
        <v>222.7</v>
      </c>
      <c r="D339" s="375">
        <v>790.0</v>
      </c>
      <c r="E339" s="375">
        <v>90.0</v>
      </c>
      <c r="F339" s="277">
        <f t="shared" si="123"/>
        <v>1422.7</v>
      </c>
      <c r="G339" s="370">
        <v>24.0</v>
      </c>
      <c r="H339" s="370">
        <v>4.0</v>
      </c>
      <c r="I339" s="376">
        <v>100.0</v>
      </c>
      <c r="J339" s="274"/>
    </row>
    <row r="340" ht="12.75" customHeight="1">
      <c r="A340" s="279"/>
      <c r="B340" s="317" t="s">
        <v>180</v>
      </c>
      <c r="C340" s="325">
        <v>810.65</v>
      </c>
      <c r="D340" s="284" t="s">
        <v>181</v>
      </c>
      <c r="E340" s="345" t="s">
        <v>182</v>
      </c>
      <c r="F340" s="282">
        <f t="shared" si="123"/>
        <v>810.65</v>
      </c>
      <c r="G340" s="280">
        <v>126.0</v>
      </c>
      <c r="H340" s="280">
        <v>25.0</v>
      </c>
      <c r="I340" s="294">
        <v>500.0</v>
      </c>
      <c r="J340" s="274"/>
    </row>
    <row r="341" ht="12.75" customHeight="1">
      <c r="A341" s="286"/>
      <c r="B341" s="307"/>
      <c r="C341" s="289"/>
      <c r="D341" s="289"/>
      <c r="E341" s="308"/>
      <c r="F341" s="286"/>
      <c r="G341" s="286"/>
      <c r="H341" s="286"/>
      <c r="I341" s="286"/>
      <c r="J341" s="274"/>
    </row>
    <row r="342" ht="12.75" customHeight="1">
      <c r="A342" s="315">
        <f>A339+3</f>
        <v>43794</v>
      </c>
      <c r="B342" s="373">
        <v>100.0</v>
      </c>
      <c r="C342" s="373">
        <v>203.3</v>
      </c>
      <c r="D342" s="373">
        <v>570.0</v>
      </c>
      <c r="E342" s="374">
        <v>130.0</v>
      </c>
      <c r="F342" s="297">
        <f t="shared" ref="F342:F347" si="125"> sum(B342:E342)</f>
        <v>1003.3</v>
      </c>
      <c r="G342" s="366">
        <v>22.0</v>
      </c>
      <c r="H342" s="366">
        <v>5.0</v>
      </c>
      <c r="I342" s="374">
        <v>130.0</v>
      </c>
      <c r="J342" s="274"/>
    </row>
    <row r="343" ht="12.75" customHeight="1">
      <c r="A343" s="315">
        <f t="shared" ref="A343:A346" si="126">A342+1</f>
        <v>43795</v>
      </c>
      <c r="B343" s="373">
        <v>200.0</v>
      </c>
      <c r="C343" s="373">
        <v>199.42</v>
      </c>
      <c r="D343" s="373">
        <v>730.0</v>
      </c>
      <c r="E343" s="374">
        <v>90.0</v>
      </c>
      <c r="F343" s="277">
        <f t="shared" si="125"/>
        <v>1219.42</v>
      </c>
      <c r="G343" s="366">
        <v>21.0</v>
      </c>
      <c r="H343" s="366">
        <v>5.0</v>
      </c>
      <c r="I343" s="374">
        <v>100.0</v>
      </c>
      <c r="J343" s="274"/>
    </row>
    <row r="344" ht="12.75" customHeight="1">
      <c r="A344" s="315">
        <f t="shared" si="126"/>
        <v>43796</v>
      </c>
      <c r="B344" s="373">
        <v>0.0</v>
      </c>
      <c r="C344" s="373">
        <v>50.0</v>
      </c>
      <c r="D344" s="373">
        <v>192.67</v>
      </c>
      <c r="E344" s="374">
        <v>310.0</v>
      </c>
      <c r="F344" s="277">
        <f t="shared" si="125"/>
        <v>552.67</v>
      </c>
      <c r="G344" s="366">
        <v>11.0</v>
      </c>
      <c r="H344" s="366">
        <v>4.0</v>
      </c>
      <c r="I344" s="374">
        <v>50.0</v>
      </c>
      <c r="J344" s="274"/>
    </row>
    <row r="345" ht="12.75" customHeight="1">
      <c r="A345" s="315">
        <f t="shared" si="126"/>
        <v>43797</v>
      </c>
      <c r="B345" s="373">
        <v>190.0</v>
      </c>
      <c r="C345" s="373">
        <v>192.67</v>
      </c>
      <c r="D345" s="366">
        <v>1070.0</v>
      </c>
      <c r="E345" s="374">
        <v>150.0</v>
      </c>
      <c r="F345" s="277">
        <f t="shared" si="125"/>
        <v>1602.67</v>
      </c>
      <c r="G345" s="366">
        <v>32.0</v>
      </c>
      <c r="H345" s="366">
        <v>4.0</v>
      </c>
      <c r="I345" s="374">
        <v>150.0</v>
      </c>
      <c r="J345" s="274"/>
    </row>
    <row r="346" ht="12.75" customHeight="1">
      <c r="A346" s="315">
        <f t="shared" si="126"/>
        <v>43798</v>
      </c>
      <c r="B346" s="276"/>
      <c r="C346" s="276"/>
      <c r="D346" s="276"/>
      <c r="E346" s="278"/>
      <c r="F346" s="277">
        <f t="shared" si="125"/>
        <v>0</v>
      </c>
      <c r="G346" s="276"/>
      <c r="H346" s="276"/>
      <c r="I346" s="278"/>
      <c r="J346" s="274"/>
    </row>
    <row r="347" ht="12.75" customHeight="1">
      <c r="A347" s="279"/>
      <c r="B347" s="294">
        <v>490.0</v>
      </c>
      <c r="C347" s="294">
        <v>645.39</v>
      </c>
      <c r="D347" s="280" t="s">
        <v>183</v>
      </c>
      <c r="E347" s="294">
        <v>680.0</v>
      </c>
      <c r="F347" s="282">
        <f t="shared" si="125"/>
        <v>1815.39</v>
      </c>
      <c r="G347" s="280">
        <v>86.0</v>
      </c>
      <c r="H347" s="280">
        <v>18.0</v>
      </c>
      <c r="I347" s="294">
        <v>430.0</v>
      </c>
      <c r="J347" s="274"/>
    </row>
    <row r="348" ht="12.75" customHeight="1">
      <c r="A348" s="286"/>
      <c r="B348" s="286"/>
      <c r="C348" s="286"/>
      <c r="D348" s="286"/>
      <c r="E348" s="286"/>
      <c r="F348" s="286"/>
      <c r="G348" s="286"/>
      <c r="H348" s="286"/>
      <c r="I348" s="286"/>
      <c r="J348" s="274"/>
    </row>
    <row r="349" ht="12.75" customHeight="1">
      <c r="A349" s="273">
        <f>A346+3</f>
        <v>43801</v>
      </c>
      <c r="B349" s="269"/>
      <c r="C349" s="269"/>
      <c r="D349" s="269"/>
      <c r="E349" s="269"/>
      <c r="F349" s="297">
        <f t="shared" ref="F349:F354" si="127"> sum(B349:E349)</f>
        <v>0</v>
      </c>
      <c r="G349" s="269"/>
      <c r="H349" s="269"/>
      <c r="I349" s="271"/>
      <c r="J349" s="274"/>
    </row>
    <row r="350" ht="12.75" customHeight="1">
      <c r="A350" s="273">
        <f t="shared" ref="A350:A353" si="128">A349+1</f>
        <v>43802</v>
      </c>
      <c r="B350" s="269"/>
      <c r="C350" s="269"/>
      <c r="D350" s="269"/>
      <c r="E350" s="269"/>
      <c r="F350" s="277">
        <f t="shared" si="127"/>
        <v>0</v>
      </c>
      <c r="G350" s="269"/>
      <c r="H350" s="269"/>
      <c r="I350" s="271"/>
      <c r="J350" s="274"/>
    </row>
    <row r="351" ht="12.75" customHeight="1">
      <c r="A351" s="273">
        <f t="shared" si="128"/>
        <v>43803</v>
      </c>
      <c r="B351" s="269"/>
      <c r="C351" s="269"/>
      <c r="D351" s="269"/>
      <c r="E351" s="269"/>
      <c r="F351" s="277">
        <f t="shared" si="127"/>
        <v>0</v>
      </c>
      <c r="G351" s="269"/>
      <c r="H351" s="269"/>
      <c r="I351" s="271"/>
      <c r="J351" s="274"/>
    </row>
    <row r="352" ht="12.75" customHeight="1">
      <c r="A352" s="273">
        <f t="shared" si="128"/>
        <v>43804</v>
      </c>
      <c r="B352" s="269"/>
      <c r="C352" s="269"/>
      <c r="D352" s="269"/>
      <c r="E352" s="269"/>
      <c r="F352" s="277">
        <f t="shared" si="127"/>
        <v>0</v>
      </c>
      <c r="G352" s="269"/>
      <c r="H352" s="269"/>
      <c r="I352" s="271"/>
      <c r="J352" s="274"/>
    </row>
    <row r="353" ht="12.75" customHeight="1">
      <c r="A353" s="273">
        <f t="shared" si="128"/>
        <v>43805</v>
      </c>
      <c r="B353" s="276"/>
      <c r="C353" s="276"/>
      <c r="D353" s="276"/>
      <c r="E353" s="276"/>
      <c r="F353" s="277">
        <f t="shared" si="127"/>
        <v>0</v>
      </c>
      <c r="G353" s="276"/>
      <c r="H353" s="276"/>
      <c r="I353" s="278"/>
      <c r="J353" s="274"/>
    </row>
    <row r="354" ht="12.75" customHeight="1">
      <c r="A354" s="279"/>
      <c r="B354" s="317" t="s">
        <v>90</v>
      </c>
      <c r="C354" s="284" t="s">
        <v>90</v>
      </c>
      <c r="D354" s="284" t="s">
        <v>90</v>
      </c>
      <c r="E354" s="345" t="s">
        <v>90</v>
      </c>
      <c r="F354" s="282">
        <f t="shared" si="127"/>
        <v>0</v>
      </c>
      <c r="G354" s="283">
        <v>0.0</v>
      </c>
      <c r="H354" s="284">
        <v>0.0</v>
      </c>
      <c r="I354" s="285" t="s">
        <v>90</v>
      </c>
      <c r="J354" s="274"/>
    </row>
    <row r="355" ht="12.75" customHeight="1">
      <c r="A355" s="286"/>
      <c r="B355" s="307"/>
      <c r="C355" s="289"/>
      <c r="D355" s="289"/>
      <c r="E355" s="308"/>
      <c r="F355" s="286"/>
      <c r="G355" s="288"/>
      <c r="H355" s="289"/>
      <c r="I355" s="290"/>
      <c r="J355" s="274"/>
    </row>
    <row r="356" ht="12.75" customHeight="1">
      <c r="A356" s="273">
        <f>A353+3</f>
        <v>43808</v>
      </c>
      <c r="B356" s="291">
        <v>370.0</v>
      </c>
      <c r="C356" s="291">
        <v>192.67</v>
      </c>
      <c r="D356" s="291">
        <v>1030.0</v>
      </c>
      <c r="E356" s="291">
        <v>100.0</v>
      </c>
      <c r="F356" s="297">
        <f t="shared" ref="F356:F361" si="129"> sum(B356:E356)</f>
        <v>1692.67</v>
      </c>
      <c r="G356" s="291">
        <v>28.0</v>
      </c>
      <c r="H356" s="291">
        <v>4.0</v>
      </c>
      <c r="I356" s="293">
        <v>110.0</v>
      </c>
      <c r="J356" s="274"/>
    </row>
    <row r="357" ht="12.75" customHeight="1">
      <c r="A357" s="273">
        <f t="shared" ref="A357:A360" si="130">A356+1</f>
        <v>43809</v>
      </c>
      <c r="B357" s="291">
        <v>200.0</v>
      </c>
      <c r="C357" s="291">
        <v>316.05</v>
      </c>
      <c r="D357" s="291">
        <v>690.0</v>
      </c>
      <c r="E357" s="291">
        <v>0.0</v>
      </c>
      <c r="F357" s="277">
        <f t="shared" si="129"/>
        <v>1206.05</v>
      </c>
      <c r="G357" s="291">
        <v>22.0</v>
      </c>
      <c r="H357" s="291">
        <v>7.0</v>
      </c>
      <c r="I357" s="293">
        <v>0.0</v>
      </c>
      <c r="J357" s="274"/>
    </row>
    <row r="358" ht="12.75" customHeight="1">
      <c r="A358" s="273">
        <f t="shared" si="130"/>
        <v>43810</v>
      </c>
      <c r="B358" s="291">
        <v>290.0</v>
      </c>
      <c r="C358" s="291">
        <v>317.66</v>
      </c>
      <c r="D358" s="291">
        <v>530.0</v>
      </c>
      <c r="E358" s="291">
        <v>280.0</v>
      </c>
      <c r="F358" s="277">
        <f t="shared" si="129"/>
        <v>1417.66</v>
      </c>
      <c r="G358" s="291">
        <v>25.0</v>
      </c>
      <c r="H358" s="291">
        <v>7.0</v>
      </c>
      <c r="I358" s="293">
        <v>260.0</v>
      </c>
      <c r="J358" s="274"/>
    </row>
    <row r="359" ht="12.75" customHeight="1">
      <c r="A359" s="273">
        <f t="shared" si="130"/>
        <v>43811</v>
      </c>
      <c r="B359" s="291">
        <v>190.0</v>
      </c>
      <c r="C359" s="291">
        <v>162.64</v>
      </c>
      <c r="D359" s="291">
        <v>1320.0</v>
      </c>
      <c r="E359" s="291">
        <v>330.0</v>
      </c>
      <c r="F359" s="277">
        <f t="shared" si="129"/>
        <v>2002.64</v>
      </c>
      <c r="G359" s="291">
        <v>32.0</v>
      </c>
      <c r="H359" s="291">
        <v>4.0</v>
      </c>
      <c r="I359" s="293">
        <v>330.0</v>
      </c>
      <c r="J359" s="274"/>
    </row>
    <row r="360" ht="12.75" customHeight="1">
      <c r="A360" s="273">
        <f t="shared" si="130"/>
        <v>43812</v>
      </c>
      <c r="B360" s="298">
        <v>370.0</v>
      </c>
      <c r="C360" s="298">
        <v>0.0</v>
      </c>
      <c r="D360" s="298">
        <v>810.0</v>
      </c>
      <c r="E360" s="298">
        <v>120.0</v>
      </c>
      <c r="F360" s="277">
        <f t="shared" si="129"/>
        <v>1300</v>
      </c>
      <c r="G360" s="298">
        <v>21.0</v>
      </c>
      <c r="H360" s="298">
        <v>0.0</v>
      </c>
      <c r="I360" s="299">
        <v>100.0</v>
      </c>
      <c r="J360" s="274"/>
    </row>
    <row r="361" ht="12.75" customHeight="1">
      <c r="A361" s="279"/>
      <c r="B361" s="317" t="s">
        <v>145</v>
      </c>
      <c r="C361" s="325">
        <v>989.02</v>
      </c>
      <c r="D361" s="284" t="s">
        <v>184</v>
      </c>
      <c r="E361" s="326">
        <v>830.0</v>
      </c>
      <c r="F361" s="282">
        <f t="shared" si="129"/>
        <v>1819.02</v>
      </c>
      <c r="G361" s="280">
        <v>128.0</v>
      </c>
      <c r="H361" s="317">
        <v>22.0</v>
      </c>
      <c r="I361" s="296">
        <v>800.0</v>
      </c>
      <c r="J361" s="274"/>
    </row>
    <row r="362" ht="12.75" customHeight="1">
      <c r="A362" s="286"/>
      <c r="B362" s="307"/>
      <c r="C362" s="289"/>
      <c r="D362" s="289"/>
      <c r="E362" s="308"/>
      <c r="F362" s="286"/>
      <c r="G362" s="286"/>
      <c r="H362" s="307"/>
      <c r="I362" s="290"/>
      <c r="J362" s="274"/>
    </row>
    <row r="363" ht="12.75" customHeight="1">
      <c r="A363" s="379">
        <f>A360+3</f>
        <v>43815</v>
      </c>
      <c r="B363" s="291">
        <v>290.0</v>
      </c>
      <c r="C363" s="291">
        <v>40.66</v>
      </c>
      <c r="D363" s="291">
        <v>780.0</v>
      </c>
      <c r="E363" s="291">
        <v>0.0</v>
      </c>
      <c r="F363" s="297">
        <f t="shared" ref="F363:F368" si="131"> sum(B363:E363)</f>
        <v>1110.66</v>
      </c>
      <c r="G363" s="291">
        <v>20.0</v>
      </c>
      <c r="H363" s="291">
        <v>1.0</v>
      </c>
      <c r="I363" s="293">
        <v>0.0</v>
      </c>
      <c r="J363" s="274"/>
    </row>
    <row r="364" ht="12.75" customHeight="1">
      <c r="A364" s="379">
        <f t="shared" ref="A364:A367" si="132">A363+1</f>
        <v>43816</v>
      </c>
      <c r="B364" s="291">
        <v>290.0</v>
      </c>
      <c r="C364" s="291">
        <v>40.66</v>
      </c>
      <c r="D364" s="291">
        <v>560.0</v>
      </c>
      <c r="E364" s="291">
        <v>170.0</v>
      </c>
      <c r="F364" s="277">
        <f t="shared" si="131"/>
        <v>1060.66</v>
      </c>
      <c r="G364" s="291">
        <v>19.0</v>
      </c>
      <c r="H364" s="291">
        <v>1.0</v>
      </c>
      <c r="I364" s="293">
        <v>170.0</v>
      </c>
      <c r="J364" s="274"/>
    </row>
    <row r="365" ht="12.75" customHeight="1">
      <c r="A365" s="379">
        <f t="shared" si="132"/>
        <v>43817</v>
      </c>
      <c r="B365" s="291">
        <v>440.0</v>
      </c>
      <c r="C365" s="291">
        <v>309.01</v>
      </c>
      <c r="D365" s="291">
        <v>580.0</v>
      </c>
      <c r="E365" s="291">
        <v>170.0</v>
      </c>
      <c r="F365" s="277">
        <f t="shared" si="131"/>
        <v>1499.01</v>
      </c>
      <c r="G365" s="291">
        <v>29.0</v>
      </c>
      <c r="H365" s="291">
        <v>7.0</v>
      </c>
      <c r="I365" s="293">
        <v>170.0</v>
      </c>
      <c r="J365" s="274"/>
    </row>
    <row r="366" ht="12.75" customHeight="1">
      <c r="A366" s="379">
        <f t="shared" si="132"/>
        <v>43818</v>
      </c>
      <c r="B366" s="291">
        <v>370.0</v>
      </c>
      <c r="C366" s="291">
        <v>276.79</v>
      </c>
      <c r="D366" s="291">
        <v>790.0</v>
      </c>
      <c r="E366" s="291">
        <v>250.0</v>
      </c>
      <c r="F366" s="277">
        <f t="shared" si="131"/>
        <v>1686.79</v>
      </c>
      <c r="G366" s="291">
        <v>29.0</v>
      </c>
      <c r="H366" s="291">
        <v>6.0</v>
      </c>
      <c r="I366" s="293">
        <v>250.0</v>
      </c>
      <c r="J366" s="274"/>
    </row>
    <row r="367" ht="12.75" customHeight="1">
      <c r="A367" s="379">
        <f t="shared" si="132"/>
        <v>43819</v>
      </c>
      <c r="B367" s="298">
        <v>390.0</v>
      </c>
      <c r="C367" s="298">
        <v>248.16</v>
      </c>
      <c r="D367" s="298">
        <v>430.0</v>
      </c>
      <c r="E367" s="298">
        <v>50.0</v>
      </c>
      <c r="F367" s="277">
        <f t="shared" si="131"/>
        <v>1118.16</v>
      </c>
      <c r="G367" s="298">
        <v>19.0</v>
      </c>
      <c r="H367" s="298">
        <v>6.0</v>
      </c>
      <c r="I367" s="299">
        <v>50.0</v>
      </c>
      <c r="J367" s="274"/>
    </row>
    <row r="368" ht="12.75" customHeight="1">
      <c r="A368" s="279"/>
      <c r="B368" s="317" t="s">
        <v>185</v>
      </c>
      <c r="C368" s="325">
        <v>915.28</v>
      </c>
      <c r="D368" s="284" t="s">
        <v>186</v>
      </c>
      <c r="E368" s="326">
        <v>640.0</v>
      </c>
      <c r="F368" s="282">
        <f t="shared" si="131"/>
        <v>1555.28</v>
      </c>
      <c r="G368" s="283">
        <v>116.0</v>
      </c>
      <c r="H368" s="284">
        <v>21.0</v>
      </c>
      <c r="I368" s="296">
        <v>640.0</v>
      </c>
      <c r="J368" s="274"/>
    </row>
    <row r="369" ht="12.75" customHeight="1">
      <c r="A369" s="286"/>
      <c r="B369" s="307"/>
      <c r="C369" s="289"/>
      <c r="D369" s="289"/>
      <c r="E369" s="308"/>
      <c r="F369" s="286"/>
      <c r="G369" s="288"/>
      <c r="H369" s="289"/>
      <c r="I369" s="290"/>
      <c r="J369" s="274"/>
    </row>
    <row r="370" ht="12.75" customHeight="1">
      <c r="A370" s="379">
        <f>A367+3</f>
        <v>43822</v>
      </c>
      <c r="B370" s="291">
        <v>290.0</v>
      </c>
      <c r="C370" s="291">
        <v>203.3</v>
      </c>
      <c r="D370" s="291">
        <v>1300.0</v>
      </c>
      <c r="E370" s="291">
        <v>50.0</v>
      </c>
      <c r="F370" s="297">
        <f t="shared" ref="F370:F375" si="133"> sum(B370:E370)</f>
        <v>1843.3</v>
      </c>
      <c r="G370" s="291">
        <v>38.0</v>
      </c>
      <c r="H370" s="291">
        <v>5.0</v>
      </c>
      <c r="I370" s="293">
        <v>50.0</v>
      </c>
      <c r="J370" s="274"/>
    </row>
    <row r="371" ht="12.75" customHeight="1">
      <c r="A371" s="379">
        <f t="shared" ref="A371:A374" si="134">A370+1</f>
        <v>43823</v>
      </c>
      <c r="B371" s="291">
        <v>300.0</v>
      </c>
      <c r="C371" s="291">
        <v>81.32</v>
      </c>
      <c r="D371" s="291">
        <v>510.0</v>
      </c>
      <c r="E371" s="291">
        <v>50.0</v>
      </c>
      <c r="F371" s="277">
        <f t="shared" si="133"/>
        <v>941.32</v>
      </c>
      <c r="G371" s="291">
        <v>18.0</v>
      </c>
      <c r="H371" s="291">
        <v>2.0</v>
      </c>
      <c r="I371" s="293">
        <v>50.0</v>
      </c>
      <c r="J371" s="274"/>
    </row>
    <row r="372" ht="12.75" customHeight="1">
      <c r="A372" s="379">
        <f t="shared" si="134"/>
        <v>43824</v>
      </c>
      <c r="B372" s="269"/>
      <c r="C372" s="269"/>
      <c r="D372" s="269"/>
      <c r="E372" s="269"/>
      <c r="F372" s="277">
        <f t="shared" si="133"/>
        <v>0</v>
      </c>
      <c r="G372" s="269"/>
      <c r="H372" s="269"/>
      <c r="I372" s="271"/>
      <c r="J372" s="274"/>
    </row>
    <row r="373" ht="12.75" customHeight="1">
      <c r="A373" s="379">
        <f t="shared" si="134"/>
        <v>43825</v>
      </c>
      <c r="B373" s="269"/>
      <c r="C373" s="269"/>
      <c r="D373" s="269"/>
      <c r="E373" s="269"/>
      <c r="F373" s="277">
        <f t="shared" si="133"/>
        <v>0</v>
      </c>
      <c r="G373" s="269"/>
      <c r="H373" s="269"/>
      <c r="I373" s="271"/>
      <c r="J373" s="274"/>
    </row>
    <row r="374" ht="12.75" customHeight="1">
      <c r="A374" s="379">
        <f t="shared" si="134"/>
        <v>43826</v>
      </c>
      <c r="B374" s="276"/>
      <c r="C374" s="276"/>
      <c r="D374" s="276"/>
      <c r="E374" s="276"/>
      <c r="F374" s="277">
        <f t="shared" si="133"/>
        <v>0</v>
      </c>
      <c r="G374" s="276"/>
      <c r="H374" s="276"/>
      <c r="I374" s="278"/>
      <c r="J374" s="274"/>
    </row>
    <row r="375" ht="12.75" customHeight="1">
      <c r="A375" s="279"/>
      <c r="B375" s="341">
        <v>590.0</v>
      </c>
      <c r="C375" s="325">
        <v>284.62</v>
      </c>
      <c r="D375" s="284" t="s">
        <v>136</v>
      </c>
      <c r="E375" s="326">
        <v>100.0</v>
      </c>
      <c r="F375" s="282">
        <f t="shared" si="133"/>
        <v>974.62</v>
      </c>
      <c r="G375" s="283">
        <v>56.0</v>
      </c>
      <c r="H375" s="284">
        <v>7.0</v>
      </c>
      <c r="I375" s="296">
        <v>100.0</v>
      </c>
      <c r="J375" s="274"/>
    </row>
    <row r="376" ht="12.75" customHeight="1">
      <c r="A376" s="286"/>
      <c r="B376" s="307"/>
      <c r="C376" s="289"/>
      <c r="D376" s="289"/>
      <c r="E376" s="308"/>
      <c r="F376" s="286"/>
      <c r="G376" s="288"/>
      <c r="H376" s="289"/>
      <c r="I376" s="290"/>
      <c r="J376" s="274"/>
    </row>
    <row r="377" ht="12.75" customHeight="1">
      <c r="A377" s="379"/>
      <c r="B377" s="269"/>
      <c r="C377" s="269"/>
      <c r="D377" s="269"/>
      <c r="E377" s="269"/>
      <c r="F377" s="297">
        <f t="shared" ref="F377:F379" si="135"> sum(B377:E377)</f>
        <v>0</v>
      </c>
      <c r="G377" s="269"/>
      <c r="H377" s="269"/>
      <c r="I377" s="271"/>
      <c r="J377" s="274"/>
    </row>
    <row r="378" ht="12.75" customHeight="1">
      <c r="A378" s="275"/>
      <c r="B378" s="269"/>
      <c r="C378" s="269"/>
      <c r="D378" s="269"/>
      <c r="E378" s="269"/>
      <c r="F378" s="277">
        <f t="shared" si="135"/>
        <v>0</v>
      </c>
      <c r="G378" s="269"/>
      <c r="H378" s="269"/>
      <c r="I378" s="271"/>
      <c r="J378" s="274"/>
    </row>
    <row r="379" ht="12.75" customHeight="1">
      <c r="A379" s="279"/>
      <c r="B379" s="301"/>
      <c r="C379" s="303"/>
      <c r="D379" s="303"/>
      <c r="E379" s="335"/>
      <c r="F379" s="282">
        <f t="shared" si="135"/>
        <v>0</v>
      </c>
      <c r="G379" s="305"/>
      <c r="H379" s="303"/>
      <c r="I379" s="314"/>
      <c r="J379" s="274"/>
    </row>
    <row r="380" ht="12.75" customHeight="1">
      <c r="A380" s="286"/>
      <c r="B380" s="307"/>
      <c r="C380" s="289"/>
      <c r="D380" s="289"/>
      <c r="E380" s="308"/>
      <c r="F380" s="286"/>
      <c r="G380" s="288"/>
      <c r="H380" s="289"/>
      <c r="I380" s="290"/>
      <c r="J380" s="274"/>
    </row>
    <row r="381" ht="12.75" customHeight="1">
      <c r="F381" s="380"/>
    </row>
    <row r="382" ht="12.75" customHeight="1">
      <c r="F382" s="380"/>
    </row>
    <row r="383" ht="12.75" customHeight="1">
      <c r="F383" s="380"/>
    </row>
    <row r="384" ht="12.75" customHeight="1">
      <c r="F384" s="380"/>
    </row>
    <row r="385" ht="12.75" customHeight="1">
      <c r="F385" s="380"/>
    </row>
    <row r="386" ht="12.75" customHeight="1">
      <c r="F386" s="380"/>
    </row>
    <row r="387" ht="12.75" customHeight="1">
      <c r="F387" s="380"/>
    </row>
    <row r="388" ht="12.75" customHeight="1">
      <c r="F388" s="380"/>
    </row>
    <row r="389" ht="12.75" customHeight="1">
      <c r="F389" s="380"/>
    </row>
    <row r="390" ht="12.75" customHeight="1">
      <c r="F390" s="380"/>
    </row>
    <row r="391" ht="12.75" customHeight="1">
      <c r="F391" s="380"/>
    </row>
    <row r="392" ht="12.75" customHeight="1">
      <c r="F392" s="380"/>
    </row>
    <row r="393" ht="12.75" customHeight="1">
      <c r="F393" s="380"/>
    </row>
    <row r="394" ht="12.75" customHeight="1">
      <c r="F394" s="380"/>
    </row>
    <row r="395" ht="12.75" customHeight="1">
      <c r="F395" s="380"/>
    </row>
    <row r="396" ht="12.75" customHeight="1">
      <c r="F396" s="380"/>
    </row>
    <row r="397" ht="12.75" customHeight="1">
      <c r="F397" s="380"/>
    </row>
    <row r="398" ht="12.75" customHeight="1">
      <c r="F398" s="380"/>
    </row>
    <row r="399" ht="12.75" customHeight="1">
      <c r="F399" s="380"/>
    </row>
    <row r="400" ht="12.75" customHeight="1">
      <c r="F400" s="380"/>
    </row>
    <row r="401" ht="12.75" customHeight="1">
      <c r="F401" s="380"/>
    </row>
    <row r="402" ht="12.75" customHeight="1">
      <c r="F402" s="380"/>
    </row>
    <row r="403" ht="12.75" customHeight="1">
      <c r="F403" s="380"/>
    </row>
    <row r="404" ht="12.75" customHeight="1">
      <c r="F404" s="380"/>
    </row>
    <row r="405" ht="12.75" customHeight="1">
      <c r="F405" s="380"/>
    </row>
    <row r="406" ht="12.75" customHeight="1">
      <c r="F406" s="380"/>
    </row>
    <row r="407" ht="12.75" customHeight="1">
      <c r="F407" s="380"/>
    </row>
    <row r="408" ht="12.75" customHeight="1">
      <c r="F408" s="380"/>
    </row>
    <row r="409" ht="12.75" customHeight="1">
      <c r="F409" s="380"/>
    </row>
    <row r="410" ht="12.75" customHeight="1">
      <c r="F410" s="380"/>
    </row>
    <row r="411" ht="12.75" customHeight="1">
      <c r="F411" s="380"/>
    </row>
    <row r="412" ht="12.75" customHeight="1">
      <c r="F412" s="380"/>
    </row>
    <row r="413" ht="12.75" customHeight="1">
      <c r="F413" s="380"/>
    </row>
    <row r="414" ht="12.75" customHeight="1">
      <c r="F414" s="380"/>
    </row>
    <row r="415" ht="12.75" customHeight="1">
      <c r="F415" s="380"/>
    </row>
    <row r="416" ht="12.75" customHeight="1">
      <c r="F416" s="380"/>
    </row>
    <row r="417" ht="12.75" customHeight="1">
      <c r="F417" s="380"/>
    </row>
    <row r="418" ht="12.75" customHeight="1">
      <c r="F418" s="380"/>
    </row>
    <row r="419" ht="12.75" customHeight="1">
      <c r="F419" s="380"/>
    </row>
    <row r="420" ht="12.75" customHeight="1">
      <c r="F420" s="380"/>
    </row>
    <row r="421" ht="12.75" customHeight="1">
      <c r="F421" s="380"/>
    </row>
    <row r="422" ht="12.75" customHeight="1">
      <c r="F422" s="380"/>
    </row>
    <row r="423" ht="12.75" customHeight="1">
      <c r="F423" s="380"/>
    </row>
    <row r="424" ht="12.75" customHeight="1">
      <c r="F424" s="380"/>
    </row>
    <row r="425" ht="12.75" customHeight="1">
      <c r="F425" s="380"/>
    </row>
    <row r="426" ht="12.75" customHeight="1">
      <c r="F426" s="380"/>
    </row>
    <row r="427" ht="12.75" customHeight="1">
      <c r="F427" s="380"/>
    </row>
    <row r="428" ht="12.75" customHeight="1">
      <c r="F428" s="380"/>
    </row>
    <row r="429" ht="12.75" customHeight="1">
      <c r="F429" s="380"/>
    </row>
    <row r="430" ht="12.75" customHeight="1">
      <c r="F430" s="380"/>
    </row>
    <row r="431" ht="12.75" customHeight="1">
      <c r="F431" s="380"/>
    </row>
    <row r="432" ht="12.75" customHeight="1">
      <c r="F432" s="380"/>
    </row>
    <row r="433" ht="12.75" customHeight="1">
      <c r="F433" s="380"/>
    </row>
    <row r="434" ht="12.75" customHeight="1">
      <c r="F434" s="380"/>
    </row>
    <row r="435" ht="12.75" customHeight="1">
      <c r="F435" s="380"/>
    </row>
    <row r="436" ht="12.75" customHeight="1">
      <c r="F436" s="380"/>
    </row>
    <row r="437" ht="12.75" customHeight="1">
      <c r="F437" s="380"/>
    </row>
    <row r="438" ht="12.75" customHeight="1">
      <c r="F438" s="380"/>
    </row>
    <row r="439" ht="12.75" customHeight="1">
      <c r="F439" s="380"/>
    </row>
    <row r="440" ht="12.75" customHeight="1">
      <c r="F440" s="380"/>
    </row>
    <row r="441" ht="12.75" customHeight="1">
      <c r="F441" s="380"/>
    </row>
    <row r="442" ht="12.75" customHeight="1">
      <c r="F442" s="380"/>
    </row>
    <row r="443" ht="12.75" customHeight="1">
      <c r="F443" s="380"/>
    </row>
    <row r="444" ht="12.75" customHeight="1">
      <c r="F444" s="380"/>
    </row>
    <row r="445" ht="12.75" customHeight="1">
      <c r="F445" s="380"/>
    </row>
    <row r="446" ht="12.75" customHeight="1">
      <c r="F446" s="380"/>
    </row>
    <row r="447" ht="12.75" customHeight="1">
      <c r="F447" s="380"/>
    </row>
    <row r="448" ht="12.75" customHeight="1">
      <c r="F448" s="380"/>
    </row>
    <row r="449" ht="12.75" customHeight="1">
      <c r="F449" s="380"/>
    </row>
    <row r="450" ht="12.75" customHeight="1">
      <c r="F450" s="380"/>
    </row>
    <row r="451" ht="12.75" customHeight="1">
      <c r="F451" s="380"/>
    </row>
    <row r="452" ht="12.75" customHeight="1">
      <c r="F452" s="380"/>
    </row>
    <row r="453" ht="12.75" customHeight="1">
      <c r="F453" s="380"/>
    </row>
    <row r="454" ht="12.75" customHeight="1">
      <c r="F454" s="380"/>
    </row>
    <row r="455" ht="12.75" customHeight="1">
      <c r="F455" s="380"/>
    </row>
    <row r="456" ht="12.75" customHeight="1">
      <c r="F456" s="380"/>
    </row>
    <row r="457" ht="12.75" customHeight="1">
      <c r="F457" s="380"/>
    </row>
    <row r="458" ht="12.75" customHeight="1">
      <c r="F458" s="380"/>
    </row>
    <row r="459" ht="12.75" customHeight="1">
      <c r="F459" s="380"/>
    </row>
    <row r="460" ht="12.75" customHeight="1">
      <c r="F460" s="380"/>
    </row>
    <row r="461" ht="12.75" customHeight="1">
      <c r="F461" s="380"/>
    </row>
    <row r="462" ht="12.75" customHeight="1">
      <c r="F462" s="380"/>
    </row>
    <row r="463" ht="12.75" customHeight="1">
      <c r="F463" s="380"/>
    </row>
    <row r="464" ht="12.75" customHeight="1">
      <c r="F464" s="380"/>
    </row>
    <row r="465" ht="12.75" customHeight="1">
      <c r="F465" s="380"/>
    </row>
    <row r="466" ht="12.75" customHeight="1">
      <c r="F466" s="380"/>
    </row>
    <row r="467" ht="12.75" customHeight="1">
      <c r="F467" s="380"/>
    </row>
    <row r="468" ht="12.75" customHeight="1">
      <c r="F468" s="380"/>
    </row>
    <row r="469" ht="12.75" customHeight="1">
      <c r="F469" s="380"/>
    </row>
    <row r="470" ht="12.75" customHeight="1">
      <c r="F470" s="380"/>
    </row>
    <row r="471" ht="12.75" customHeight="1">
      <c r="F471" s="380"/>
    </row>
    <row r="472" ht="12.75" customHeight="1">
      <c r="F472" s="380"/>
    </row>
    <row r="473" ht="12.75" customHeight="1">
      <c r="F473" s="380"/>
    </row>
    <row r="474" ht="12.75" customHeight="1">
      <c r="F474" s="380"/>
    </row>
    <row r="475" ht="12.75" customHeight="1">
      <c r="F475" s="380"/>
    </row>
    <row r="476" ht="12.75" customHeight="1">
      <c r="F476" s="380"/>
    </row>
    <row r="477" ht="12.75" customHeight="1">
      <c r="F477" s="380"/>
    </row>
    <row r="478" ht="12.75" customHeight="1">
      <c r="F478" s="380"/>
    </row>
    <row r="479" ht="12.75" customHeight="1">
      <c r="F479" s="380"/>
    </row>
    <row r="480" ht="12.75" customHeight="1">
      <c r="F480" s="380"/>
    </row>
    <row r="481" ht="12.75" customHeight="1">
      <c r="F481" s="380"/>
    </row>
    <row r="482" ht="12.75" customHeight="1">
      <c r="F482" s="380"/>
    </row>
    <row r="483" ht="12.75" customHeight="1">
      <c r="F483" s="380"/>
    </row>
    <row r="484" ht="12.75" customHeight="1">
      <c r="F484" s="380"/>
    </row>
    <row r="485" ht="12.75" customHeight="1">
      <c r="F485" s="380"/>
    </row>
    <row r="486" ht="12.75" customHeight="1">
      <c r="F486" s="380"/>
    </row>
    <row r="487" ht="12.75" customHeight="1">
      <c r="F487" s="380"/>
    </row>
    <row r="488" ht="12.75" customHeight="1">
      <c r="F488" s="380"/>
    </row>
    <row r="489" ht="12.75" customHeight="1">
      <c r="F489" s="380"/>
    </row>
    <row r="490" ht="12.75" customHeight="1">
      <c r="F490" s="380"/>
    </row>
    <row r="491" ht="12.75" customHeight="1">
      <c r="F491" s="380"/>
    </row>
    <row r="492" ht="12.75" customHeight="1">
      <c r="F492" s="380"/>
    </row>
    <row r="493" ht="12.75" customHeight="1">
      <c r="F493" s="380"/>
    </row>
    <row r="494" ht="12.75" customHeight="1">
      <c r="F494" s="380"/>
    </row>
    <row r="495" ht="12.75" customHeight="1">
      <c r="F495" s="380"/>
    </row>
    <row r="496" ht="12.75" customHeight="1">
      <c r="F496" s="380"/>
    </row>
    <row r="497" ht="12.75" customHeight="1">
      <c r="F497" s="380"/>
    </row>
    <row r="498" ht="12.75" customHeight="1">
      <c r="F498" s="380"/>
    </row>
    <row r="499" ht="12.75" customHeight="1">
      <c r="F499" s="380"/>
    </row>
    <row r="500" ht="12.75" customHeight="1">
      <c r="F500" s="380"/>
    </row>
    <row r="501" ht="12.75" customHeight="1">
      <c r="F501" s="380"/>
    </row>
    <row r="502" ht="12.75" customHeight="1">
      <c r="F502" s="380"/>
    </row>
    <row r="503" ht="12.75" customHeight="1">
      <c r="F503" s="380"/>
    </row>
    <row r="504" ht="12.75" customHeight="1">
      <c r="F504" s="380"/>
    </row>
    <row r="505" ht="12.75" customHeight="1">
      <c r="F505" s="380"/>
    </row>
    <row r="506" ht="12.75" customHeight="1">
      <c r="F506" s="380"/>
    </row>
    <row r="507" ht="12.75" customHeight="1">
      <c r="F507" s="380"/>
    </row>
    <row r="508" ht="12.75" customHeight="1">
      <c r="F508" s="380"/>
    </row>
    <row r="509" ht="12.75" customHeight="1">
      <c r="F509" s="380"/>
    </row>
    <row r="510" ht="12.75" customHeight="1">
      <c r="F510" s="380"/>
    </row>
    <row r="511" ht="12.75" customHeight="1">
      <c r="F511" s="380"/>
    </row>
    <row r="512" ht="12.75" customHeight="1">
      <c r="F512" s="380"/>
    </row>
    <row r="513" ht="12.75" customHeight="1">
      <c r="F513" s="380"/>
    </row>
    <row r="514" ht="12.75" customHeight="1">
      <c r="F514" s="380"/>
    </row>
    <row r="515" ht="12.75" customHeight="1">
      <c r="F515" s="380"/>
    </row>
    <row r="516" ht="12.75" customHeight="1">
      <c r="F516" s="380"/>
    </row>
    <row r="517" ht="12.75" customHeight="1">
      <c r="F517" s="380"/>
    </row>
    <row r="518" ht="12.75" customHeight="1">
      <c r="F518" s="380"/>
    </row>
    <row r="519" ht="12.75" customHeight="1">
      <c r="F519" s="380"/>
    </row>
    <row r="520" ht="12.75" customHeight="1">
      <c r="F520" s="380"/>
    </row>
    <row r="521" ht="12.75" customHeight="1">
      <c r="F521" s="380"/>
    </row>
    <row r="522" ht="12.75" customHeight="1">
      <c r="F522" s="380"/>
    </row>
    <row r="523" ht="12.75" customHeight="1">
      <c r="F523" s="380"/>
    </row>
    <row r="524" ht="12.75" customHeight="1">
      <c r="F524" s="380"/>
    </row>
    <row r="525" ht="12.75" customHeight="1">
      <c r="F525" s="380"/>
    </row>
    <row r="526" ht="12.75" customHeight="1">
      <c r="F526" s="380"/>
    </row>
    <row r="527" ht="12.75" customHeight="1">
      <c r="F527" s="380"/>
    </row>
    <row r="528" ht="12.75" customHeight="1">
      <c r="F528" s="380"/>
    </row>
    <row r="529" ht="12.75" customHeight="1">
      <c r="F529" s="380"/>
    </row>
    <row r="530" ht="12.75" customHeight="1">
      <c r="F530" s="380"/>
    </row>
    <row r="531" ht="12.75" customHeight="1">
      <c r="F531" s="380"/>
    </row>
    <row r="532" ht="12.75" customHeight="1">
      <c r="F532" s="380"/>
    </row>
    <row r="533" ht="12.75" customHeight="1">
      <c r="F533" s="380"/>
    </row>
    <row r="534" ht="12.75" customHeight="1">
      <c r="F534" s="380"/>
    </row>
    <row r="535" ht="12.75" customHeight="1">
      <c r="F535" s="380"/>
    </row>
    <row r="536" ht="12.75" customHeight="1">
      <c r="F536" s="380"/>
    </row>
    <row r="537" ht="12.75" customHeight="1">
      <c r="F537" s="380"/>
    </row>
    <row r="538" ht="12.75" customHeight="1">
      <c r="F538" s="380"/>
    </row>
    <row r="539" ht="12.75" customHeight="1">
      <c r="F539" s="380"/>
    </row>
    <row r="540" ht="12.75" customHeight="1">
      <c r="F540" s="380"/>
    </row>
    <row r="541" ht="12.75" customHeight="1">
      <c r="F541" s="380"/>
    </row>
    <row r="542" ht="12.75" customHeight="1">
      <c r="F542" s="380"/>
    </row>
    <row r="543" ht="12.75" customHeight="1">
      <c r="F543" s="380"/>
    </row>
    <row r="544" ht="12.75" customHeight="1">
      <c r="F544" s="380"/>
    </row>
    <row r="545" ht="12.75" customHeight="1">
      <c r="F545" s="380"/>
    </row>
    <row r="546" ht="12.75" customHeight="1">
      <c r="F546" s="380"/>
    </row>
    <row r="547" ht="12.75" customHeight="1">
      <c r="F547" s="380"/>
    </row>
    <row r="548" ht="12.75" customHeight="1">
      <c r="F548" s="380"/>
    </row>
    <row r="549" ht="12.75" customHeight="1">
      <c r="F549" s="380"/>
    </row>
    <row r="550" ht="12.75" customHeight="1">
      <c r="F550" s="380"/>
    </row>
    <row r="551" ht="12.75" customHeight="1">
      <c r="F551" s="380"/>
    </row>
    <row r="552" ht="12.75" customHeight="1">
      <c r="F552" s="380"/>
    </row>
    <row r="553" ht="12.75" customHeight="1">
      <c r="F553" s="380"/>
    </row>
    <row r="554" ht="12.75" customHeight="1">
      <c r="F554" s="380"/>
    </row>
    <row r="555" ht="12.75" customHeight="1">
      <c r="F555" s="380"/>
    </row>
    <row r="556" ht="12.75" customHeight="1">
      <c r="F556" s="380"/>
    </row>
    <row r="557" ht="12.75" customHeight="1">
      <c r="F557" s="380"/>
    </row>
    <row r="558" ht="12.75" customHeight="1">
      <c r="F558" s="380"/>
    </row>
    <row r="559" ht="12.75" customHeight="1">
      <c r="F559" s="380"/>
    </row>
    <row r="560" ht="12.75" customHeight="1">
      <c r="F560" s="380"/>
    </row>
    <row r="561" ht="12.75" customHeight="1">
      <c r="F561" s="380"/>
    </row>
    <row r="562" ht="12.75" customHeight="1">
      <c r="F562" s="380"/>
    </row>
    <row r="563" ht="12.75" customHeight="1">
      <c r="F563" s="380"/>
    </row>
    <row r="564" ht="12.75" customHeight="1">
      <c r="F564" s="380"/>
    </row>
    <row r="565" ht="12.75" customHeight="1">
      <c r="F565" s="380"/>
    </row>
    <row r="566" ht="12.75" customHeight="1">
      <c r="F566" s="380"/>
    </row>
    <row r="567" ht="12.75" customHeight="1">
      <c r="F567" s="380"/>
    </row>
    <row r="568" ht="12.75" customHeight="1">
      <c r="F568" s="380"/>
    </row>
    <row r="569" ht="12.75" customHeight="1">
      <c r="F569" s="380"/>
    </row>
    <row r="570" ht="12.75" customHeight="1">
      <c r="F570" s="380"/>
    </row>
    <row r="571" ht="12.75" customHeight="1">
      <c r="F571" s="380"/>
    </row>
    <row r="572" ht="12.75" customHeight="1">
      <c r="F572" s="380"/>
    </row>
    <row r="573" ht="12.75" customHeight="1">
      <c r="F573" s="380"/>
    </row>
    <row r="574" ht="12.75" customHeight="1">
      <c r="F574" s="380"/>
    </row>
    <row r="575" ht="12.75" customHeight="1">
      <c r="F575" s="380"/>
    </row>
    <row r="576" ht="12.75" customHeight="1">
      <c r="F576" s="380"/>
    </row>
    <row r="577" ht="12.75" customHeight="1">
      <c r="F577" s="380"/>
    </row>
    <row r="578" ht="12.75" customHeight="1">
      <c r="F578" s="380"/>
    </row>
    <row r="579" ht="12.75" customHeight="1">
      <c r="F579" s="380"/>
    </row>
    <row r="580" ht="12.75" customHeight="1">
      <c r="F580" s="380"/>
    </row>
    <row r="581" ht="12.75" customHeight="1">
      <c r="F581" s="380"/>
    </row>
    <row r="582" ht="12.75" customHeight="1">
      <c r="F582" s="380"/>
    </row>
    <row r="583" ht="12.75" customHeight="1">
      <c r="F583" s="380"/>
    </row>
    <row r="584" ht="12.75" customHeight="1">
      <c r="F584" s="380"/>
    </row>
    <row r="585" ht="12.75" customHeight="1">
      <c r="F585" s="380"/>
    </row>
    <row r="586" ht="12.75" customHeight="1">
      <c r="F586" s="380"/>
    </row>
    <row r="587" ht="12.75" customHeight="1">
      <c r="F587" s="380"/>
    </row>
    <row r="588" ht="12.75" customHeight="1">
      <c r="F588" s="380"/>
    </row>
    <row r="589" ht="12.75" customHeight="1">
      <c r="F589" s="380"/>
    </row>
    <row r="590" ht="12.75" customHeight="1">
      <c r="F590" s="380"/>
    </row>
    <row r="591" ht="12.75" customHeight="1">
      <c r="F591" s="380"/>
    </row>
    <row r="592" ht="12.75" customHeight="1">
      <c r="F592" s="380"/>
    </row>
    <row r="593" ht="12.75" customHeight="1">
      <c r="F593" s="380"/>
    </row>
    <row r="594" ht="12.75" customHeight="1">
      <c r="F594" s="380"/>
    </row>
    <row r="595" ht="12.75" customHeight="1">
      <c r="F595" s="380"/>
    </row>
    <row r="596" ht="12.75" customHeight="1">
      <c r="F596" s="380"/>
    </row>
    <row r="597" ht="12.75" customHeight="1">
      <c r="F597" s="380"/>
    </row>
    <row r="598" ht="12.75" customHeight="1">
      <c r="F598" s="380"/>
    </row>
    <row r="599" ht="12.75" customHeight="1">
      <c r="F599" s="380"/>
    </row>
    <row r="600" ht="12.75" customHeight="1">
      <c r="F600" s="380"/>
    </row>
    <row r="601" ht="12.75" customHeight="1">
      <c r="F601" s="380"/>
    </row>
    <row r="602" ht="12.75" customHeight="1">
      <c r="F602" s="380"/>
    </row>
    <row r="603" ht="12.75" customHeight="1">
      <c r="F603" s="380"/>
    </row>
    <row r="604" ht="12.75" customHeight="1">
      <c r="F604" s="380"/>
    </row>
    <row r="605" ht="12.75" customHeight="1">
      <c r="F605" s="380"/>
    </row>
    <row r="606" ht="12.75" customHeight="1">
      <c r="F606" s="380"/>
    </row>
    <row r="607" ht="12.75" customHeight="1">
      <c r="F607" s="380"/>
    </row>
    <row r="608" ht="12.75" customHeight="1">
      <c r="F608" s="380"/>
    </row>
    <row r="609" ht="12.75" customHeight="1">
      <c r="F609" s="380"/>
    </row>
    <row r="610" ht="12.75" customHeight="1">
      <c r="F610" s="380"/>
    </row>
    <row r="611" ht="12.75" customHeight="1">
      <c r="F611" s="380"/>
    </row>
    <row r="612" ht="12.75" customHeight="1">
      <c r="F612" s="380"/>
    </row>
    <row r="613" ht="12.75" customHeight="1">
      <c r="F613" s="380"/>
    </row>
    <row r="614" ht="12.75" customHeight="1">
      <c r="F614" s="380"/>
    </row>
    <row r="615" ht="12.75" customHeight="1">
      <c r="F615" s="380"/>
    </row>
    <row r="616" ht="12.75" customHeight="1">
      <c r="F616" s="380"/>
    </row>
    <row r="617" ht="12.75" customHeight="1">
      <c r="F617" s="380"/>
    </row>
    <row r="618" ht="12.75" customHeight="1">
      <c r="F618" s="380"/>
    </row>
    <row r="619" ht="12.75" customHeight="1">
      <c r="F619" s="380"/>
    </row>
    <row r="620" ht="12.75" customHeight="1">
      <c r="F620" s="380"/>
    </row>
    <row r="621" ht="12.75" customHeight="1">
      <c r="F621" s="380"/>
    </row>
    <row r="622" ht="12.75" customHeight="1">
      <c r="F622" s="380"/>
    </row>
    <row r="623" ht="12.75" customHeight="1">
      <c r="F623" s="380"/>
    </row>
    <row r="624" ht="12.75" customHeight="1">
      <c r="F624" s="380"/>
    </row>
    <row r="625" ht="12.75" customHeight="1">
      <c r="F625" s="380"/>
    </row>
    <row r="626" ht="12.75" customHeight="1">
      <c r="F626" s="380"/>
    </row>
    <row r="627" ht="12.75" customHeight="1">
      <c r="F627" s="380"/>
    </row>
    <row r="628" ht="12.75" customHeight="1">
      <c r="F628" s="380"/>
    </row>
    <row r="629" ht="12.75" customHeight="1">
      <c r="F629" s="380"/>
    </row>
    <row r="630" ht="12.75" customHeight="1">
      <c r="F630" s="380"/>
    </row>
    <row r="631" ht="12.75" customHeight="1">
      <c r="F631" s="380"/>
    </row>
    <row r="632" ht="12.75" customHeight="1">
      <c r="F632" s="380"/>
    </row>
    <row r="633" ht="12.75" customHeight="1">
      <c r="F633" s="380"/>
    </row>
    <row r="634" ht="12.75" customHeight="1">
      <c r="F634" s="380"/>
    </row>
    <row r="635" ht="12.75" customHeight="1">
      <c r="F635" s="380"/>
    </row>
    <row r="636" ht="12.75" customHeight="1">
      <c r="F636" s="380"/>
    </row>
    <row r="637" ht="12.75" customHeight="1">
      <c r="F637" s="380"/>
    </row>
    <row r="638" ht="12.75" customHeight="1">
      <c r="F638" s="380"/>
    </row>
    <row r="639" ht="12.75" customHeight="1">
      <c r="F639" s="380"/>
    </row>
    <row r="640" ht="12.75" customHeight="1">
      <c r="F640" s="380"/>
    </row>
    <row r="641" ht="12.75" customHeight="1">
      <c r="F641" s="380"/>
    </row>
    <row r="642" ht="12.75" customHeight="1">
      <c r="F642" s="380"/>
    </row>
    <row r="643" ht="12.75" customHeight="1">
      <c r="F643" s="380"/>
    </row>
    <row r="644" ht="12.75" customHeight="1">
      <c r="F644" s="380"/>
    </row>
    <row r="645" ht="12.75" customHeight="1">
      <c r="F645" s="380"/>
    </row>
    <row r="646" ht="12.75" customHeight="1">
      <c r="F646" s="380"/>
    </row>
    <row r="647" ht="12.75" customHeight="1">
      <c r="F647" s="380"/>
    </row>
    <row r="648" ht="12.75" customHeight="1">
      <c r="F648" s="380"/>
    </row>
    <row r="649" ht="12.75" customHeight="1">
      <c r="F649" s="380"/>
    </row>
    <row r="650" ht="12.75" customHeight="1">
      <c r="F650" s="380"/>
    </row>
    <row r="651" ht="12.75" customHeight="1">
      <c r="F651" s="380"/>
    </row>
    <row r="652" ht="12.75" customHeight="1">
      <c r="F652" s="380"/>
    </row>
    <row r="653" ht="12.75" customHeight="1">
      <c r="F653" s="380"/>
    </row>
    <row r="654" ht="12.75" customHeight="1">
      <c r="F654" s="380"/>
    </row>
    <row r="655" ht="12.75" customHeight="1">
      <c r="F655" s="380"/>
    </row>
    <row r="656" ht="12.75" customHeight="1">
      <c r="F656" s="380"/>
    </row>
    <row r="657" ht="12.75" customHeight="1">
      <c r="F657" s="380"/>
    </row>
    <row r="658" ht="12.75" customHeight="1">
      <c r="F658" s="380"/>
    </row>
    <row r="659" ht="12.75" customHeight="1">
      <c r="F659" s="380"/>
    </row>
    <row r="660" ht="12.75" customHeight="1">
      <c r="F660" s="380"/>
    </row>
    <row r="661" ht="12.75" customHeight="1">
      <c r="F661" s="380"/>
    </row>
    <row r="662" ht="12.75" customHeight="1">
      <c r="F662" s="380"/>
    </row>
    <row r="663" ht="12.75" customHeight="1">
      <c r="F663" s="380"/>
    </row>
    <row r="664" ht="12.75" customHeight="1">
      <c r="F664" s="380"/>
    </row>
    <row r="665" ht="12.75" customHeight="1">
      <c r="F665" s="380"/>
    </row>
    <row r="666" ht="12.75" customHeight="1">
      <c r="F666" s="380"/>
    </row>
    <row r="667" ht="12.75" customHeight="1">
      <c r="F667" s="380"/>
    </row>
    <row r="668" ht="12.75" customHeight="1">
      <c r="F668" s="380"/>
    </row>
    <row r="669" ht="12.75" customHeight="1">
      <c r="F669" s="380"/>
    </row>
    <row r="670" ht="12.75" customHeight="1">
      <c r="F670" s="380"/>
    </row>
    <row r="671" ht="12.75" customHeight="1">
      <c r="F671" s="380"/>
    </row>
    <row r="672" ht="12.75" customHeight="1">
      <c r="F672" s="380"/>
    </row>
    <row r="673" ht="12.75" customHeight="1">
      <c r="F673" s="380"/>
    </row>
    <row r="674" ht="12.75" customHeight="1">
      <c r="F674" s="380"/>
    </row>
    <row r="675" ht="12.75" customHeight="1">
      <c r="F675" s="380"/>
    </row>
    <row r="676" ht="12.75" customHeight="1">
      <c r="F676" s="380"/>
    </row>
    <row r="677" ht="12.75" customHeight="1">
      <c r="F677" s="380"/>
    </row>
    <row r="678" ht="12.75" customHeight="1">
      <c r="F678" s="380"/>
    </row>
    <row r="679" ht="12.75" customHeight="1">
      <c r="F679" s="380"/>
    </row>
    <row r="680" ht="12.75" customHeight="1">
      <c r="F680" s="380"/>
    </row>
    <row r="681" ht="12.75" customHeight="1">
      <c r="F681" s="380"/>
    </row>
    <row r="682" ht="12.75" customHeight="1">
      <c r="F682" s="380"/>
    </row>
    <row r="683" ht="12.75" customHeight="1">
      <c r="F683" s="380"/>
    </row>
    <row r="684" ht="12.75" customHeight="1">
      <c r="F684" s="380"/>
    </row>
    <row r="685" ht="12.75" customHeight="1">
      <c r="F685" s="380"/>
    </row>
    <row r="686" ht="12.75" customHeight="1">
      <c r="F686" s="380"/>
    </row>
    <row r="687" ht="12.75" customHeight="1">
      <c r="F687" s="380"/>
    </row>
    <row r="688" ht="12.75" customHeight="1">
      <c r="F688" s="380"/>
    </row>
    <row r="689" ht="12.75" customHeight="1">
      <c r="F689" s="380"/>
    </row>
    <row r="690" ht="12.75" customHeight="1">
      <c r="F690" s="380"/>
    </row>
    <row r="691" ht="12.75" customHeight="1">
      <c r="F691" s="380"/>
    </row>
    <row r="692" ht="12.75" customHeight="1">
      <c r="F692" s="380"/>
    </row>
    <row r="693" ht="12.75" customHeight="1">
      <c r="F693" s="380"/>
    </row>
    <row r="694" ht="12.75" customHeight="1">
      <c r="F694" s="380"/>
    </row>
    <row r="695" ht="12.75" customHeight="1">
      <c r="F695" s="380"/>
    </row>
    <row r="696" ht="12.75" customHeight="1">
      <c r="F696" s="380"/>
    </row>
    <row r="697" ht="12.75" customHeight="1">
      <c r="F697" s="380"/>
    </row>
    <row r="698" ht="12.75" customHeight="1">
      <c r="F698" s="380"/>
    </row>
    <row r="699" ht="12.75" customHeight="1">
      <c r="F699" s="380"/>
    </row>
    <row r="700" ht="12.75" customHeight="1">
      <c r="F700" s="380"/>
    </row>
    <row r="701" ht="12.75" customHeight="1">
      <c r="F701" s="380"/>
    </row>
    <row r="702" ht="12.75" customHeight="1">
      <c r="F702" s="380"/>
    </row>
    <row r="703" ht="12.75" customHeight="1">
      <c r="F703" s="380"/>
    </row>
    <row r="704" ht="12.75" customHeight="1">
      <c r="F704" s="380"/>
    </row>
    <row r="705" ht="12.75" customHeight="1">
      <c r="F705" s="380"/>
    </row>
    <row r="706" ht="12.75" customHeight="1">
      <c r="F706" s="380"/>
    </row>
    <row r="707" ht="12.75" customHeight="1">
      <c r="F707" s="380"/>
    </row>
    <row r="708" ht="12.75" customHeight="1">
      <c r="F708" s="380"/>
    </row>
    <row r="709" ht="12.75" customHeight="1">
      <c r="F709" s="380"/>
    </row>
    <row r="710" ht="12.75" customHeight="1">
      <c r="F710" s="380"/>
    </row>
    <row r="711" ht="12.75" customHeight="1">
      <c r="F711" s="380"/>
    </row>
    <row r="712" ht="12.75" customHeight="1">
      <c r="F712" s="380"/>
    </row>
    <row r="713" ht="12.75" customHeight="1">
      <c r="F713" s="380"/>
    </row>
    <row r="714" ht="12.75" customHeight="1">
      <c r="F714" s="380"/>
    </row>
    <row r="715" ht="12.75" customHeight="1">
      <c r="F715" s="380"/>
    </row>
    <row r="716" ht="12.75" customHeight="1">
      <c r="F716" s="380"/>
    </row>
    <row r="717" ht="12.75" customHeight="1">
      <c r="F717" s="380"/>
    </row>
    <row r="718" ht="12.75" customHeight="1">
      <c r="F718" s="380"/>
    </row>
    <row r="719" ht="12.75" customHeight="1">
      <c r="F719" s="380"/>
    </row>
    <row r="720" ht="12.75" customHeight="1">
      <c r="F720" s="380"/>
    </row>
    <row r="721" ht="12.75" customHeight="1">
      <c r="F721" s="380"/>
    </row>
    <row r="722" ht="12.75" customHeight="1">
      <c r="F722" s="380"/>
    </row>
    <row r="723" ht="12.75" customHeight="1">
      <c r="F723" s="380"/>
    </row>
    <row r="724" ht="12.75" customHeight="1">
      <c r="F724" s="380"/>
    </row>
    <row r="725" ht="12.75" customHeight="1">
      <c r="F725" s="380"/>
    </row>
    <row r="726" ht="12.75" customHeight="1">
      <c r="F726" s="380"/>
    </row>
    <row r="727" ht="12.75" customHeight="1">
      <c r="F727" s="380"/>
    </row>
    <row r="728" ht="12.75" customHeight="1">
      <c r="F728" s="380"/>
    </row>
    <row r="729" ht="12.75" customHeight="1">
      <c r="F729" s="380"/>
    </row>
    <row r="730" ht="12.75" customHeight="1">
      <c r="F730" s="380"/>
    </row>
    <row r="731" ht="12.75" customHeight="1">
      <c r="F731" s="380"/>
    </row>
    <row r="732" ht="12.75" customHeight="1">
      <c r="F732" s="380"/>
    </row>
    <row r="733" ht="12.75" customHeight="1">
      <c r="F733" s="380"/>
    </row>
    <row r="734" ht="12.75" customHeight="1">
      <c r="F734" s="380"/>
    </row>
    <row r="735" ht="12.75" customHeight="1">
      <c r="F735" s="380"/>
    </row>
    <row r="736" ht="12.75" customHeight="1">
      <c r="F736" s="380"/>
    </row>
    <row r="737" ht="12.75" customHeight="1">
      <c r="F737" s="380"/>
    </row>
    <row r="738" ht="12.75" customHeight="1">
      <c r="F738" s="380"/>
    </row>
    <row r="739" ht="12.75" customHeight="1">
      <c r="F739" s="380"/>
    </row>
    <row r="740" ht="12.75" customHeight="1">
      <c r="F740" s="380"/>
    </row>
    <row r="741" ht="12.75" customHeight="1">
      <c r="F741" s="380"/>
    </row>
    <row r="742" ht="12.75" customHeight="1">
      <c r="F742" s="380"/>
    </row>
    <row r="743" ht="12.75" customHeight="1">
      <c r="F743" s="380"/>
    </row>
    <row r="744" ht="12.75" customHeight="1">
      <c r="F744" s="380"/>
    </row>
    <row r="745" ht="12.75" customHeight="1">
      <c r="F745" s="380"/>
    </row>
    <row r="746" ht="12.75" customHeight="1">
      <c r="F746" s="380"/>
    </row>
    <row r="747" ht="12.75" customHeight="1">
      <c r="F747" s="380"/>
    </row>
    <row r="748" ht="12.75" customHeight="1">
      <c r="F748" s="380"/>
    </row>
    <row r="749" ht="12.75" customHeight="1">
      <c r="F749" s="380"/>
    </row>
    <row r="750" ht="12.75" customHeight="1">
      <c r="F750" s="380"/>
    </row>
    <row r="751" ht="12.75" customHeight="1">
      <c r="F751" s="380"/>
    </row>
    <row r="752" ht="12.75" customHeight="1">
      <c r="F752" s="380"/>
    </row>
    <row r="753" ht="12.75" customHeight="1">
      <c r="F753" s="380"/>
    </row>
    <row r="754" ht="12.75" customHeight="1">
      <c r="F754" s="380"/>
    </row>
    <row r="755" ht="12.75" customHeight="1">
      <c r="F755" s="380"/>
    </row>
    <row r="756" ht="12.75" customHeight="1">
      <c r="F756" s="380"/>
    </row>
    <row r="757" ht="12.75" customHeight="1">
      <c r="F757" s="380"/>
    </row>
    <row r="758" ht="12.75" customHeight="1">
      <c r="F758" s="380"/>
    </row>
    <row r="759" ht="12.75" customHeight="1">
      <c r="F759" s="380"/>
    </row>
    <row r="760" ht="12.75" customHeight="1">
      <c r="F760" s="380"/>
    </row>
    <row r="761" ht="12.75" customHeight="1">
      <c r="F761" s="380"/>
    </row>
    <row r="762" ht="12.75" customHeight="1">
      <c r="F762" s="380"/>
    </row>
    <row r="763" ht="12.75" customHeight="1">
      <c r="F763" s="380"/>
    </row>
    <row r="764" ht="12.75" customHeight="1">
      <c r="F764" s="380"/>
    </row>
    <row r="765" ht="12.75" customHeight="1">
      <c r="F765" s="380"/>
    </row>
    <row r="766" ht="12.75" customHeight="1">
      <c r="F766" s="380"/>
    </row>
    <row r="767" ht="12.75" customHeight="1">
      <c r="F767" s="380"/>
    </row>
    <row r="768" ht="12.75" customHeight="1">
      <c r="F768" s="380"/>
    </row>
    <row r="769" ht="12.75" customHeight="1">
      <c r="F769" s="380"/>
    </row>
    <row r="770" ht="12.75" customHeight="1">
      <c r="F770" s="380"/>
    </row>
    <row r="771" ht="12.75" customHeight="1">
      <c r="F771" s="380"/>
    </row>
    <row r="772" ht="12.75" customHeight="1">
      <c r="F772" s="380"/>
    </row>
    <row r="773" ht="12.75" customHeight="1">
      <c r="F773" s="380"/>
    </row>
    <row r="774" ht="12.75" customHeight="1">
      <c r="F774" s="380"/>
    </row>
    <row r="775" ht="12.75" customHeight="1">
      <c r="F775" s="380"/>
    </row>
    <row r="776" ht="12.75" customHeight="1">
      <c r="F776" s="380"/>
    </row>
    <row r="777" ht="12.75" customHeight="1">
      <c r="F777" s="380"/>
    </row>
    <row r="778" ht="12.75" customHeight="1">
      <c r="F778" s="380"/>
    </row>
    <row r="779" ht="12.75" customHeight="1">
      <c r="F779" s="380"/>
    </row>
    <row r="780" ht="12.75" customHeight="1">
      <c r="F780" s="380"/>
    </row>
    <row r="781" ht="12.75" customHeight="1">
      <c r="F781" s="380"/>
    </row>
    <row r="782" ht="12.75" customHeight="1">
      <c r="F782" s="380"/>
    </row>
    <row r="783" ht="12.75" customHeight="1">
      <c r="F783" s="380"/>
    </row>
    <row r="784" ht="12.75" customHeight="1">
      <c r="F784" s="380"/>
    </row>
    <row r="785" ht="12.75" customHeight="1">
      <c r="F785" s="380"/>
    </row>
    <row r="786" ht="12.75" customHeight="1">
      <c r="F786" s="380"/>
    </row>
    <row r="787" ht="12.75" customHeight="1">
      <c r="F787" s="380"/>
    </row>
    <row r="788" ht="12.75" customHeight="1">
      <c r="F788" s="380"/>
    </row>
    <row r="789" ht="12.75" customHeight="1">
      <c r="F789" s="380"/>
    </row>
    <row r="790" ht="12.75" customHeight="1">
      <c r="F790" s="380"/>
    </row>
    <row r="791" ht="12.75" customHeight="1">
      <c r="F791" s="380"/>
    </row>
    <row r="792" ht="12.75" customHeight="1">
      <c r="F792" s="380"/>
    </row>
    <row r="793" ht="12.75" customHeight="1">
      <c r="F793" s="380"/>
    </row>
    <row r="794" ht="12.75" customHeight="1">
      <c r="F794" s="380"/>
    </row>
    <row r="795" ht="12.75" customHeight="1">
      <c r="F795" s="380"/>
    </row>
    <row r="796" ht="12.75" customHeight="1">
      <c r="F796" s="380"/>
    </row>
    <row r="797" ht="12.75" customHeight="1">
      <c r="F797" s="380"/>
    </row>
    <row r="798" ht="12.75" customHeight="1">
      <c r="F798" s="380"/>
    </row>
    <row r="799" ht="12.75" customHeight="1">
      <c r="F799" s="380"/>
    </row>
    <row r="800" ht="12.75" customHeight="1">
      <c r="F800" s="380"/>
    </row>
    <row r="801" ht="12.75" customHeight="1">
      <c r="F801" s="380"/>
    </row>
    <row r="802" ht="12.75" customHeight="1">
      <c r="F802" s="380"/>
    </row>
    <row r="803" ht="12.75" customHeight="1">
      <c r="F803" s="380"/>
    </row>
    <row r="804" ht="12.75" customHeight="1">
      <c r="F804" s="380"/>
    </row>
    <row r="805" ht="12.75" customHeight="1">
      <c r="F805" s="380"/>
    </row>
    <row r="806" ht="12.75" customHeight="1">
      <c r="F806" s="380"/>
    </row>
    <row r="807" ht="12.75" customHeight="1">
      <c r="F807" s="380"/>
    </row>
    <row r="808" ht="12.75" customHeight="1">
      <c r="F808" s="380"/>
    </row>
    <row r="809" ht="12.75" customHeight="1">
      <c r="F809" s="380"/>
    </row>
    <row r="810" ht="12.75" customHeight="1">
      <c r="F810" s="380"/>
    </row>
    <row r="811" ht="12.75" customHeight="1">
      <c r="F811" s="380"/>
    </row>
    <row r="812" ht="12.75" customHeight="1">
      <c r="F812" s="380"/>
    </row>
    <row r="813" ht="12.75" customHeight="1">
      <c r="F813" s="380"/>
    </row>
    <row r="814" ht="12.75" customHeight="1">
      <c r="F814" s="380"/>
    </row>
    <row r="815" ht="12.75" customHeight="1">
      <c r="F815" s="380"/>
    </row>
    <row r="816" ht="12.75" customHeight="1">
      <c r="F816" s="380"/>
    </row>
    <row r="817" ht="12.75" customHeight="1">
      <c r="F817" s="380"/>
    </row>
    <row r="818" ht="12.75" customHeight="1">
      <c r="F818" s="380"/>
    </row>
    <row r="819" ht="12.75" customHeight="1">
      <c r="F819" s="380"/>
    </row>
    <row r="820" ht="12.75" customHeight="1">
      <c r="F820" s="380"/>
    </row>
    <row r="821" ht="12.75" customHeight="1">
      <c r="F821" s="380"/>
    </row>
    <row r="822" ht="12.75" customHeight="1">
      <c r="F822" s="380"/>
    </row>
    <row r="823" ht="12.75" customHeight="1">
      <c r="F823" s="380"/>
    </row>
    <row r="824" ht="12.75" customHeight="1">
      <c r="F824" s="380"/>
    </row>
    <row r="825" ht="12.75" customHeight="1">
      <c r="F825" s="380"/>
    </row>
    <row r="826" ht="12.75" customHeight="1">
      <c r="F826" s="380"/>
    </row>
    <row r="827" ht="12.75" customHeight="1">
      <c r="F827" s="380"/>
    </row>
    <row r="828" ht="12.75" customHeight="1">
      <c r="F828" s="380"/>
    </row>
    <row r="829" ht="12.75" customHeight="1">
      <c r="F829" s="380"/>
    </row>
    <row r="830" ht="12.75" customHeight="1">
      <c r="F830" s="380"/>
    </row>
    <row r="831" ht="12.75" customHeight="1">
      <c r="F831" s="380"/>
    </row>
    <row r="832" ht="12.75" customHeight="1">
      <c r="F832" s="380"/>
    </row>
    <row r="833" ht="12.75" customHeight="1">
      <c r="F833" s="380"/>
    </row>
    <row r="834" ht="12.75" customHeight="1">
      <c r="F834" s="380"/>
    </row>
    <row r="835" ht="12.75" customHeight="1">
      <c r="F835" s="380"/>
    </row>
    <row r="836" ht="12.75" customHeight="1">
      <c r="F836" s="380"/>
    </row>
    <row r="837" ht="12.75" customHeight="1">
      <c r="F837" s="380"/>
    </row>
    <row r="838" ht="12.75" customHeight="1">
      <c r="F838" s="380"/>
    </row>
    <row r="839" ht="12.75" customHeight="1">
      <c r="F839" s="380"/>
    </row>
    <row r="840" ht="12.75" customHeight="1">
      <c r="F840" s="380"/>
    </row>
    <row r="841" ht="12.75" customHeight="1">
      <c r="F841" s="380"/>
    </row>
    <row r="842" ht="12.75" customHeight="1">
      <c r="F842" s="380"/>
    </row>
    <row r="843" ht="12.75" customHeight="1">
      <c r="F843" s="380"/>
    </row>
    <row r="844" ht="12.75" customHeight="1">
      <c r="F844" s="380"/>
    </row>
    <row r="845" ht="12.75" customHeight="1">
      <c r="F845" s="380"/>
    </row>
    <row r="846" ht="12.75" customHeight="1">
      <c r="F846" s="380"/>
    </row>
    <row r="847" ht="12.75" customHeight="1">
      <c r="F847" s="380"/>
    </row>
    <row r="848" ht="12.75" customHeight="1">
      <c r="F848" s="380"/>
    </row>
    <row r="849" ht="12.75" customHeight="1">
      <c r="F849" s="380"/>
    </row>
    <row r="850" ht="12.75" customHeight="1">
      <c r="F850" s="380"/>
    </row>
    <row r="851" ht="12.75" customHeight="1">
      <c r="F851" s="380"/>
    </row>
    <row r="852" ht="12.75" customHeight="1">
      <c r="F852" s="380"/>
    </row>
    <row r="853" ht="12.75" customHeight="1">
      <c r="F853" s="380"/>
    </row>
    <row r="854" ht="12.75" customHeight="1">
      <c r="F854" s="380"/>
    </row>
    <row r="855" ht="12.75" customHeight="1">
      <c r="F855" s="380"/>
    </row>
    <row r="856" ht="12.75" customHeight="1">
      <c r="F856" s="380"/>
    </row>
    <row r="857" ht="12.75" customHeight="1">
      <c r="F857" s="380"/>
    </row>
    <row r="858" ht="12.75" customHeight="1">
      <c r="F858" s="380"/>
    </row>
    <row r="859" ht="12.75" customHeight="1">
      <c r="F859" s="380"/>
    </row>
    <row r="860" ht="12.75" customHeight="1">
      <c r="F860" s="380"/>
    </row>
    <row r="861" ht="12.75" customHeight="1">
      <c r="F861" s="380"/>
    </row>
    <row r="862" ht="12.75" customHeight="1">
      <c r="F862" s="380"/>
    </row>
    <row r="863" ht="12.75" customHeight="1">
      <c r="F863" s="380"/>
    </row>
    <row r="864" ht="12.75" customHeight="1">
      <c r="F864" s="380"/>
    </row>
    <row r="865" ht="12.75" customHeight="1">
      <c r="F865" s="380"/>
    </row>
    <row r="866" ht="12.75" customHeight="1">
      <c r="F866" s="380"/>
    </row>
    <row r="867" ht="12.75" customHeight="1">
      <c r="F867" s="380"/>
    </row>
    <row r="868" ht="12.75" customHeight="1">
      <c r="F868" s="380"/>
    </row>
    <row r="869" ht="12.75" customHeight="1">
      <c r="F869" s="380"/>
    </row>
    <row r="870" ht="12.75" customHeight="1">
      <c r="F870" s="380"/>
    </row>
    <row r="871" ht="12.75" customHeight="1">
      <c r="F871" s="380"/>
    </row>
    <row r="872" ht="12.75" customHeight="1">
      <c r="F872" s="380"/>
    </row>
    <row r="873" ht="12.75" customHeight="1">
      <c r="F873" s="380"/>
    </row>
    <row r="874" ht="12.75" customHeight="1">
      <c r="F874" s="380"/>
    </row>
    <row r="875" ht="12.75" customHeight="1">
      <c r="F875" s="380"/>
    </row>
    <row r="876" ht="12.75" customHeight="1">
      <c r="F876" s="380"/>
    </row>
    <row r="877" ht="12.75" customHeight="1">
      <c r="F877" s="380"/>
    </row>
    <row r="878" ht="12.75" customHeight="1">
      <c r="F878" s="380"/>
    </row>
    <row r="879" ht="12.75" customHeight="1">
      <c r="F879" s="380"/>
    </row>
    <row r="880" ht="12.75" customHeight="1">
      <c r="F880" s="380"/>
    </row>
    <row r="881" ht="12.75" customHeight="1">
      <c r="F881" s="380"/>
    </row>
    <row r="882" ht="12.75" customHeight="1">
      <c r="F882" s="380"/>
    </row>
    <row r="883" ht="12.75" customHeight="1">
      <c r="F883" s="380"/>
    </row>
    <row r="884" ht="12.75" customHeight="1">
      <c r="F884" s="380"/>
    </row>
    <row r="885" ht="12.75" customHeight="1">
      <c r="F885" s="380"/>
    </row>
    <row r="886" ht="12.75" customHeight="1">
      <c r="F886" s="380"/>
    </row>
    <row r="887" ht="12.75" customHeight="1">
      <c r="F887" s="380"/>
    </row>
    <row r="888" ht="12.75" customHeight="1">
      <c r="F888" s="380"/>
    </row>
    <row r="889" ht="12.75" customHeight="1">
      <c r="F889" s="380"/>
    </row>
    <row r="890" ht="12.75" customHeight="1">
      <c r="F890" s="380"/>
    </row>
    <row r="891" ht="12.75" customHeight="1">
      <c r="F891" s="380"/>
    </row>
    <row r="892" ht="12.75" customHeight="1">
      <c r="F892" s="380"/>
    </row>
    <row r="893" ht="12.75" customHeight="1">
      <c r="F893" s="380"/>
    </row>
    <row r="894" ht="12.75" customHeight="1">
      <c r="F894" s="380"/>
    </row>
    <row r="895" ht="12.75" customHeight="1">
      <c r="F895" s="380"/>
    </row>
    <row r="896" ht="12.75" customHeight="1">
      <c r="F896" s="380"/>
    </row>
    <row r="897" ht="12.75" customHeight="1">
      <c r="F897" s="380"/>
    </row>
    <row r="898" ht="12.75" customHeight="1">
      <c r="F898" s="380"/>
    </row>
    <row r="899" ht="12.75" customHeight="1">
      <c r="F899" s="380"/>
    </row>
    <row r="900" ht="12.75" customHeight="1">
      <c r="F900" s="380"/>
    </row>
    <row r="901" ht="12.75" customHeight="1">
      <c r="F901" s="380"/>
    </row>
    <row r="902" ht="12.75" customHeight="1">
      <c r="F902" s="380"/>
    </row>
    <row r="903" ht="12.75" customHeight="1">
      <c r="F903" s="380"/>
    </row>
    <row r="904" ht="12.75" customHeight="1">
      <c r="F904" s="380"/>
    </row>
    <row r="905" ht="12.75" customHeight="1">
      <c r="F905" s="380"/>
    </row>
    <row r="906" ht="12.75" customHeight="1">
      <c r="F906" s="380"/>
    </row>
    <row r="907" ht="12.75" customHeight="1">
      <c r="F907" s="380"/>
    </row>
    <row r="908" ht="12.75" customHeight="1">
      <c r="F908" s="380"/>
    </row>
    <row r="909" ht="12.75" customHeight="1">
      <c r="F909" s="380"/>
    </row>
    <row r="910" ht="12.75" customHeight="1">
      <c r="F910" s="380"/>
    </row>
    <row r="911" ht="12.75" customHeight="1">
      <c r="F911" s="380"/>
    </row>
    <row r="912" ht="12.75" customHeight="1">
      <c r="F912" s="380"/>
    </row>
    <row r="913" ht="12.75" customHeight="1">
      <c r="F913" s="380"/>
    </row>
    <row r="914" ht="12.75" customHeight="1">
      <c r="F914" s="380"/>
    </row>
    <row r="915" ht="12.75" customHeight="1">
      <c r="F915" s="380"/>
    </row>
    <row r="916" ht="12.75" customHeight="1">
      <c r="F916" s="380"/>
    </row>
    <row r="917" ht="12.75" customHeight="1">
      <c r="F917" s="380"/>
    </row>
    <row r="918" ht="12.75" customHeight="1">
      <c r="F918" s="380"/>
    </row>
    <row r="919" ht="12.75" customHeight="1">
      <c r="F919" s="380"/>
    </row>
    <row r="920" ht="12.75" customHeight="1">
      <c r="F920" s="380"/>
    </row>
    <row r="921" ht="12.75" customHeight="1">
      <c r="F921" s="380"/>
    </row>
    <row r="922" ht="12.75" customHeight="1">
      <c r="F922" s="380"/>
    </row>
    <row r="923" ht="12.75" customHeight="1">
      <c r="F923" s="380"/>
    </row>
    <row r="924" ht="12.75" customHeight="1">
      <c r="F924" s="380"/>
    </row>
    <row r="925" ht="12.75" customHeight="1">
      <c r="F925" s="380"/>
    </row>
    <row r="926" ht="12.75" customHeight="1">
      <c r="F926" s="380"/>
    </row>
    <row r="927" ht="12.75" customHeight="1">
      <c r="F927" s="380"/>
    </row>
    <row r="928" ht="12.75" customHeight="1">
      <c r="F928" s="380"/>
    </row>
    <row r="929" ht="12.75" customHeight="1">
      <c r="F929" s="380"/>
    </row>
    <row r="930" ht="12.75" customHeight="1">
      <c r="F930" s="380"/>
    </row>
    <row r="931" ht="12.75" customHeight="1">
      <c r="F931" s="380"/>
    </row>
    <row r="932" ht="12.75" customHeight="1">
      <c r="F932" s="380"/>
    </row>
    <row r="933" ht="12.75" customHeight="1">
      <c r="F933" s="380"/>
    </row>
    <row r="934" ht="12.75" customHeight="1">
      <c r="F934" s="380"/>
    </row>
    <row r="935" ht="12.75" customHeight="1">
      <c r="F935" s="380"/>
    </row>
    <row r="936" ht="12.75" customHeight="1">
      <c r="F936" s="380"/>
    </row>
    <row r="937" ht="12.75" customHeight="1">
      <c r="F937" s="380"/>
    </row>
    <row r="938" ht="12.75" customHeight="1">
      <c r="F938" s="380"/>
    </row>
    <row r="939" ht="12.75" customHeight="1">
      <c r="F939" s="380"/>
    </row>
    <row r="940" ht="12.75" customHeight="1">
      <c r="F940" s="380"/>
    </row>
    <row r="941" ht="12.75" customHeight="1">
      <c r="F941" s="380"/>
    </row>
    <row r="942" ht="12.75" customHeight="1">
      <c r="F942" s="380"/>
    </row>
    <row r="943" ht="12.75" customHeight="1">
      <c r="F943" s="380"/>
    </row>
    <row r="944" ht="12.75" customHeight="1">
      <c r="F944" s="380"/>
    </row>
    <row r="945" ht="12.75" customHeight="1">
      <c r="F945" s="380"/>
    </row>
    <row r="946" ht="12.75" customHeight="1">
      <c r="F946" s="380"/>
    </row>
    <row r="947" ht="12.75" customHeight="1">
      <c r="F947" s="380"/>
    </row>
    <row r="948" ht="12.75" customHeight="1">
      <c r="F948" s="380"/>
    </row>
    <row r="949" ht="12.75" customHeight="1">
      <c r="F949" s="380"/>
    </row>
    <row r="950" ht="12.75" customHeight="1">
      <c r="F950" s="380"/>
    </row>
    <row r="951" ht="12.75" customHeight="1">
      <c r="F951" s="380"/>
    </row>
    <row r="952" ht="12.75" customHeight="1">
      <c r="F952" s="380"/>
    </row>
    <row r="953" ht="12.75" customHeight="1">
      <c r="F953" s="380"/>
    </row>
    <row r="954" ht="12.75" customHeight="1">
      <c r="F954" s="380"/>
    </row>
    <row r="955" ht="12.75" customHeight="1">
      <c r="F955" s="380"/>
    </row>
    <row r="956" ht="12.75" customHeight="1">
      <c r="F956" s="380"/>
    </row>
    <row r="957" ht="12.75" customHeight="1">
      <c r="F957" s="380"/>
    </row>
    <row r="958" ht="12.75" customHeight="1">
      <c r="F958" s="380"/>
    </row>
    <row r="959" ht="12.75" customHeight="1">
      <c r="F959" s="380"/>
    </row>
    <row r="960" ht="12.75" customHeight="1">
      <c r="F960" s="380"/>
    </row>
    <row r="961" ht="12.75" customHeight="1">
      <c r="F961" s="380"/>
    </row>
    <row r="962" ht="12.75" customHeight="1">
      <c r="F962" s="380"/>
    </row>
    <row r="963" ht="12.75" customHeight="1">
      <c r="F963" s="380"/>
    </row>
    <row r="964" ht="12.75" customHeight="1">
      <c r="F964" s="380"/>
    </row>
    <row r="965" ht="12.75" customHeight="1">
      <c r="F965" s="380"/>
    </row>
    <row r="966" ht="12.75" customHeight="1">
      <c r="F966" s="380"/>
    </row>
    <row r="967" ht="12.75" customHeight="1">
      <c r="F967" s="380"/>
    </row>
    <row r="968" ht="12.75" customHeight="1">
      <c r="F968" s="380"/>
    </row>
    <row r="969" ht="12.75" customHeight="1">
      <c r="F969" s="380"/>
    </row>
    <row r="970" ht="12.75" customHeight="1">
      <c r="F970" s="380"/>
    </row>
    <row r="971" ht="12.75" customHeight="1">
      <c r="F971" s="380"/>
    </row>
    <row r="972" ht="12.75" customHeight="1">
      <c r="F972" s="380"/>
    </row>
    <row r="973" ht="12.75" customHeight="1">
      <c r="F973" s="380"/>
    </row>
    <row r="974" ht="12.75" customHeight="1">
      <c r="F974" s="380"/>
    </row>
    <row r="975" ht="12.75" customHeight="1">
      <c r="F975" s="380"/>
    </row>
    <row r="976" ht="12.75" customHeight="1">
      <c r="F976" s="380"/>
    </row>
    <row r="977" ht="12.75" customHeight="1">
      <c r="F977" s="380"/>
    </row>
    <row r="978" ht="12.75" customHeight="1">
      <c r="F978" s="380"/>
    </row>
    <row r="979" ht="12.75" customHeight="1">
      <c r="F979" s="380"/>
    </row>
    <row r="980" ht="12.75" customHeight="1">
      <c r="F980" s="380"/>
    </row>
    <row r="981" ht="12.75" customHeight="1">
      <c r="F981" s="380"/>
    </row>
    <row r="982" ht="12.75" customHeight="1">
      <c r="F982" s="380"/>
    </row>
    <row r="983" ht="12.75" customHeight="1">
      <c r="F983" s="380"/>
    </row>
    <row r="984" ht="12.75" customHeight="1">
      <c r="F984" s="380"/>
    </row>
    <row r="985" ht="12.75" customHeight="1">
      <c r="F985" s="380"/>
    </row>
    <row r="986" ht="12.75" customHeight="1">
      <c r="F986" s="380"/>
    </row>
    <row r="987" ht="12.75" customHeight="1">
      <c r="F987" s="380"/>
    </row>
    <row r="988" ht="12.75" customHeight="1">
      <c r="F988" s="380"/>
    </row>
    <row r="989" ht="12.75" customHeight="1">
      <c r="F989" s="380"/>
    </row>
    <row r="990" ht="12.75" customHeight="1">
      <c r="F990" s="380"/>
    </row>
    <row r="991" ht="12.75" customHeight="1">
      <c r="F991" s="380"/>
    </row>
    <row r="992" ht="12.75" customHeight="1">
      <c r="F992" s="380"/>
    </row>
    <row r="993" ht="12.75" customHeight="1">
      <c r="F993" s="380"/>
    </row>
    <row r="994" ht="12.75" customHeight="1">
      <c r="F994" s="380"/>
    </row>
    <row r="995" ht="12.75" customHeight="1">
      <c r="F995" s="380"/>
    </row>
    <row r="996" ht="12.75" customHeight="1">
      <c r="F996" s="380"/>
    </row>
    <row r="997" ht="12.75" customHeight="1">
      <c r="F997" s="380"/>
    </row>
    <row r="998" ht="12.75" customHeight="1">
      <c r="F998" s="380"/>
    </row>
    <row r="999" ht="12.75" customHeight="1">
      <c r="F999" s="380"/>
    </row>
    <row r="1000" ht="12.75" customHeight="1">
      <c r="F1000" s="380"/>
    </row>
  </sheetData>
  <mergeCells count="542">
    <mergeCell ref="H27:H28"/>
    <mergeCell ref="I27:I28"/>
    <mergeCell ref="L28:M28"/>
    <mergeCell ref="A27:A28"/>
    <mergeCell ref="B27:B28"/>
    <mergeCell ref="C27:C28"/>
    <mergeCell ref="D27:D28"/>
    <mergeCell ref="E27:E28"/>
    <mergeCell ref="F27:F28"/>
    <mergeCell ref="G27:G28"/>
    <mergeCell ref="H6:H7"/>
    <mergeCell ref="I6:I7"/>
    <mergeCell ref="L11:M11"/>
    <mergeCell ref="A6:A7"/>
    <mergeCell ref="B6:B7"/>
    <mergeCell ref="C6:C7"/>
    <mergeCell ref="D6:D7"/>
    <mergeCell ref="E6:E7"/>
    <mergeCell ref="F6:F7"/>
    <mergeCell ref="G6:G7"/>
    <mergeCell ref="H13:H14"/>
    <mergeCell ref="I13:I14"/>
    <mergeCell ref="A13:A14"/>
    <mergeCell ref="B13:B14"/>
    <mergeCell ref="C13:C14"/>
    <mergeCell ref="D13:D14"/>
    <mergeCell ref="E13:E14"/>
    <mergeCell ref="F13:F14"/>
    <mergeCell ref="G13:G14"/>
    <mergeCell ref="H20:H21"/>
    <mergeCell ref="I20:I21"/>
    <mergeCell ref="L20:M20"/>
    <mergeCell ref="A20:A21"/>
    <mergeCell ref="B20:B21"/>
    <mergeCell ref="C20:C21"/>
    <mergeCell ref="D20:D21"/>
    <mergeCell ref="E20:E21"/>
    <mergeCell ref="F20:F21"/>
    <mergeCell ref="G20:G21"/>
    <mergeCell ref="H36:H37"/>
    <mergeCell ref="I36:I37"/>
    <mergeCell ref="L37:M37"/>
    <mergeCell ref="A36:A37"/>
    <mergeCell ref="B36:B37"/>
    <mergeCell ref="C36:C37"/>
    <mergeCell ref="D36:D37"/>
    <mergeCell ref="E36:E37"/>
    <mergeCell ref="F36:F37"/>
    <mergeCell ref="G36:G37"/>
    <mergeCell ref="H33:H34"/>
    <mergeCell ref="I33:I34"/>
    <mergeCell ref="A33:A34"/>
    <mergeCell ref="B33:B34"/>
    <mergeCell ref="C33:C34"/>
    <mergeCell ref="D33:D34"/>
    <mergeCell ref="E33:E34"/>
    <mergeCell ref="F33:F34"/>
    <mergeCell ref="G33:G34"/>
    <mergeCell ref="H43:H44"/>
    <mergeCell ref="I43:I44"/>
    <mergeCell ref="L46:M46"/>
    <mergeCell ref="L55:M55"/>
    <mergeCell ref="A43:A44"/>
    <mergeCell ref="B43:B44"/>
    <mergeCell ref="C43:C44"/>
    <mergeCell ref="D43:D44"/>
    <mergeCell ref="E43:E44"/>
    <mergeCell ref="F43:F44"/>
    <mergeCell ref="G43:G44"/>
    <mergeCell ref="C50:C51"/>
    <mergeCell ref="D50:D51"/>
    <mergeCell ref="E50:E51"/>
    <mergeCell ref="F50:F51"/>
    <mergeCell ref="G50:G51"/>
    <mergeCell ref="H50:H51"/>
    <mergeCell ref="I50:I51"/>
    <mergeCell ref="G57:G58"/>
    <mergeCell ref="H57:H58"/>
    <mergeCell ref="I57:I58"/>
    <mergeCell ref="B50:B51"/>
    <mergeCell ref="A57:A58"/>
    <mergeCell ref="B57:B58"/>
    <mergeCell ref="C57:C58"/>
    <mergeCell ref="D57:D58"/>
    <mergeCell ref="E57:E58"/>
    <mergeCell ref="F57:F58"/>
    <mergeCell ref="H80:H81"/>
    <mergeCell ref="I80:I81"/>
    <mergeCell ref="L83:M83"/>
    <mergeCell ref="A80:A81"/>
    <mergeCell ref="B80:B81"/>
    <mergeCell ref="C80:C81"/>
    <mergeCell ref="D80:D81"/>
    <mergeCell ref="E80:E81"/>
    <mergeCell ref="F80:F81"/>
    <mergeCell ref="G80:G81"/>
    <mergeCell ref="H94:H95"/>
    <mergeCell ref="I94:I95"/>
    <mergeCell ref="A94:A95"/>
    <mergeCell ref="B94:B95"/>
    <mergeCell ref="C94:C95"/>
    <mergeCell ref="D94:D95"/>
    <mergeCell ref="E94:E95"/>
    <mergeCell ref="F94:F95"/>
    <mergeCell ref="G94:G95"/>
    <mergeCell ref="H101:H102"/>
    <mergeCell ref="I101:I102"/>
    <mergeCell ref="L102:M102"/>
    <mergeCell ref="A101:A102"/>
    <mergeCell ref="B101:B102"/>
    <mergeCell ref="C101:C102"/>
    <mergeCell ref="D101:D102"/>
    <mergeCell ref="E101:E102"/>
    <mergeCell ref="F101:F102"/>
    <mergeCell ref="G101:G102"/>
    <mergeCell ref="H108:H109"/>
    <mergeCell ref="I108:I109"/>
    <mergeCell ref="L111:M111"/>
    <mergeCell ref="A108:A109"/>
    <mergeCell ref="B108:B109"/>
    <mergeCell ref="C108:C109"/>
    <mergeCell ref="D108:D109"/>
    <mergeCell ref="E108:E109"/>
    <mergeCell ref="F108:F109"/>
    <mergeCell ref="G108:G109"/>
    <mergeCell ref="H115:H116"/>
    <mergeCell ref="I115:I116"/>
    <mergeCell ref="A115:A116"/>
    <mergeCell ref="B115:B116"/>
    <mergeCell ref="C115:C116"/>
    <mergeCell ref="D115:D116"/>
    <mergeCell ref="E115:E116"/>
    <mergeCell ref="F115:F116"/>
    <mergeCell ref="G115:G116"/>
    <mergeCell ref="H122:H123"/>
    <mergeCell ref="I122:I123"/>
    <mergeCell ref="A122:A123"/>
    <mergeCell ref="B122:B123"/>
    <mergeCell ref="C122:C123"/>
    <mergeCell ref="D122:D123"/>
    <mergeCell ref="E122:E123"/>
    <mergeCell ref="F122:F123"/>
    <mergeCell ref="G122:G123"/>
    <mergeCell ref="H126:H127"/>
    <mergeCell ref="I126:I127"/>
    <mergeCell ref="A126:A127"/>
    <mergeCell ref="B126:B127"/>
    <mergeCell ref="C126:C127"/>
    <mergeCell ref="D126:D127"/>
    <mergeCell ref="E126:E127"/>
    <mergeCell ref="F126:F127"/>
    <mergeCell ref="G126:G127"/>
    <mergeCell ref="H131:H132"/>
    <mergeCell ref="I131:I132"/>
    <mergeCell ref="A131:A132"/>
    <mergeCell ref="B131:B132"/>
    <mergeCell ref="C131:C132"/>
    <mergeCell ref="D131:D132"/>
    <mergeCell ref="E131:E132"/>
    <mergeCell ref="F131:F132"/>
    <mergeCell ref="G131:G132"/>
    <mergeCell ref="H138:H139"/>
    <mergeCell ref="I138:I139"/>
    <mergeCell ref="A138:A139"/>
    <mergeCell ref="B138:B139"/>
    <mergeCell ref="C138:C139"/>
    <mergeCell ref="D138:D139"/>
    <mergeCell ref="E138:E139"/>
    <mergeCell ref="F138:F139"/>
    <mergeCell ref="G138:G139"/>
    <mergeCell ref="H145:H146"/>
    <mergeCell ref="I145:I146"/>
    <mergeCell ref="A145:A146"/>
    <mergeCell ref="B145:B146"/>
    <mergeCell ref="C145:C146"/>
    <mergeCell ref="D145:D146"/>
    <mergeCell ref="E145:E146"/>
    <mergeCell ref="F145:F146"/>
    <mergeCell ref="G145:G146"/>
    <mergeCell ref="H152:H153"/>
    <mergeCell ref="I152:I153"/>
    <mergeCell ref="A152:A153"/>
    <mergeCell ref="B152:B153"/>
    <mergeCell ref="C152:C153"/>
    <mergeCell ref="D152:D153"/>
    <mergeCell ref="E152:E153"/>
    <mergeCell ref="F152:F153"/>
    <mergeCell ref="G152:G153"/>
    <mergeCell ref="H159:H160"/>
    <mergeCell ref="I159:I160"/>
    <mergeCell ref="A159:A160"/>
    <mergeCell ref="B159:B160"/>
    <mergeCell ref="C159:C160"/>
    <mergeCell ref="D159:D160"/>
    <mergeCell ref="E159:E160"/>
    <mergeCell ref="F159:F160"/>
    <mergeCell ref="G159:G160"/>
    <mergeCell ref="H166:H167"/>
    <mergeCell ref="I166:I167"/>
    <mergeCell ref="A166:A167"/>
    <mergeCell ref="B166:B167"/>
    <mergeCell ref="C166:C167"/>
    <mergeCell ref="D166:D167"/>
    <mergeCell ref="E166:E167"/>
    <mergeCell ref="F166:F167"/>
    <mergeCell ref="G166:G167"/>
    <mergeCell ref="H173:H174"/>
    <mergeCell ref="I173:I174"/>
    <mergeCell ref="A173:A174"/>
    <mergeCell ref="B173:B174"/>
    <mergeCell ref="C173:C174"/>
    <mergeCell ref="D173:D174"/>
    <mergeCell ref="E173:E174"/>
    <mergeCell ref="F173:F174"/>
    <mergeCell ref="G173:G174"/>
    <mergeCell ref="H180:H181"/>
    <mergeCell ref="I180:I181"/>
    <mergeCell ref="A180:A181"/>
    <mergeCell ref="B180:B181"/>
    <mergeCell ref="C180:C181"/>
    <mergeCell ref="D180:D181"/>
    <mergeCell ref="E180:E181"/>
    <mergeCell ref="F180:F181"/>
    <mergeCell ref="G180:G181"/>
    <mergeCell ref="H187:H188"/>
    <mergeCell ref="I187:I188"/>
    <mergeCell ref="A187:A188"/>
    <mergeCell ref="B187:B188"/>
    <mergeCell ref="C187:C188"/>
    <mergeCell ref="D187:D188"/>
    <mergeCell ref="E187:E188"/>
    <mergeCell ref="F187:F188"/>
    <mergeCell ref="G187:G188"/>
    <mergeCell ref="H194:H195"/>
    <mergeCell ref="I194:I195"/>
    <mergeCell ref="A194:A195"/>
    <mergeCell ref="B194:B195"/>
    <mergeCell ref="C194:C195"/>
    <mergeCell ref="D194:D195"/>
    <mergeCell ref="E194:E195"/>
    <mergeCell ref="F194:F195"/>
    <mergeCell ref="G194:G195"/>
    <mergeCell ref="H201:H202"/>
    <mergeCell ref="I201:I202"/>
    <mergeCell ref="A201:A202"/>
    <mergeCell ref="B201:B202"/>
    <mergeCell ref="C201:C202"/>
    <mergeCell ref="D201:D202"/>
    <mergeCell ref="E201:E202"/>
    <mergeCell ref="F201:F202"/>
    <mergeCell ref="G201:G202"/>
    <mergeCell ref="H208:H209"/>
    <mergeCell ref="I208:I209"/>
    <mergeCell ref="A208:A209"/>
    <mergeCell ref="B208:B209"/>
    <mergeCell ref="C208:C209"/>
    <mergeCell ref="D208:D209"/>
    <mergeCell ref="E208:E209"/>
    <mergeCell ref="F208:F209"/>
    <mergeCell ref="G208:G209"/>
    <mergeCell ref="H215:H216"/>
    <mergeCell ref="I215:I216"/>
    <mergeCell ref="A215:A216"/>
    <mergeCell ref="B215:B216"/>
    <mergeCell ref="C215:C216"/>
    <mergeCell ref="D215:D216"/>
    <mergeCell ref="E215:E216"/>
    <mergeCell ref="F215:F216"/>
    <mergeCell ref="G215:G216"/>
    <mergeCell ref="H220:H221"/>
    <mergeCell ref="I220:I221"/>
    <mergeCell ref="A220:A221"/>
    <mergeCell ref="B220:B221"/>
    <mergeCell ref="C220:C221"/>
    <mergeCell ref="D220:D221"/>
    <mergeCell ref="E220:E221"/>
    <mergeCell ref="F220:F221"/>
    <mergeCell ref="G220:G221"/>
    <mergeCell ref="H224:H225"/>
    <mergeCell ref="I224:I225"/>
    <mergeCell ref="A224:A225"/>
    <mergeCell ref="B224:B225"/>
    <mergeCell ref="C224:C225"/>
    <mergeCell ref="D224:D225"/>
    <mergeCell ref="E224:E225"/>
    <mergeCell ref="F224:F225"/>
    <mergeCell ref="G224:G225"/>
    <mergeCell ref="H231:H232"/>
    <mergeCell ref="I231:I232"/>
    <mergeCell ref="A231:A232"/>
    <mergeCell ref="B231:B232"/>
    <mergeCell ref="C231:C232"/>
    <mergeCell ref="D231:D232"/>
    <mergeCell ref="E231:E232"/>
    <mergeCell ref="F231:F232"/>
    <mergeCell ref="G231:G232"/>
    <mergeCell ref="H238:H239"/>
    <mergeCell ref="I238:I239"/>
    <mergeCell ref="A238:A239"/>
    <mergeCell ref="B238:B239"/>
    <mergeCell ref="C238:C239"/>
    <mergeCell ref="D238:D239"/>
    <mergeCell ref="E238:E239"/>
    <mergeCell ref="F238:F239"/>
    <mergeCell ref="G238:G239"/>
    <mergeCell ref="H245:H246"/>
    <mergeCell ref="I245:I246"/>
    <mergeCell ref="A245:A246"/>
    <mergeCell ref="B245:B246"/>
    <mergeCell ref="C245:C246"/>
    <mergeCell ref="D245:D246"/>
    <mergeCell ref="E245:E246"/>
    <mergeCell ref="F245:F246"/>
    <mergeCell ref="G245:G246"/>
    <mergeCell ref="H252:H253"/>
    <mergeCell ref="I252:I253"/>
    <mergeCell ref="A252:A253"/>
    <mergeCell ref="B252:B253"/>
    <mergeCell ref="C252:C253"/>
    <mergeCell ref="D252:D253"/>
    <mergeCell ref="E252:E253"/>
    <mergeCell ref="F252:F253"/>
    <mergeCell ref="G252:G253"/>
    <mergeCell ref="H259:H260"/>
    <mergeCell ref="I259:I260"/>
    <mergeCell ref="A259:A260"/>
    <mergeCell ref="B259:B260"/>
    <mergeCell ref="C259:C260"/>
    <mergeCell ref="D259:D260"/>
    <mergeCell ref="E259:E260"/>
    <mergeCell ref="F259:F260"/>
    <mergeCell ref="G259:G260"/>
    <mergeCell ref="H266:H267"/>
    <mergeCell ref="I266:I267"/>
    <mergeCell ref="A266:A267"/>
    <mergeCell ref="B266:B267"/>
    <mergeCell ref="C266:C267"/>
    <mergeCell ref="D266:D267"/>
    <mergeCell ref="E266:E267"/>
    <mergeCell ref="F266:F267"/>
    <mergeCell ref="G266:G267"/>
    <mergeCell ref="H273:H274"/>
    <mergeCell ref="I273:I274"/>
    <mergeCell ref="A273:A274"/>
    <mergeCell ref="B273:B274"/>
    <mergeCell ref="C273:C274"/>
    <mergeCell ref="D273:D274"/>
    <mergeCell ref="E273:E274"/>
    <mergeCell ref="F273:F274"/>
    <mergeCell ref="G273:G274"/>
    <mergeCell ref="H280:H281"/>
    <mergeCell ref="I280:I281"/>
    <mergeCell ref="A280:A281"/>
    <mergeCell ref="B280:B281"/>
    <mergeCell ref="C280:C281"/>
    <mergeCell ref="D280:D281"/>
    <mergeCell ref="E280:E281"/>
    <mergeCell ref="F280:F281"/>
    <mergeCell ref="G280:G281"/>
    <mergeCell ref="H283:H284"/>
    <mergeCell ref="I283:I284"/>
    <mergeCell ref="A283:A284"/>
    <mergeCell ref="B283:B284"/>
    <mergeCell ref="C283:C284"/>
    <mergeCell ref="D283:D284"/>
    <mergeCell ref="E283:E284"/>
    <mergeCell ref="F283:F284"/>
    <mergeCell ref="G283:G284"/>
    <mergeCell ref="H289:H290"/>
    <mergeCell ref="I289:I290"/>
    <mergeCell ref="A289:A290"/>
    <mergeCell ref="B289:B290"/>
    <mergeCell ref="C289:C290"/>
    <mergeCell ref="D289:D290"/>
    <mergeCell ref="E289:E290"/>
    <mergeCell ref="F289:F290"/>
    <mergeCell ref="G289:G290"/>
    <mergeCell ref="H354:H355"/>
    <mergeCell ref="I354:I355"/>
    <mergeCell ref="A354:A355"/>
    <mergeCell ref="B354:B355"/>
    <mergeCell ref="C354:C355"/>
    <mergeCell ref="D354:D355"/>
    <mergeCell ref="E354:E355"/>
    <mergeCell ref="F354:F355"/>
    <mergeCell ref="G354:G355"/>
    <mergeCell ref="H361:H362"/>
    <mergeCell ref="I361:I362"/>
    <mergeCell ref="A361:A362"/>
    <mergeCell ref="B361:B362"/>
    <mergeCell ref="C361:C362"/>
    <mergeCell ref="D361:D362"/>
    <mergeCell ref="E361:E362"/>
    <mergeCell ref="F361:F362"/>
    <mergeCell ref="G361:G362"/>
    <mergeCell ref="H368:H369"/>
    <mergeCell ref="I368:I369"/>
    <mergeCell ref="A368:A369"/>
    <mergeCell ref="B368:B369"/>
    <mergeCell ref="C368:C369"/>
    <mergeCell ref="D368:D369"/>
    <mergeCell ref="E368:E369"/>
    <mergeCell ref="F368:F369"/>
    <mergeCell ref="G368:G369"/>
    <mergeCell ref="H375:H376"/>
    <mergeCell ref="I375:I376"/>
    <mergeCell ref="A375:A376"/>
    <mergeCell ref="B375:B376"/>
    <mergeCell ref="C375:C376"/>
    <mergeCell ref="D375:D376"/>
    <mergeCell ref="E375:E376"/>
    <mergeCell ref="F375:F376"/>
    <mergeCell ref="G375:G376"/>
    <mergeCell ref="H316:H317"/>
    <mergeCell ref="I316:I317"/>
    <mergeCell ref="A316:A317"/>
    <mergeCell ref="B316:B317"/>
    <mergeCell ref="C316:C317"/>
    <mergeCell ref="D316:D317"/>
    <mergeCell ref="E316:E317"/>
    <mergeCell ref="F316:F317"/>
    <mergeCell ref="G316:G317"/>
    <mergeCell ref="H326:H327"/>
    <mergeCell ref="I326:I327"/>
    <mergeCell ref="A326:A327"/>
    <mergeCell ref="B326:B327"/>
    <mergeCell ref="C326:C327"/>
    <mergeCell ref="D326:D327"/>
    <mergeCell ref="E326:E327"/>
    <mergeCell ref="F326:F327"/>
    <mergeCell ref="G326:G327"/>
    <mergeCell ref="H333:H334"/>
    <mergeCell ref="I333:I334"/>
    <mergeCell ref="A333:A334"/>
    <mergeCell ref="B333:B334"/>
    <mergeCell ref="C333:C334"/>
    <mergeCell ref="D333:D334"/>
    <mergeCell ref="E333:E334"/>
    <mergeCell ref="F333:F334"/>
    <mergeCell ref="G333:G334"/>
    <mergeCell ref="H379:H380"/>
    <mergeCell ref="I379:I380"/>
    <mergeCell ref="A379:A380"/>
    <mergeCell ref="B379:B380"/>
    <mergeCell ref="C379:C380"/>
    <mergeCell ref="D379:D380"/>
    <mergeCell ref="E379:E380"/>
    <mergeCell ref="F379:F380"/>
    <mergeCell ref="G379:G380"/>
    <mergeCell ref="H87:H88"/>
    <mergeCell ref="I87:I88"/>
    <mergeCell ref="L93:M93"/>
    <mergeCell ref="A87:A88"/>
    <mergeCell ref="B87:B88"/>
    <mergeCell ref="C87:C88"/>
    <mergeCell ref="D87:D88"/>
    <mergeCell ref="E87:E88"/>
    <mergeCell ref="F87:F88"/>
    <mergeCell ref="G87:G88"/>
    <mergeCell ref="H296:H297"/>
    <mergeCell ref="I296:I297"/>
    <mergeCell ref="A296:A297"/>
    <mergeCell ref="B296:B297"/>
    <mergeCell ref="C296:C297"/>
    <mergeCell ref="D296:D297"/>
    <mergeCell ref="E296:E297"/>
    <mergeCell ref="F296:F297"/>
    <mergeCell ref="G296:G297"/>
    <mergeCell ref="H303:H304"/>
    <mergeCell ref="I303:I304"/>
    <mergeCell ref="A303:A304"/>
    <mergeCell ref="B303:B304"/>
    <mergeCell ref="C303:C304"/>
    <mergeCell ref="D303:D304"/>
    <mergeCell ref="E303:E304"/>
    <mergeCell ref="F303:F304"/>
    <mergeCell ref="G303:G304"/>
    <mergeCell ref="H310:H311"/>
    <mergeCell ref="I310:I311"/>
    <mergeCell ref="A310:A311"/>
    <mergeCell ref="B310:B311"/>
    <mergeCell ref="C310:C311"/>
    <mergeCell ref="D310:D311"/>
    <mergeCell ref="E310:E311"/>
    <mergeCell ref="F310:F311"/>
    <mergeCell ref="G310:G311"/>
    <mergeCell ref="H63:H64"/>
    <mergeCell ref="I63:I64"/>
    <mergeCell ref="L64:M64"/>
    <mergeCell ref="A63:A64"/>
    <mergeCell ref="B63:B64"/>
    <mergeCell ref="C63:C64"/>
    <mergeCell ref="D63:D64"/>
    <mergeCell ref="E63:E64"/>
    <mergeCell ref="F63:F64"/>
    <mergeCell ref="G63:G64"/>
    <mergeCell ref="H66:H67"/>
    <mergeCell ref="I66:I67"/>
    <mergeCell ref="A66:A67"/>
    <mergeCell ref="B66:B67"/>
    <mergeCell ref="C66:C67"/>
    <mergeCell ref="D66:D67"/>
    <mergeCell ref="E66:E67"/>
    <mergeCell ref="F66:F67"/>
    <mergeCell ref="G66:G67"/>
    <mergeCell ref="H73:H74"/>
    <mergeCell ref="I73:I74"/>
    <mergeCell ref="L74:M74"/>
    <mergeCell ref="A73:A74"/>
    <mergeCell ref="B73:B74"/>
    <mergeCell ref="C73:C74"/>
    <mergeCell ref="D73:D74"/>
    <mergeCell ref="E73:E74"/>
    <mergeCell ref="F73:F74"/>
    <mergeCell ref="G73:G74"/>
    <mergeCell ref="H319:H320"/>
    <mergeCell ref="I319:I320"/>
    <mergeCell ref="A319:A320"/>
    <mergeCell ref="B319:B320"/>
    <mergeCell ref="C319:C320"/>
    <mergeCell ref="D319:D320"/>
    <mergeCell ref="E319:E320"/>
    <mergeCell ref="F319:F320"/>
    <mergeCell ref="G319:G320"/>
    <mergeCell ref="H340:H341"/>
    <mergeCell ref="I340:I341"/>
    <mergeCell ref="A340:A341"/>
    <mergeCell ref="B340:B341"/>
    <mergeCell ref="C340:C341"/>
    <mergeCell ref="D340:D341"/>
    <mergeCell ref="E340:E341"/>
    <mergeCell ref="F340:F341"/>
    <mergeCell ref="G340:G341"/>
    <mergeCell ref="H347:H348"/>
    <mergeCell ref="I347:I348"/>
    <mergeCell ref="A347:A348"/>
    <mergeCell ref="B347:B348"/>
    <mergeCell ref="C347:C348"/>
    <mergeCell ref="D347:D348"/>
    <mergeCell ref="E347:E348"/>
    <mergeCell ref="F347:F348"/>
    <mergeCell ref="G347:G348"/>
  </mergeCells>
  <printOptions/>
  <pageMargins bottom="1.05277777777778" footer="0.0" header="0.0" left="0.7875" right="0.7875" top="1.05277777777778"/>
  <pageSetup paperSize="9" orientation="portrait"/>
  <headerFooter>
    <oddHeader>&amp;C&amp;A</oddHeader>
    <oddFooter>&amp;CPage &amp;P</oddFooter>
  </headerFooter>
  <drawing r:id="rId1"/>
</worksheet>
</file>

<file path=xl/worksheets/sheet1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E6B9B8"/>
    <pageSetUpPr/>
  </sheetPr>
  <sheetViews>
    <sheetView workbookViewId="0"/>
  </sheetViews>
  <sheetFormatPr customHeight="1" defaultColWidth="12.63" defaultRowHeight="15.0"/>
  <cols>
    <col customWidth="1" min="1" max="1" width="14.0"/>
    <col customWidth="1" min="2" max="10" width="10.63"/>
    <col customWidth="1" min="11" max="11" width="13.88"/>
    <col customWidth="1" min="12" max="13" width="10.63"/>
    <col customWidth="1" min="14" max="14" width="15.88"/>
    <col customWidth="1" min="15" max="25" width="10.63"/>
  </cols>
  <sheetData>
    <row r="1" ht="12.75" customHeight="1">
      <c r="A1" s="55" t="s">
        <v>61</v>
      </c>
      <c r="B1" s="55" t="s">
        <v>62</v>
      </c>
      <c r="C1" s="55" t="s">
        <v>63</v>
      </c>
      <c r="D1" s="55" t="s">
        <v>45</v>
      </c>
      <c r="E1" s="55" t="s">
        <v>46</v>
      </c>
      <c r="F1" s="55" t="s">
        <v>64</v>
      </c>
      <c r="G1" s="56" t="s">
        <v>65</v>
      </c>
      <c r="H1" s="55" t="s">
        <v>66</v>
      </c>
      <c r="I1" s="57" t="s">
        <v>67</v>
      </c>
    </row>
    <row r="2" ht="12.75" customHeight="1">
      <c r="A2" s="129">
        <v>43831.0</v>
      </c>
      <c r="B2" s="138"/>
      <c r="C2" s="138"/>
      <c r="D2" s="138"/>
      <c r="E2" s="138"/>
      <c r="F2" s="85">
        <f t="shared" ref="F2:F4" si="1">SUM(B2:E2)</f>
        <v>0</v>
      </c>
      <c r="G2" s="138"/>
      <c r="H2" s="138"/>
      <c r="I2" s="146"/>
    </row>
    <row r="3" ht="12.75" customHeight="1">
      <c r="A3" s="129">
        <f t="shared" ref="A3:A4" si="2">A2+1</f>
        <v>43832</v>
      </c>
      <c r="B3" s="59">
        <v>320.0</v>
      </c>
      <c r="C3" s="59">
        <v>233.33</v>
      </c>
      <c r="D3" s="59">
        <v>780.0</v>
      </c>
      <c r="E3" s="59">
        <v>50.0</v>
      </c>
      <c r="F3" s="60">
        <f t="shared" si="1"/>
        <v>1383.33</v>
      </c>
      <c r="G3" s="59">
        <v>25.0</v>
      </c>
      <c r="H3" s="59">
        <v>5.0</v>
      </c>
      <c r="I3" s="61">
        <v>50.0</v>
      </c>
    </row>
    <row r="4" ht="12.75" customHeight="1">
      <c r="A4" s="129">
        <f t="shared" si="2"/>
        <v>43833</v>
      </c>
      <c r="B4" s="59">
        <v>390.0</v>
      </c>
      <c r="C4" s="59">
        <v>272.23</v>
      </c>
      <c r="D4" s="59">
        <v>890.0</v>
      </c>
      <c r="E4" s="59">
        <v>190.0</v>
      </c>
      <c r="F4" s="60">
        <f t="shared" si="1"/>
        <v>1742.23</v>
      </c>
      <c r="G4" s="59">
        <v>31.0</v>
      </c>
      <c r="H4" s="59">
        <v>6.0</v>
      </c>
      <c r="I4" s="61">
        <v>190.0</v>
      </c>
      <c r="K4" s="63" t="s">
        <v>187</v>
      </c>
      <c r="L4" s="66"/>
      <c r="M4" s="66"/>
      <c r="N4" s="66"/>
    </row>
    <row r="5" ht="12.75" customHeight="1">
      <c r="A5" s="381" t="s">
        <v>87</v>
      </c>
      <c r="B5" s="68">
        <f t="shared" ref="B5:I5" si="3">SUM(B2:B4)</f>
        <v>710</v>
      </c>
      <c r="C5" s="68">
        <f t="shared" si="3"/>
        <v>505.56</v>
      </c>
      <c r="D5" s="68">
        <f t="shared" si="3"/>
        <v>1670</v>
      </c>
      <c r="E5" s="68">
        <f t="shared" si="3"/>
        <v>240</v>
      </c>
      <c r="F5" s="69">
        <f t="shared" si="3"/>
        <v>3125.56</v>
      </c>
      <c r="G5" s="70">
        <f t="shared" si="3"/>
        <v>56</v>
      </c>
      <c r="H5" s="70">
        <f t="shared" si="3"/>
        <v>11</v>
      </c>
      <c r="I5" s="71">
        <f t="shared" si="3"/>
        <v>240</v>
      </c>
      <c r="K5" s="64"/>
      <c r="L5" s="66"/>
      <c r="M5" s="66"/>
      <c r="N5" s="66"/>
    </row>
    <row r="6" ht="12.75" customHeight="1">
      <c r="A6" s="137"/>
      <c r="B6" s="75"/>
      <c r="C6" s="75"/>
      <c r="D6" s="75"/>
      <c r="E6" s="75"/>
      <c r="F6" s="76"/>
      <c r="G6" s="76"/>
      <c r="H6" s="76"/>
      <c r="I6" s="77"/>
      <c r="K6" s="64"/>
      <c r="L6" s="65">
        <f>L7+M7</f>
        <v>118</v>
      </c>
      <c r="N6" s="66"/>
    </row>
    <row r="7" ht="12.75" customHeight="1">
      <c r="A7" s="382">
        <v>43836.0</v>
      </c>
      <c r="B7" s="59">
        <v>370.0</v>
      </c>
      <c r="C7" s="59">
        <v>374.71</v>
      </c>
      <c r="D7" s="59">
        <v>1280.0</v>
      </c>
      <c r="E7" s="59">
        <v>140.0</v>
      </c>
      <c r="F7" s="60">
        <f t="shared" ref="F7:F11" si="5">SUM(B7:E7)</f>
        <v>2164.71</v>
      </c>
      <c r="G7" s="59">
        <v>34.0</v>
      </c>
      <c r="H7" s="59">
        <v>7.0</v>
      </c>
      <c r="I7" s="61">
        <v>130.0</v>
      </c>
      <c r="K7" s="64"/>
      <c r="L7" s="72">
        <f t="shared" ref="L7:N7" si="4">SUM(L9:L13)</f>
        <v>103</v>
      </c>
      <c r="M7" s="72">
        <f t="shared" si="4"/>
        <v>15</v>
      </c>
      <c r="N7" s="336">
        <f t="shared" si="4"/>
        <v>10347.3</v>
      </c>
    </row>
    <row r="8" ht="12.75" customHeight="1">
      <c r="A8" s="129">
        <f t="shared" ref="A8:A11" si="6">A7+1</f>
        <v>43837</v>
      </c>
      <c r="B8" s="59">
        <v>270.0</v>
      </c>
      <c r="C8" s="59">
        <v>81.32</v>
      </c>
      <c r="D8" s="59">
        <v>910.0</v>
      </c>
      <c r="E8" s="59">
        <v>100.0</v>
      </c>
      <c r="F8" s="60">
        <f t="shared" si="5"/>
        <v>1361.32</v>
      </c>
      <c r="G8" s="59">
        <v>23.0</v>
      </c>
      <c r="H8" s="59">
        <v>2.0</v>
      </c>
      <c r="I8" s="61">
        <v>100.0</v>
      </c>
      <c r="K8" s="333" t="s">
        <v>69</v>
      </c>
      <c r="L8" s="383">
        <v>90.0</v>
      </c>
      <c r="M8" s="383">
        <v>71.82</v>
      </c>
      <c r="N8" s="66"/>
    </row>
    <row r="9" ht="12.75" customHeight="1">
      <c r="A9" s="129">
        <f t="shared" si="6"/>
        <v>43838</v>
      </c>
      <c r="B9" s="59">
        <v>70.0</v>
      </c>
      <c r="C9" s="59">
        <v>158.76</v>
      </c>
      <c r="D9" s="59">
        <v>710.0</v>
      </c>
      <c r="E9" s="59">
        <v>70.0</v>
      </c>
      <c r="F9" s="60">
        <f t="shared" si="5"/>
        <v>1008.76</v>
      </c>
      <c r="G9" s="59">
        <v>19.0</v>
      </c>
      <c r="H9" s="59">
        <v>4.0</v>
      </c>
      <c r="I9" s="61">
        <v>70.0</v>
      </c>
      <c r="K9" s="81" t="s">
        <v>70</v>
      </c>
      <c r="L9" s="81">
        <v>9.0</v>
      </c>
      <c r="M9" s="81">
        <v>2.0</v>
      </c>
      <c r="N9" s="82">
        <f t="shared" ref="N9:N13" si="7">L9*$L$8+M9*$M$8</f>
        <v>953.64</v>
      </c>
    </row>
    <row r="10" ht="12.75" customHeight="1">
      <c r="A10" s="129">
        <f t="shared" si="6"/>
        <v>43839</v>
      </c>
      <c r="B10" s="59">
        <v>510.0</v>
      </c>
      <c r="C10" s="59">
        <v>109.59</v>
      </c>
      <c r="D10" s="59">
        <v>1330.0</v>
      </c>
      <c r="E10" s="59">
        <v>260.0</v>
      </c>
      <c r="F10" s="60">
        <f t="shared" si="5"/>
        <v>2209.59</v>
      </c>
      <c r="G10" s="59">
        <v>33.0</v>
      </c>
      <c r="H10" s="59">
        <v>2.0</v>
      </c>
      <c r="I10" s="61">
        <v>240.0</v>
      </c>
      <c r="K10" s="81" t="s">
        <v>71</v>
      </c>
      <c r="L10" s="81">
        <v>40.0</v>
      </c>
      <c r="M10" s="81">
        <v>3.0</v>
      </c>
      <c r="N10" s="82">
        <f t="shared" si="7"/>
        <v>3815.46</v>
      </c>
    </row>
    <row r="11" ht="12.75" customHeight="1">
      <c r="A11" s="129">
        <f t="shared" si="6"/>
        <v>43840</v>
      </c>
      <c r="B11" s="59">
        <v>230.0</v>
      </c>
      <c r="C11" s="59">
        <v>121.98</v>
      </c>
      <c r="D11" s="59">
        <v>1180.0</v>
      </c>
      <c r="E11" s="59">
        <v>140.0</v>
      </c>
      <c r="F11" s="60">
        <f t="shared" si="5"/>
        <v>1671.98</v>
      </c>
      <c r="G11" s="59">
        <v>26.0</v>
      </c>
      <c r="H11" s="59">
        <v>3.0</v>
      </c>
      <c r="I11" s="61">
        <v>140.0</v>
      </c>
      <c r="K11" s="81" t="s">
        <v>72</v>
      </c>
      <c r="L11" s="81">
        <v>8.0</v>
      </c>
      <c r="M11" s="81"/>
      <c r="N11" s="82">
        <f t="shared" si="7"/>
        <v>720</v>
      </c>
    </row>
    <row r="12" ht="12.75" customHeight="1">
      <c r="A12" s="381"/>
      <c r="B12" s="68">
        <f t="shared" ref="B12:I12" si="8">SUM(B7:B11)</f>
        <v>1450</v>
      </c>
      <c r="C12" s="68">
        <f t="shared" si="8"/>
        <v>846.36</v>
      </c>
      <c r="D12" s="68">
        <f t="shared" si="8"/>
        <v>5410</v>
      </c>
      <c r="E12" s="68">
        <f t="shared" si="8"/>
        <v>710</v>
      </c>
      <c r="F12" s="69">
        <f t="shared" si="8"/>
        <v>8416.36</v>
      </c>
      <c r="G12" s="70">
        <f t="shared" si="8"/>
        <v>135</v>
      </c>
      <c r="H12" s="70">
        <f t="shared" si="8"/>
        <v>18</v>
      </c>
      <c r="I12" s="71">
        <f t="shared" si="8"/>
        <v>680</v>
      </c>
      <c r="K12" s="81" t="s">
        <v>73</v>
      </c>
      <c r="L12" s="81">
        <v>23.0</v>
      </c>
      <c r="M12" s="81">
        <v>6.0</v>
      </c>
      <c r="N12" s="82">
        <f t="shared" si="7"/>
        <v>2500.92</v>
      </c>
    </row>
    <row r="13" ht="12.75" customHeight="1">
      <c r="A13" s="137"/>
      <c r="B13" s="75"/>
      <c r="C13" s="75"/>
      <c r="D13" s="75"/>
      <c r="E13" s="75"/>
      <c r="F13" s="76"/>
      <c r="G13" s="76"/>
      <c r="H13" s="76"/>
      <c r="I13" s="77"/>
      <c r="K13" s="81" t="s">
        <v>74</v>
      </c>
      <c r="L13" s="81">
        <v>23.0</v>
      </c>
      <c r="M13" s="81">
        <v>4.0</v>
      </c>
      <c r="N13" s="82">
        <f t="shared" si="7"/>
        <v>2357.28</v>
      </c>
    </row>
    <row r="14" ht="12.75" customHeight="1">
      <c r="A14" s="129">
        <f>A11+3</f>
        <v>43843</v>
      </c>
      <c r="B14" s="59">
        <v>200.0</v>
      </c>
      <c r="C14" s="59">
        <v>286.96</v>
      </c>
      <c r="D14" s="59">
        <v>320.0</v>
      </c>
      <c r="E14" s="59">
        <v>170.0</v>
      </c>
      <c r="F14" s="60">
        <f t="shared" ref="F14:F18" si="9">SUM(B14:E14)</f>
        <v>976.96</v>
      </c>
      <c r="G14" s="59">
        <v>22.0</v>
      </c>
      <c r="H14" s="59">
        <v>7.0</v>
      </c>
      <c r="I14" s="61">
        <v>160.0</v>
      </c>
    </row>
    <row r="15" ht="12.75" customHeight="1">
      <c r="A15" s="129">
        <f t="shared" ref="A15:A18" si="10">A14+1</f>
        <v>43844</v>
      </c>
      <c r="B15" s="81">
        <v>180.0</v>
      </c>
      <c r="C15" s="81">
        <v>81.32</v>
      </c>
      <c r="D15" s="81">
        <v>950.0</v>
      </c>
      <c r="E15" s="81">
        <v>140.0</v>
      </c>
      <c r="F15" s="60">
        <f t="shared" si="9"/>
        <v>1351.32</v>
      </c>
      <c r="G15" s="81">
        <v>21.0</v>
      </c>
      <c r="H15" s="81">
        <v>2.0</v>
      </c>
      <c r="I15" s="83">
        <v>140.0</v>
      </c>
      <c r="K15" s="64"/>
      <c r="L15" s="65">
        <f>L16+M16</f>
        <v>101</v>
      </c>
      <c r="N15" s="66"/>
    </row>
    <row r="16" ht="12.75" customHeight="1">
      <c r="A16" s="129">
        <f t="shared" si="10"/>
        <v>43845</v>
      </c>
      <c r="B16" s="81">
        <v>220.0</v>
      </c>
      <c r="C16" s="81">
        <v>275.82</v>
      </c>
      <c r="D16" s="81">
        <v>580.0</v>
      </c>
      <c r="E16" s="81">
        <v>0.0</v>
      </c>
      <c r="F16" s="60">
        <f t="shared" si="9"/>
        <v>1075.82</v>
      </c>
      <c r="G16" s="81">
        <v>21.0</v>
      </c>
      <c r="H16" s="81">
        <v>7.0</v>
      </c>
      <c r="I16" s="83"/>
      <c r="K16" s="64"/>
      <c r="L16" s="72">
        <f t="shared" ref="L16:N16" si="11">SUM(L18:L23)</f>
        <v>89</v>
      </c>
      <c r="M16" s="72">
        <f t="shared" si="11"/>
        <v>12</v>
      </c>
      <c r="N16" s="336">
        <f t="shared" si="11"/>
        <v>8871.84</v>
      </c>
    </row>
    <row r="17" ht="12.75" customHeight="1">
      <c r="A17" s="129">
        <f t="shared" si="10"/>
        <v>43846</v>
      </c>
      <c r="B17" s="84"/>
      <c r="C17" s="84"/>
      <c r="D17" s="84"/>
      <c r="E17" s="84"/>
      <c r="F17" s="85">
        <f t="shared" si="9"/>
        <v>0</v>
      </c>
      <c r="G17" s="84"/>
      <c r="H17" s="84"/>
      <c r="I17" s="86"/>
      <c r="K17" s="95" t="s">
        <v>75</v>
      </c>
      <c r="L17" s="384">
        <v>90.0</v>
      </c>
      <c r="M17" s="384">
        <v>70.69</v>
      </c>
      <c r="N17" s="66"/>
    </row>
    <row r="18" ht="12.75" customHeight="1">
      <c r="A18" s="129">
        <f t="shared" si="10"/>
        <v>43847</v>
      </c>
      <c r="B18" s="84"/>
      <c r="C18" s="84"/>
      <c r="D18" s="84"/>
      <c r="E18" s="84"/>
      <c r="F18" s="85">
        <f t="shared" si="9"/>
        <v>0</v>
      </c>
      <c r="G18" s="84"/>
      <c r="H18" s="84"/>
      <c r="I18" s="86"/>
      <c r="K18" s="81" t="s">
        <v>70</v>
      </c>
      <c r="L18" s="81">
        <v>32.0</v>
      </c>
      <c r="M18" s="81">
        <v>1.0</v>
      </c>
      <c r="N18" s="82">
        <f t="shared" ref="N18:N21" si="13">L18*$L$8+M18*$M$8</f>
        <v>2951.82</v>
      </c>
    </row>
    <row r="19" ht="12.75" customHeight="1">
      <c r="A19" s="381"/>
      <c r="B19" s="68">
        <f t="shared" ref="B19:I19" si="12">SUM(B14:B18)</f>
        <v>600</v>
      </c>
      <c r="C19" s="68">
        <f t="shared" si="12"/>
        <v>644.1</v>
      </c>
      <c r="D19" s="68">
        <f t="shared" si="12"/>
        <v>1850</v>
      </c>
      <c r="E19" s="68">
        <f t="shared" si="12"/>
        <v>310</v>
      </c>
      <c r="F19" s="68">
        <f t="shared" si="12"/>
        <v>3404.1</v>
      </c>
      <c r="G19" s="70">
        <f t="shared" si="12"/>
        <v>64</v>
      </c>
      <c r="H19" s="70">
        <f t="shared" si="12"/>
        <v>16</v>
      </c>
      <c r="I19" s="71">
        <f t="shared" si="12"/>
        <v>300</v>
      </c>
      <c r="K19" s="81" t="s">
        <v>71</v>
      </c>
      <c r="L19" s="81">
        <v>15.0</v>
      </c>
      <c r="M19" s="81">
        <v>7.0</v>
      </c>
      <c r="N19" s="82">
        <f t="shared" si="13"/>
        <v>1852.74</v>
      </c>
    </row>
    <row r="20" ht="12.75" customHeight="1">
      <c r="A20" s="137"/>
      <c r="B20" s="92"/>
      <c r="C20" s="92"/>
      <c r="D20" s="92"/>
      <c r="E20" s="92"/>
      <c r="F20" s="75"/>
      <c r="G20" s="93"/>
      <c r="H20" s="93"/>
      <c r="I20" s="77"/>
      <c r="K20" s="81" t="s">
        <v>72</v>
      </c>
      <c r="L20" s="81">
        <v>24.0</v>
      </c>
      <c r="M20" s="81">
        <v>1.0</v>
      </c>
      <c r="N20" s="82">
        <f t="shared" si="13"/>
        <v>2231.82</v>
      </c>
    </row>
    <row r="21" ht="12.75" customHeight="1">
      <c r="A21" s="129">
        <f>A18+3</f>
        <v>43850</v>
      </c>
      <c r="B21" s="81">
        <v>380.0</v>
      </c>
      <c r="C21" s="81">
        <v>284.2</v>
      </c>
      <c r="D21" s="81">
        <v>1100.0</v>
      </c>
      <c r="E21" s="81">
        <v>200.0</v>
      </c>
      <c r="F21" s="60">
        <f>SUM(B21:E21)</f>
        <v>1964.2</v>
      </c>
      <c r="G21" s="81">
        <v>37.0</v>
      </c>
      <c r="H21" s="81">
        <v>8.0</v>
      </c>
      <c r="I21" s="81">
        <v>200.0</v>
      </c>
      <c r="K21" s="81" t="s">
        <v>73</v>
      </c>
      <c r="L21" s="81">
        <v>18.0</v>
      </c>
      <c r="M21" s="81">
        <v>3.0</v>
      </c>
      <c r="N21" s="82">
        <f t="shared" si="13"/>
        <v>1835.46</v>
      </c>
    </row>
    <row r="22" ht="12.75" customHeight="1">
      <c r="A22" s="129"/>
      <c r="B22" s="59"/>
      <c r="C22" s="59"/>
      <c r="D22" s="59"/>
      <c r="E22" s="59"/>
      <c r="F22" s="60"/>
      <c r="G22" s="59"/>
      <c r="H22" s="59"/>
      <c r="I22" s="153"/>
      <c r="K22" s="66"/>
      <c r="L22" s="66"/>
      <c r="M22" s="66"/>
      <c r="N22" s="385"/>
    </row>
    <row r="23" ht="12.75" customHeight="1">
      <c r="A23" s="129">
        <f>A21+1</f>
        <v>43851</v>
      </c>
      <c r="B23" s="59">
        <v>200.0</v>
      </c>
      <c r="C23" s="59">
        <v>263.36</v>
      </c>
      <c r="D23" s="59">
        <v>460.0</v>
      </c>
      <c r="E23" s="59">
        <v>100.0</v>
      </c>
      <c r="F23" s="60">
        <f t="shared" ref="F23:F26" si="14">SUM(B23:E23)</f>
        <v>1023.36</v>
      </c>
      <c r="G23" s="59">
        <v>20.0</v>
      </c>
      <c r="H23" s="59">
        <v>5.0</v>
      </c>
      <c r="I23" s="61">
        <v>100.0</v>
      </c>
    </row>
    <row r="24" ht="12.75" customHeight="1">
      <c r="A24" s="129">
        <f t="shared" ref="A24:A26" si="15">A23+1</f>
        <v>43852</v>
      </c>
      <c r="B24" s="81">
        <v>390.0</v>
      </c>
      <c r="C24" s="81">
        <v>194.5</v>
      </c>
      <c r="D24" s="81">
        <v>490.0</v>
      </c>
      <c r="E24" s="81">
        <v>100.0</v>
      </c>
      <c r="F24" s="60">
        <f t="shared" si="14"/>
        <v>1174.5</v>
      </c>
      <c r="G24" s="81">
        <v>23.0</v>
      </c>
      <c r="H24" s="81">
        <v>5.0</v>
      </c>
      <c r="I24" s="83">
        <v>100.0</v>
      </c>
      <c r="K24" s="64"/>
      <c r="L24" s="65">
        <f>L25+M25</f>
        <v>51</v>
      </c>
      <c r="N24" s="66"/>
    </row>
    <row r="25" ht="12.75" customHeight="1">
      <c r="A25" s="129">
        <f t="shared" si="15"/>
        <v>43853</v>
      </c>
      <c r="B25" s="81">
        <v>190.0</v>
      </c>
      <c r="C25" s="81">
        <v>314.65</v>
      </c>
      <c r="D25" s="81">
        <v>1050.0</v>
      </c>
      <c r="E25" s="81">
        <v>150.0</v>
      </c>
      <c r="F25" s="60">
        <f t="shared" si="14"/>
        <v>1704.65</v>
      </c>
      <c r="G25" s="81">
        <v>28.0</v>
      </c>
      <c r="H25" s="81">
        <v>7.0</v>
      </c>
      <c r="I25" s="83">
        <v>150.0</v>
      </c>
      <c r="K25" s="66"/>
      <c r="L25" s="72">
        <f t="shared" ref="L25:N25" si="16">SUM(L27:L31)</f>
        <v>43</v>
      </c>
      <c r="M25" s="72">
        <f t="shared" si="16"/>
        <v>8</v>
      </c>
      <c r="N25" s="336">
        <f t="shared" si="16"/>
        <v>4444.56</v>
      </c>
    </row>
    <row r="26" ht="12.75" customHeight="1">
      <c r="A26" s="129">
        <f t="shared" si="15"/>
        <v>43854</v>
      </c>
      <c r="B26" s="81">
        <v>240.0</v>
      </c>
      <c r="C26" s="81">
        <v>294.79</v>
      </c>
      <c r="D26" s="81">
        <v>740.0</v>
      </c>
      <c r="E26" s="81">
        <v>50.0</v>
      </c>
      <c r="F26" s="60">
        <f t="shared" si="14"/>
        <v>1324.79</v>
      </c>
      <c r="G26" s="81">
        <v>23.0</v>
      </c>
      <c r="H26" s="81">
        <v>5.0</v>
      </c>
      <c r="I26" s="83">
        <v>50.0</v>
      </c>
      <c r="K26" s="95" t="s">
        <v>76</v>
      </c>
      <c r="L26" s="96">
        <v>90.0</v>
      </c>
      <c r="M26" s="96">
        <v>70.69</v>
      </c>
      <c r="N26" s="66"/>
    </row>
    <row r="27" ht="12.75" customHeight="1">
      <c r="A27" s="381"/>
      <c r="B27" s="68">
        <f t="shared" ref="B27:I27" si="17">SUM(B21:B26)</f>
        <v>1400</v>
      </c>
      <c r="C27" s="68">
        <f t="shared" si="17"/>
        <v>1351.5</v>
      </c>
      <c r="D27" s="68">
        <f t="shared" si="17"/>
        <v>3840</v>
      </c>
      <c r="E27" s="68">
        <f t="shared" si="17"/>
        <v>600</v>
      </c>
      <c r="F27" s="68">
        <f t="shared" si="17"/>
        <v>7191.5</v>
      </c>
      <c r="G27" s="70">
        <f t="shared" si="17"/>
        <v>131</v>
      </c>
      <c r="H27" s="70">
        <f t="shared" si="17"/>
        <v>30</v>
      </c>
      <c r="I27" s="68">
        <f t="shared" si="17"/>
        <v>600</v>
      </c>
      <c r="K27" s="81" t="s">
        <v>70</v>
      </c>
      <c r="L27" s="81">
        <v>23.0</v>
      </c>
      <c r="M27" s="81">
        <v>3.0</v>
      </c>
      <c r="N27" s="82">
        <f t="shared" ref="N27:N30" si="18">L27*$L$8+M27*$M$8</f>
        <v>2285.46</v>
      </c>
    </row>
    <row r="28" ht="12.75" customHeight="1">
      <c r="A28" s="137"/>
      <c r="B28" s="75"/>
      <c r="C28" s="75"/>
      <c r="D28" s="75"/>
      <c r="E28" s="75"/>
      <c r="F28" s="75"/>
      <c r="G28" s="76"/>
      <c r="H28" s="76"/>
      <c r="I28" s="75"/>
      <c r="K28" s="81" t="s">
        <v>71</v>
      </c>
      <c r="L28" s="81">
        <v>16.0</v>
      </c>
      <c r="M28" s="81">
        <v>5.0</v>
      </c>
      <c r="N28" s="82">
        <f t="shared" si="18"/>
        <v>1799.1</v>
      </c>
    </row>
    <row r="29" ht="12.75" customHeight="1">
      <c r="A29" s="129">
        <f>A26+3</f>
        <v>43857</v>
      </c>
      <c r="B29" s="81">
        <v>100.0</v>
      </c>
      <c r="C29" s="81">
        <v>82.72</v>
      </c>
      <c r="D29" s="81">
        <v>640.0</v>
      </c>
      <c r="E29" s="81">
        <v>220.0</v>
      </c>
      <c r="F29" s="60">
        <f t="shared" ref="F29:F33" si="19">SUM(B29:E29)</f>
        <v>1042.72</v>
      </c>
      <c r="G29" s="81">
        <v>20.0</v>
      </c>
      <c r="H29" s="81">
        <v>2.0</v>
      </c>
      <c r="I29" s="83">
        <v>220.0</v>
      </c>
      <c r="K29" s="81" t="s">
        <v>72</v>
      </c>
      <c r="L29" s="81">
        <v>4.0</v>
      </c>
      <c r="M29" s="81"/>
      <c r="N29" s="82">
        <f t="shared" si="18"/>
        <v>360</v>
      </c>
    </row>
    <row r="30" ht="12.75" customHeight="1">
      <c r="A30" s="129">
        <f t="shared" ref="A30:A33" si="20">A29+1</f>
        <v>43858</v>
      </c>
      <c r="B30" s="81">
        <v>100.0</v>
      </c>
      <c r="C30" s="81">
        <v>240.0</v>
      </c>
      <c r="D30" s="81">
        <v>470.0</v>
      </c>
      <c r="E30" s="81">
        <v>0.0</v>
      </c>
      <c r="F30" s="60">
        <f t="shared" si="19"/>
        <v>810</v>
      </c>
      <c r="G30" s="81">
        <v>17.0</v>
      </c>
      <c r="H30" s="81">
        <v>6.0</v>
      </c>
      <c r="I30" s="83">
        <v>0.0</v>
      </c>
      <c r="K30" s="81" t="s">
        <v>73</v>
      </c>
      <c r="L30" s="84"/>
      <c r="M30" s="84"/>
      <c r="N30" s="82">
        <f t="shared" si="18"/>
        <v>0</v>
      </c>
    </row>
    <row r="31" ht="12.75" customHeight="1">
      <c r="A31" s="129">
        <f t="shared" si="20"/>
        <v>43859</v>
      </c>
      <c r="B31" s="81">
        <v>240.0</v>
      </c>
      <c r="C31" s="81">
        <v>80.0</v>
      </c>
      <c r="D31" s="81">
        <v>550.0</v>
      </c>
      <c r="E31" s="81">
        <v>170.0</v>
      </c>
      <c r="F31" s="60">
        <f t="shared" si="19"/>
        <v>1040</v>
      </c>
      <c r="G31" s="81">
        <v>17.0</v>
      </c>
      <c r="H31" s="81">
        <v>2.0</v>
      </c>
      <c r="I31" s="83">
        <v>170.0</v>
      </c>
      <c r="K31" s="81" t="s">
        <v>74</v>
      </c>
      <c r="L31" s="84"/>
      <c r="M31" s="84"/>
      <c r="N31" s="82">
        <f>L31*$C$47+M31*$D$47</f>
        <v>0</v>
      </c>
    </row>
    <row r="32" ht="12.75" customHeight="1">
      <c r="A32" s="129">
        <f t="shared" si="20"/>
        <v>43860</v>
      </c>
      <c r="B32" s="81">
        <v>380.0</v>
      </c>
      <c r="C32" s="81">
        <v>272.23</v>
      </c>
      <c r="D32" s="81">
        <v>1060.0</v>
      </c>
      <c r="E32" s="81">
        <v>70.0</v>
      </c>
      <c r="F32" s="60">
        <f t="shared" si="19"/>
        <v>1782.23</v>
      </c>
      <c r="G32" s="81">
        <v>31.0</v>
      </c>
      <c r="H32" s="81">
        <v>6.0</v>
      </c>
      <c r="I32" s="83">
        <v>70.0</v>
      </c>
    </row>
    <row r="33" ht="12.75" customHeight="1">
      <c r="A33" s="129">
        <f t="shared" si="20"/>
        <v>43861</v>
      </c>
      <c r="B33" s="81">
        <v>140.0</v>
      </c>
      <c r="C33" s="81">
        <v>252.73</v>
      </c>
      <c r="D33" s="81">
        <v>1160.0</v>
      </c>
      <c r="E33" s="81">
        <v>0.0</v>
      </c>
      <c r="F33" s="60">
        <f t="shared" si="19"/>
        <v>1552.73</v>
      </c>
      <c r="G33" s="81">
        <v>23.0</v>
      </c>
      <c r="H33" s="81">
        <v>4.0</v>
      </c>
      <c r="I33" s="83">
        <v>0.0</v>
      </c>
    </row>
    <row r="34" ht="12.75" customHeight="1">
      <c r="A34" s="381"/>
      <c r="B34" s="68">
        <f t="shared" ref="B34:I34" si="21">SUM(B29:B33)</f>
        <v>960</v>
      </c>
      <c r="C34" s="68">
        <f t="shared" si="21"/>
        <v>927.68</v>
      </c>
      <c r="D34" s="68">
        <f t="shared" si="21"/>
        <v>3880</v>
      </c>
      <c r="E34" s="68">
        <f t="shared" si="21"/>
        <v>460</v>
      </c>
      <c r="F34" s="68">
        <f t="shared" si="21"/>
        <v>6227.68</v>
      </c>
      <c r="G34" s="70">
        <f t="shared" si="21"/>
        <v>108</v>
      </c>
      <c r="H34" s="70">
        <f t="shared" si="21"/>
        <v>20</v>
      </c>
      <c r="I34" s="91">
        <f t="shared" si="21"/>
        <v>460</v>
      </c>
      <c r="K34" s="66"/>
      <c r="L34" s="66"/>
      <c r="M34" s="66"/>
      <c r="N34" s="66"/>
    </row>
    <row r="35" ht="12.75" customHeight="1">
      <c r="A35" s="137"/>
      <c r="B35" s="75"/>
      <c r="C35" s="75"/>
      <c r="D35" s="75"/>
      <c r="E35" s="75"/>
      <c r="F35" s="75"/>
      <c r="G35" s="76"/>
      <c r="H35" s="76"/>
      <c r="I35" s="74"/>
      <c r="K35" s="66"/>
      <c r="L35" s="72">
        <f t="shared" ref="L35:N35" si="22">SUM(L37:L41)</f>
        <v>15</v>
      </c>
      <c r="M35" s="72">
        <f t="shared" si="22"/>
        <v>0</v>
      </c>
      <c r="N35" s="73">
        <f t="shared" si="22"/>
        <v>1350</v>
      </c>
    </row>
    <row r="36" ht="12.75" customHeight="1">
      <c r="A36" s="129">
        <v>43864.0</v>
      </c>
      <c r="B36" s="59">
        <v>100.0</v>
      </c>
      <c r="C36" s="59">
        <v>284.62</v>
      </c>
      <c r="D36" s="59">
        <v>1550.0</v>
      </c>
      <c r="E36" s="59">
        <v>0.0</v>
      </c>
      <c r="F36" s="60">
        <f t="shared" ref="F36:F40" si="23">SUM(B36:E36)</f>
        <v>1934.62</v>
      </c>
      <c r="G36" s="59">
        <v>33.0</v>
      </c>
      <c r="H36" s="59">
        <v>7.0</v>
      </c>
      <c r="I36" s="61">
        <v>0.0</v>
      </c>
      <c r="K36" s="95" t="s">
        <v>77</v>
      </c>
      <c r="L36" s="96">
        <v>90.0</v>
      </c>
      <c r="M36" s="79">
        <v>70.69</v>
      </c>
      <c r="N36" s="66"/>
    </row>
    <row r="37" ht="12.75" customHeight="1">
      <c r="A37" s="129">
        <f t="shared" ref="A37:A40" si="24">A36+1</f>
        <v>43865</v>
      </c>
      <c r="B37" s="81">
        <v>270.0</v>
      </c>
      <c r="C37" s="81">
        <v>162.64</v>
      </c>
      <c r="D37" s="81">
        <v>660.0</v>
      </c>
      <c r="E37" s="81">
        <v>100.0</v>
      </c>
      <c r="F37" s="60">
        <f t="shared" si="23"/>
        <v>1192.64</v>
      </c>
      <c r="G37" s="81">
        <v>21.0</v>
      </c>
      <c r="H37" s="81">
        <v>4.0</v>
      </c>
      <c r="I37" s="83">
        <v>100.0</v>
      </c>
      <c r="K37" s="81" t="s">
        <v>70</v>
      </c>
      <c r="L37" s="84"/>
      <c r="M37" s="84"/>
      <c r="N37" s="82">
        <f t="shared" ref="N37:N41" si="25">L37*$L$8+M37*$M$8</f>
        <v>0</v>
      </c>
    </row>
    <row r="38" ht="12.75" customHeight="1">
      <c r="A38" s="129">
        <f t="shared" si="24"/>
        <v>43866</v>
      </c>
      <c r="B38" s="81">
        <v>170.0</v>
      </c>
      <c r="C38" s="81">
        <v>194.5</v>
      </c>
      <c r="D38" s="81">
        <v>750.0</v>
      </c>
      <c r="E38" s="81">
        <v>120.0</v>
      </c>
      <c r="F38" s="60">
        <f t="shared" si="23"/>
        <v>1234.5</v>
      </c>
      <c r="G38" s="81">
        <v>22.0</v>
      </c>
      <c r="H38" s="81">
        <v>5.0</v>
      </c>
      <c r="I38" s="83">
        <v>120.0</v>
      </c>
      <c r="K38" s="81" t="s">
        <v>71</v>
      </c>
      <c r="L38" s="84"/>
      <c r="M38" s="84"/>
      <c r="N38" s="82">
        <f t="shared" si="25"/>
        <v>0</v>
      </c>
    </row>
    <row r="39" ht="12.75" customHeight="1">
      <c r="A39" s="129">
        <f t="shared" si="24"/>
        <v>43867</v>
      </c>
      <c r="B39" s="81">
        <v>240.0</v>
      </c>
      <c r="C39" s="81">
        <v>162.64</v>
      </c>
      <c r="D39" s="81">
        <v>1430.0</v>
      </c>
      <c r="E39" s="81">
        <v>240.0</v>
      </c>
      <c r="F39" s="60">
        <f t="shared" si="23"/>
        <v>2072.64</v>
      </c>
      <c r="G39" s="81">
        <v>34.0</v>
      </c>
      <c r="H39" s="81">
        <v>4.0</v>
      </c>
      <c r="I39" s="83">
        <v>250.0</v>
      </c>
      <c r="K39" s="81" t="s">
        <v>72</v>
      </c>
      <c r="L39" s="81">
        <v>2.0</v>
      </c>
      <c r="M39" s="81"/>
      <c r="N39" s="82">
        <f t="shared" si="25"/>
        <v>180</v>
      </c>
    </row>
    <row r="40" ht="12.75" customHeight="1">
      <c r="A40" s="129">
        <f t="shared" si="24"/>
        <v>43868</v>
      </c>
      <c r="B40" s="81">
        <v>180.0</v>
      </c>
      <c r="C40" s="81">
        <v>233.33</v>
      </c>
      <c r="D40" s="81">
        <v>840.0</v>
      </c>
      <c r="E40" s="81">
        <v>160.0</v>
      </c>
      <c r="F40" s="60">
        <f t="shared" si="23"/>
        <v>1413.33</v>
      </c>
      <c r="G40" s="81">
        <v>25.0</v>
      </c>
      <c r="H40" s="81">
        <v>5.0</v>
      </c>
      <c r="I40" s="83">
        <v>160.0</v>
      </c>
      <c r="K40" s="81" t="s">
        <v>73</v>
      </c>
      <c r="L40" s="81">
        <v>4.0</v>
      </c>
      <c r="M40" s="81"/>
      <c r="N40" s="82">
        <f t="shared" si="25"/>
        <v>360</v>
      </c>
    </row>
    <row r="41" ht="12.75" customHeight="1">
      <c r="A41" s="381"/>
      <c r="B41" s="68">
        <f t="shared" ref="B41:I41" si="26">SUM(B36:B40)</f>
        <v>960</v>
      </c>
      <c r="C41" s="68">
        <f t="shared" si="26"/>
        <v>1037.73</v>
      </c>
      <c r="D41" s="68">
        <f t="shared" si="26"/>
        <v>5230</v>
      </c>
      <c r="E41" s="68">
        <f t="shared" si="26"/>
        <v>620</v>
      </c>
      <c r="F41" s="68">
        <f t="shared" si="26"/>
        <v>7847.73</v>
      </c>
      <c r="G41" s="70">
        <f t="shared" si="26"/>
        <v>135</v>
      </c>
      <c r="H41" s="70">
        <f t="shared" si="26"/>
        <v>25</v>
      </c>
      <c r="I41" s="69">
        <f t="shared" si="26"/>
        <v>630</v>
      </c>
      <c r="K41" s="81" t="s">
        <v>74</v>
      </c>
      <c r="L41" s="81">
        <v>9.0</v>
      </c>
      <c r="M41" s="81"/>
      <c r="N41" s="82">
        <f t="shared" si="25"/>
        <v>810</v>
      </c>
    </row>
    <row r="42" ht="12.75" customHeight="1">
      <c r="A42" s="137"/>
      <c r="B42" s="92"/>
      <c r="C42" s="92"/>
      <c r="D42" s="92"/>
      <c r="E42" s="92"/>
      <c r="F42" s="92"/>
      <c r="G42" s="93"/>
      <c r="H42" s="93"/>
      <c r="I42" s="93"/>
    </row>
    <row r="43" ht="12.75" customHeight="1">
      <c r="A43" s="123">
        <f>A40+3</f>
        <v>43871</v>
      </c>
      <c r="B43" s="98">
        <v>100.0</v>
      </c>
      <c r="C43" s="99">
        <v>150.25</v>
      </c>
      <c r="D43" s="99">
        <v>840.0</v>
      </c>
      <c r="E43" s="99">
        <v>140.0</v>
      </c>
      <c r="F43" s="100">
        <f t="shared" ref="F43:F47" si="27">SUM(B43:E43)</f>
        <v>1230.25</v>
      </c>
      <c r="G43" s="99">
        <v>22.0</v>
      </c>
      <c r="H43" s="99">
        <v>3.0</v>
      </c>
      <c r="I43" s="101">
        <v>150.0</v>
      </c>
    </row>
    <row r="44" ht="12.75" customHeight="1">
      <c r="A44" s="386">
        <f t="shared" ref="A44:A47" si="29">A43+1</f>
        <v>43872</v>
      </c>
      <c r="B44" s="81">
        <v>150.0</v>
      </c>
      <c r="C44" s="81">
        <v>111.35</v>
      </c>
      <c r="D44" s="81">
        <v>630.0</v>
      </c>
      <c r="E44" s="66">
        <v>50.0</v>
      </c>
      <c r="F44" s="104">
        <f t="shared" si="27"/>
        <v>941.35</v>
      </c>
      <c r="G44" s="81">
        <v>17.0</v>
      </c>
      <c r="H44" s="81">
        <v>2.0</v>
      </c>
      <c r="I44" s="83">
        <v>50.0</v>
      </c>
      <c r="K44" s="66"/>
      <c r="L44" s="72">
        <f t="shared" ref="L44:M44" si="28">SUM(L46:L50)</f>
        <v>69</v>
      </c>
      <c r="M44" s="72">
        <f t="shared" si="28"/>
        <v>7</v>
      </c>
      <c r="N44" s="73">
        <f>SUM(N46:N51)</f>
        <v>6704.83</v>
      </c>
    </row>
    <row r="45" ht="12.75" customHeight="1">
      <c r="A45" s="386">
        <f t="shared" si="29"/>
        <v>43873</v>
      </c>
      <c r="B45" s="103">
        <v>140.0</v>
      </c>
      <c r="C45" s="81">
        <v>221.92</v>
      </c>
      <c r="D45" s="81">
        <v>540.0</v>
      </c>
      <c r="E45" s="81">
        <v>0.0</v>
      </c>
      <c r="F45" s="104">
        <f t="shared" si="27"/>
        <v>901.92</v>
      </c>
      <c r="G45" s="81">
        <v>18.0</v>
      </c>
      <c r="H45" s="81">
        <v>6.0</v>
      </c>
      <c r="I45" s="83">
        <v>0.0</v>
      </c>
      <c r="K45" s="95" t="s">
        <v>78</v>
      </c>
      <c r="L45" s="96">
        <v>90.0</v>
      </c>
      <c r="M45" s="79">
        <v>70.69</v>
      </c>
      <c r="N45" s="66"/>
    </row>
    <row r="46" ht="12.75" customHeight="1">
      <c r="A46" s="386">
        <f t="shared" si="29"/>
        <v>43874</v>
      </c>
      <c r="B46" s="103">
        <v>150.0</v>
      </c>
      <c r="C46" s="81">
        <v>355.05</v>
      </c>
      <c r="D46" s="81">
        <v>1090.0</v>
      </c>
      <c r="E46" s="81">
        <v>115.0</v>
      </c>
      <c r="F46" s="104">
        <f t="shared" si="27"/>
        <v>1710.05</v>
      </c>
      <c r="G46" s="81">
        <v>30.0</v>
      </c>
      <c r="H46" s="81">
        <v>8.0</v>
      </c>
      <c r="I46" s="83">
        <v>115.0</v>
      </c>
      <c r="K46" s="81" t="s">
        <v>70</v>
      </c>
      <c r="L46" s="81">
        <v>8.0</v>
      </c>
      <c r="M46" s="81">
        <v>1.0</v>
      </c>
      <c r="N46" s="82">
        <f>L46*$L$8+M46*M45</f>
        <v>790.69</v>
      </c>
    </row>
    <row r="47" ht="12.75" customHeight="1">
      <c r="A47" s="386">
        <f t="shared" si="29"/>
        <v>43875</v>
      </c>
      <c r="B47" s="105">
        <v>210.0</v>
      </c>
      <c r="C47" s="106">
        <v>263.36</v>
      </c>
      <c r="D47" s="106">
        <v>960.0</v>
      </c>
      <c r="E47" s="106">
        <v>50.0</v>
      </c>
      <c r="F47" s="107">
        <f t="shared" si="27"/>
        <v>1483.36</v>
      </c>
      <c r="G47" s="106">
        <v>24.0</v>
      </c>
      <c r="H47" s="106">
        <v>5.0</v>
      </c>
      <c r="I47" s="108">
        <v>50.0</v>
      </c>
      <c r="K47" s="81" t="s">
        <v>71</v>
      </c>
      <c r="L47" s="81">
        <v>22.0</v>
      </c>
      <c r="M47" s="81">
        <v>1.0</v>
      </c>
      <c r="N47" s="82">
        <f>L47*$L$8+M47*M45</f>
        <v>2050.69</v>
      </c>
    </row>
    <row r="48" ht="12.75" customHeight="1">
      <c r="A48" s="387"/>
      <c r="B48" s="91">
        <f t="shared" ref="B48:I48" si="30">SUM(B43:B47)</f>
        <v>750</v>
      </c>
      <c r="C48" s="91">
        <f t="shared" si="30"/>
        <v>1101.93</v>
      </c>
      <c r="D48" s="91">
        <f t="shared" si="30"/>
        <v>4060</v>
      </c>
      <c r="E48" s="91">
        <f t="shared" si="30"/>
        <v>355</v>
      </c>
      <c r="F48" s="91">
        <f t="shared" si="30"/>
        <v>6266.93</v>
      </c>
      <c r="G48" s="70">
        <f t="shared" si="30"/>
        <v>111</v>
      </c>
      <c r="H48" s="70">
        <f t="shared" si="30"/>
        <v>24</v>
      </c>
      <c r="I48" s="91">
        <f t="shared" si="30"/>
        <v>365</v>
      </c>
      <c r="K48" s="81" t="s">
        <v>72</v>
      </c>
      <c r="L48" s="81">
        <v>16.0</v>
      </c>
      <c r="M48" s="81">
        <v>1.0</v>
      </c>
      <c r="N48" s="82">
        <f>L48*$L$8+M48*M45</f>
        <v>1510.69</v>
      </c>
    </row>
    <row r="49" ht="12.75" customHeight="1">
      <c r="A49" s="388"/>
      <c r="B49" s="74"/>
      <c r="C49" s="74"/>
      <c r="D49" s="74"/>
      <c r="E49" s="74"/>
      <c r="F49" s="74"/>
      <c r="G49" s="76"/>
      <c r="H49" s="76"/>
      <c r="I49" s="74"/>
      <c r="K49" s="81" t="s">
        <v>73</v>
      </c>
      <c r="L49" s="81">
        <v>23.0</v>
      </c>
      <c r="M49" s="81">
        <v>4.0</v>
      </c>
      <c r="N49" s="82">
        <f>L49*$L$8+M49*M45</f>
        <v>2352.76</v>
      </c>
    </row>
    <row r="50" ht="12.75" customHeight="1">
      <c r="A50" s="389">
        <f>A47+3</f>
        <v>43878</v>
      </c>
      <c r="B50" s="112">
        <v>230.0</v>
      </c>
      <c r="C50" s="112">
        <v>81.32</v>
      </c>
      <c r="D50" s="112">
        <v>1290.0</v>
      </c>
      <c r="E50" s="112">
        <v>200.0</v>
      </c>
      <c r="F50" s="107">
        <f t="shared" ref="F50:F54" si="31">SUM(B50:E50)</f>
        <v>1801.32</v>
      </c>
      <c r="G50" s="59">
        <v>31.0</v>
      </c>
      <c r="H50" s="59">
        <v>2.0</v>
      </c>
      <c r="I50" s="61">
        <v>200.0</v>
      </c>
      <c r="K50" s="81" t="s">
        <v>74</v>
      </c>
      <c r="L50" s="81"/>
      <c r="M50" s="81"/>
      <c r="N50" s="82">
        <f t="shared" ref="N50:N51" si="32">L50*$L$8+M50*$M$8</f>
        <v>0</v>
      </c>
    </row>
    <row r="51" ht="12.75" customHeight="1">
      <c r="A51" s="390">
        <f t="shared" ref="A51:A54" si="33">A50+1</f>
        <v>43879</v>
      </c>
      <c r="B51" s="103">
        <v>310.0</v>
      </c>
      <c r="C51" s="103">
        <v>121.98</v>
      </c>
      <c r="D51" s="103">
        <v>510.0</v>
      </c>
      <c r="E51" s="103">
        <v>0.0</v>
      </c>
      <c r="F51" s="107">
        <f t="shared" si="31"/>
        <v>941.98</v>
      </c>
      <c r="G51" s="81">
        <v>18.0</v>
      </c>
      <c r="H51" s="81">
        <v>2.0</v>
      </c>
      <c r="I51" s="83">
        <v>0.0</v>
      </c>
      <c r="K51" s="64"/>
      <c r="L51" s="66"/>
      <c r="M51" s="66"/>
      <c r="N51" s="82">
        <f t="shared" si="32"/>
        <v>0</v>
      </c>
    </row>
    <row r="52" ht="12.75" customHeight="1">
      <c r="A52" s="390">
        <f t="shared" si="33"/>
        <v>43880</v>
      </c>
      <c r="B52" s="103">
        <v>150.0</v>
      </c>
      <c r="C52" s="103">
        <v>77.8</v>
      </c>
      <c r="D52" s="103">
        <v>770.0</v>
      </c>
      <c r="E52" s="103">
        <v>80.0</v>
      </c>
      <c r="F52" s="107">
        <f t="shared" si="31"/>
        <v>1077.8</v>
      </c>
      <c r="G52" s="81">
        <v>21.0</v>
      </c>
      <c r="H52" s="81">
        <v>2.0</v>
      </c>
      <c r="I52" s="83">
        <v>80.0</v>
      </c>
    </row>
    <row r="53" ht="12.75" customHeight="1">
      <c r="A53" s="390">
        <f t="shared" si="33"/>
        <v>43881</v>
      </c>
      <c r="B53" s="103">
        <v>340.0</v>
      </c>
      <c r="C53" s="103">
        <v>152.01</v>
      </c>
      <c r="D53" s="103">
        <v>1160.0</v>
      </c>
      <c r="E53" s="103">
        <v>380.0</v>
      </c>
      <c r="F53" s="107">
        <f t="shared" si="31"/>
        <v>2032.01</v>
      </c>
      <c r="G53" s="81">
        <v>33.0</v>
      </c>
      <c r="H53" s="81">
        <v>3.0</v>
      </c>
      <c r="I53" s="83">
        <v>380.0</v>
      </c>
      <c r="K53" s="66"/>
      <c r="L53" s="72">
        <f t="shared" ref="L53:N53" si="34">SUM(L55:L59)</f>
        <v>54</v>
      </c>
      <c r="M53" s="72">
        <f t="shared" si="34"/>
        <v>9</v>
      </c>
      <c r="N53" s="73">
        <f t="shared" si="34"/>
        <v>5021.38</v>
      </c>
    </row>
    <row r="54" ht="12.75" customHeight="1">
      <c r="A54" s="391">
        <f t="shared" si="33"/>
        <v>43882</v>
      </c>
      <c r="B54" s="103">
        <v>280.0</v>
      </c>
      <c r="C54" s="103">
        <v>206.1</v>
      </c>
      <c r="D54" s="103">
        <v>890.0</v>
      </c>
      <c r="E54" s="103">
        <v>0.0</v>
      </c>
      <c r="F54" s="107">
        <f t="shared" si="31"/>
        <v>1376.1</v>
      </c>
      <c r="G54" s="81">
        <v>24.0</v>
      </c>
      <c r="H54" s="81">
        <v>5.0</v>
      </c>
      <c r="I54" s="83">
        <v>0.0</v>
      </c>
      <c r="K54" s="333" t="s">
        <v>79</v>
      </c>
      <c r="L54" s="79">
        <v>90.0</v>
      </c>
      <c r="M54" s="79">
        <v>70.69</v>
      </c>
      <c r="N54" s="66"/>
    </row>
    <row r="55" ht="12.75" customHeight="1">
      <c r="A55" s="387"/>
      <c r="B55" s="91">
        <f t="shared" ref="B55:I55" si="35">SUM(B50:B54)</f>
        <v>1310</v>
      </c>
      <c r="C55" s="91">
        <f t="shared" si="35"/>
        <v>639.21</v>
      </c>
      <c r="D55" s="91">
        <f t="shared" si="35"/>
        <v>4620</v>
      </c>
      <c r="E55" s="91">
        <f t="shared" si="35"/>
        <v>660</v>
      </c>
      <c r="F55" s="91">
        <f t="shared" si="35"/>
        <v>7229.21</v>
      </c>
      <c r="G55" s="140">
        <f t="shared" si="35"/>
        <v>127</v>
      </c>
      <c r="H55" s="133">
        <f t="shared" si="35"/>
        <v>14</v>
      </c>
      <c r="I55" s="132">
        <f t="shared" si="35"/>
        <v>660</v>
      </c>
      <c r="K55" s="81" t="s">
        <v>70</v>
      </c>
      <c r="L55" s="81">
        <v>14.0</v>
      </c>
      <c r="M55" s="81">
        <v>2.0</v>
      </c>
      <c r="N55" s="82">
        <f>L55*$L$8+M55*$M$54</f>
        <v>1401.38</v>
      </c>
    </row>
    <row r="56" ht="12.75" customHeight="1">
      <c r="A56" s="388"/>
      <c r="B56" s="74"/>
      <c r="C56" s="74"/>
      <c r="D56" s="74"/>
      <c r="E56" s="74"/>
      <c r="F56" s="74"/>
      <c r="G56" s="75"/>
      <c r="H56" s="136"/>
      <c r="I56" s="116"/>
      <c r="K56" s="81" t="s">
        <v>71</v>
      </c>
      <c r="L56" s="81">
        <v>20.0</v>
      </c>
      <c r="M56" s="81">
        <v>4.0</v>
      </c>
      <c r="N56" s="82">
        <f t="shared" ref="N56:N59" si="36">L56*$L$8+M56*M55</f>
        <v>1808</v>
      </c>
    </row>
    <row r="57" ht="12.75" customHeight="1">
      <c r="A57" s="390">
        <f>A54+3</f>
        <v>43885</v>
      </c>
      <c r="B57" s="103">
        <v>240.0</v>
      </c>
      <c r="C57" s="103">
        <v>484.14</v>
      </c>
      <c r="D57" s="103">
        <v>690.0</v>
      </c>
      <c r="E57" s="103">
        <v>140.0</v>
      </c>
      <c r="F57" s="107">
        <f t="shared" ref="F57:F61" si="37">SUM(B57:E57)</f>
        <v>1554.14</v>
      </c>
      <c r="G57" s="81">
        <v>30.0</v>
      </c>
      <c r="H57" s="81">
        <v>11.0</v>
      </c>
      <c r="I57" s="83">
        <v>140.0</v>
      </c>
      <c r="K57" s="81" t="s">
        <v>72</v>
      </c>
      <c r="L57" s="81">
        <v>19.0</v>
      </c>
      <c r="M57" s="81">
        <v>3.0</v>
      </c>
      <c r="N57" s="82">
        <f t="shared" si="36"/>
        <v>1722</v>
      </c>
    </row>
    <row r="58" ht="12.75" customHeight="1">
      <c r="A58" s="391">
        <f t="shared" ref="A58:A61" si="38">A57+1</f>
        <v>43886</v>
      </c>
      <c r="B58" s="103">
        <v>100.0</v>
      </c>
      <c r="C58" s="103">
        <v>181.88</v>
      </c>
      <c r="D58" s="103">
        <v>520.0</v>
      </c>
      <c r="E58" s="103">
        <v>0.0</v>
      </c>
      <c r="F58" s="107">
        <f t="shared" si="37"/>
        <v>801.88</v>
      </c>
      <c r="G58" s="81">
        <v>19.0</v>
      </c>
      <c r="H58" s="81">
        <v>5.0</v>
      </c>
      <c r="I58" s="83">
        <v>0.0</v>
      </c>
      <c r="K58" s="81" t="s">
        <v>73</v>
      </c>
      <c r="L58" s="81"/>
      <c r="M58" s="81"/>
      <c r="N58" s="82">
        <f t="shared" si="36"/>
        <v>0</v>
      </c>
    </row>
    <row r="59" ht="12.75" customHeight="1">
      <c r="A59" s="390">
        <f t="shared" si="38"/>
        <v>43887</v>
      </c>
      <c r="B59" s="124">
        <v>260.0</v>
      </c>
      <c r="C59" s="124">
        <v>272.29</v>
      </c>
      <c r="D59" s="124">
        <v>780.0</v>
      </c>
      <c r="E59" s="124">
        <v>70.0</v>
      </c>
      <c r="F59" s="107">
        <f t="shared" si="37"/>
        <v>1382.29</v>
      </c>
      <c r="G59" s="66">
        <v>24.0</v>
      </c>
      <c r="H59" s="59">
        <v>5.0</v>
      </c>
      <c r="I59" s="61">
        <v>70.0</v>
      </c>
      <c r="K59" s="81" t="s">
        <v>74</v>
      </c>
      <c r="L59" s="81">
        <v>1.0</v>
      </c>
      <c r="M59" s="81"/>
      <c r="N59" s="82">
        <f t="shared" si="36"/>
        <v>90</v>
      </c>
    </row>
    <row r="60" ht="12.75" customHeight="1">
      <c r="A60" s="390">
        <f t="shared" si="38"/>
        <v>43888</v>
      </c>
      <c r="B60" s="59">
        <v>240.0</v>
      </c>
      <c r="C60" s="59">
        <v>162.64</v>
      </c>
      <c r="D60" s="59">
        <v>1460.0</v>
      </c>
      <c r="E60" s="59">
        <v>190.0</v>
      </c>
      <c r="F60" s="107">
        <f t="shared" si="37"/>
        <v>2052.64</v>
      </c>
      <c r="G60" s="59">
        <v>36.0</v>
      </c>
      <c r="H60" s="59">
        <v>4.0</v>
      </c>
      <c r="I60" s="61">
        <v>190.0</v>
      </c>
    </row>
    <row r="61" ht="12.75" customHeight="1">
      <c r="A61" s="390">
        <f t="shared" si="38"/>
        <v>43889</v>
      </c>
      <c r="B61" s="59">
        <v>160.0</v>
      </c>
      <c r="C61" s="59">
        <v>192.67</v>
      </c>
      <c r="D61" s="59">
        <v>990.0</v>
      </c>
      <c r="E61" s="59">
        <v>190.0</v>
      </c>
      <c r="F61" s="107">
        <f t="shared" si="37"/>
        <v>1532.67</v>
      </c>
      <c r="G61" s="59">
        <v>25.0</v>
      </c>
      <c r="H61" s="59">
        <v>4.0</v>
      </c>
      <c r="I61" s="61">
        <v>200.0</v>
      </c>
    </row>
    <row r="62" ht="12.75" customHeight="1">
      <c r="A62" s="115"/>
      <c r="B62" s="91">
        <f t="shared" ref="B62:I62" si="39">SUM(B57:B61)</f>
        <v>1000</v>
      </c>
      <c r="C62" s="91">
        <f t="shared" si="39"/>
        <v>1293.62</v>
      </c>
      <c r="D62" s="91">
        <f t="shared" si="39"/>
        <v>4440</v>
      </c>
      <c r="E62" s="91">
        <f t="shared" si="39"/>
        <v>590</v>
      </c>
      <c r="F62" s="91">
        <f t="shared" si="39"/>
        <v>7323.62</v>
      </c>
      <c r="G62" s="70">
        <f t="shared" si="39"/>
        <v>134</v>
      </c>
      <c r="H62" s="70">
        <f t="shared" si="39"/>
        <v>29</v>
      </c>
      <c r="I62" s="91">
        <f t="shared" si="39"/>
        <v>600</v>
      </c>
      <c r="K62" s="66"/>
      <c r="L62" s="72">
        <f t="shared" ref="L62:N62" si="40">SUM(L64:L68)</f>
        <v>89</v>
      </c>
      <c r="M62" s="72">
        <f t="shared" si="40"/>
        <v>14</v>
      </c>
      <c r="N62" s="73">
        <f t="shared" si="40"/>
        <v>8999.66</v>
      </c>
    </row>
    <row r="63" ht="12.75" customHeight="1">
      <c r="A63" s="116"/>
      <c r="B63" s="74"/>
      <c r="C63" s="74"/>
      <c r="D63" s="74"/>
      <c r="E63" s="74"/>
      <c r="F63" s="74"/>
      <c r="G63" s="76"/>
      <c r="H63" s="76"/>
      <c r="I63" s="74"/>
      <c r="K63" s="333" t="s">
        <v>80</v>
      </c>
      <c r="L63" s="79">
        <v>90.0</v>
      </c>
      <c r="M63" s="79">
        <v>70.69</v>
      </c>
      <c r="N63" s="66"/>
    </row>
    <row r="64" ht="12.75" customHeight="1">
      <c r="A64" s="129">
        <v>43892.0</v>
      </c>
      <c r="B64" s="81">
        <v>260.0</v>
      </c>
      <c r="C64" s="81">
        <v>302.26</v>
      </c>
      <c r="D64" s="81">
        <v>1300.0</v>
      </c>
      <c r="E64" s="81">
        <v>190.0</v>
      </c>
      <c r="F64" s="60">
        <f t="shared" ref="F64:F68" si="41">SUM(B64:E64)</f>
        <v>2052.26</v>
      </c>
      <c r="G64" s="81">
        <v>35.0</v>
      </c>
      <c r="H64" s="81">
        <v>6.0</v>
      </c>
      <c r="I64" s="83">
        <v>190.0</v>
      </c>
      <c r="K64" s="81" t="s">
        <v>70</v>
      </c>
      <c r="L64" s="81">
        <v>16.0</v>
      </c>
      <c r="M64" s="81">
        <v>3.0</v>
      </c>
      <c r="N64" s="82">
        <f t="shared" ref="N64:N68" si="42">L64*$L$8+M64*$M$54</f>
        <v>1652.07</v>
      </c>
    </row>
    <row r="65" ht="12.75" customHeight="1">
      <c r="A65" s="129">
        <f t="shared" ref="A65:A68" si="43">A64+1</f>
        <v>43893</v>
      </c>
      <c r="B65" s="81">
        <v>240.0</v>
      </c>
      <c r="C65" s="81">
        <v>201.54</v>
      </c>
      <c r="D65" s="81">
        <v>1300.0</v>
      </c>
      <c r="E65" s="81">
        <v>100.0</v>
      </c>
      <c r="F65" s="60">
        <f t="shared" si="41"/>
        <v>1841.54</v>
      </c>
      <c r="G65" s="81">
        <v>31.0</v>
      </c>
      <c r="H65" s="81">
        <v>5.0</v>
      </c>
      <c r="I65" s="81">
        <v>100.0</v>
      </c>
      <c r="K65" s="81" t="s">
        <v>71</v>
      </c>
      <c r="L65" s="81">
        <v>24.0</v>
      </c>
      <c r="M65" s="81">
        <v>3.0</v>
      </c>
      <c r="N65" s="82">
        <f t="shared" si="42"/>
        <v>2372.07</v>
      </c>
    </row>
    <row r="66" ht="12.75" customHeight="1">
      <c r="A66" s="129">
        <f t="shared" si="43"/>
        <v>43894</v>
      </c>
      <c r="B66" s="81">
        <v>270.0</v>
      </c>
      <c r="C66" s="81">
        <v>235.16</v>
      </c>
      <c r="D66" s="81">
        <v>340.0</v>
      </c>
      <c r="E66" s="81">
        <v>50.0</v>
      </c>
      <c r="F66" s="60">
        <f t="shared" si="41"/>
        <v>895.16</v>
      </c>
      <c r="G66" s="81">
        <v>19.0</v>
      </c>
      <c r="H66" s="81">
        <v>6.0</v>
      </c>
      <c r="I66" s="81">
        <v>60.0</v>
      </c>
      <c r="K66" s="81" t="s">
        <v>72</v>
      </c>
      <c r="L66" s="81">
        <v>12.0</v>
      </c>
      <c r="M66" s="81">
        <v>3.0</v>
      </c>
      <c r="N66" s="82">
        <f t="shared" si="42"/>
        <v>1292.07</v>
      </c>
    </row>
    <row r="67" ht="12.75" customHeight="1">
      <c r="A67" s="129">
        <f t="shared" si="43"/>
        <v>43895</v>
      </c>
      <c r="B67" s="81">
        <v>510.0</v>
      </c>
      <c r="C67" s="81">
        <v>233.33</v>
      </c>
      <c r="D67" s="81">
        <v>850.0</v>
      </c>
      <c r="E67" s="81">
        <v>140.0</v>
      </c>
      <c r="F67" s="60">
        <f t="shared" si="41"/>
        <v>1733.33</v>
      </c>
      <c r="G67" s="81">
        <v>31.0</v>
      </c>
      <c r="H67" s="81">
        <v>5.0</v>
      </c>
      <c r="I67" s="81">
        <v>140.0</v>
      </c>
      <c r="K67" s="81" t="s">
        <v>73</v>
      </c>
      <c r="L67" s="81">
        <v>16.0</v>
      </c>
      <c r="M67" s="81">
        <v>2.0</v>
      </c>
      <c r="N67" s="82">
        <f t="shared" si="42"/>
        <v>1581.38</v>
      </c>
    </row>
    <row r="68" ht="12.75" customHeight="1">
      <c r="A68" s="129">
        <f t="shared" si="43"/>
        <v>43896</v>
      </c>
      <c r="B68" s="59">
        <v>250.0</v>
      </c>
      <c r="C68" s="59">
        <v>269.55</v>
      </c>
      <c r="D68" s="59">
        <v>770.0</v>
      </c>
      <c r="E68" s="59">
        <v>0.0</v>
      </c>
      <c r="F68" s="60">
        <f t="shared" si="41"/>
        <v>1289.55</v>
      </c>
      <c r="G68" s="59">
        <v>23.0</v>
      </c>
      <c r="H68" s="59">
        <v>7.0</v>
      </c>
      <c r="I68" s="61">
        <v>0.0</v>
      </c>
      <c r="K68" s="81" t="s">
        <v>74</v>
      </c>
      <c r="L68" s="81">
        <v>21.0</v>
      </c>
      <c r="M68" s="81">
        <v>3.0</v>
      </c>
      <c r="N68" s="82">
        <f t="shared" si="42"/>
        <v>2102.07</v>
      </c>
    </row>
    <row r="69" ht="12.75" customHeight="1">
      <c r="A69" s="381"/>
      <c r="B69" s="68">
        <f t="shared" ref="B69:I69" si="44">SUM(B64:B68)</f>
        <v>1530</v>
      </c>
      <c r="C69" s="68">
        <f t="shared" si="44"/>
        <v>1241.84</v>
      </c>
      <c r="D69" s="68">
        <f t="shared" si="44"/>
        <v>4560</v>
      </c>
      <c r="E69" s="68">
        <f t="shared" si="44"/>
        <v>480</v>
      </c>
      <c r="F69" s="68">
        <f t="shared" si="44"/>
        <v>7811.84</v>
      </c>
      <c r="G69" s="70">
        <f t="shared" si="44"/>
        <v>139</v>
      </c>
      <c r="H69" s="70">
        <f t="shared" si="44"/>
        <v>29</v>
      </c>
      <c r="I69" s="91">
        <f t="shared" si="44"/>
        <v>490</v>
      </c>
    </row>
    <row r="70" ht="12.75" customHeight="1">
      <c r="A70" s="137"/>
      <c r="B70" s="92"/>
      <c r="C70" s="92"/>
      <c r="D70" s="92"/>
      <c r="E70" s="92"/>
      <c r="F70" s="75"/>
      <c r="G70" s="93"/>
      <c r="H70" s="93"/>
      <c r="I70" s="94"/>
    </row>
    <row r="71" ht="12.75" customHeight="1">
      <c r="A71" s="123">
        <f>A68+3</f>
        <v>43899</v>
      </c>
      <c r="B71" s="98">
        <v>140.0</v>
      </c>
      <c r="C71" s="99">
        <v>121.98</v>
      </c>
      <c r="D71" s="99">
        <v>720.0</v>
      </c>
      <c r="E71" s="99">
        <v>0.0</v>
      </c>
      <c r="F71" s="60">
        <f t="shared" ref="F71:F75" si="45">SUM(B71:E71)</f>
        <v>981.98</v>
      </c>
      <c r="G71" s="99">
        <v>20.0</v>
      </c>
      <c r="H71" s="99">
        <v>3.0</v>
      </c>
      <c r="I71" s="101">
        <v>0.0</v>
      </c>
    </row>
    <row r="72" ht="12.75" customHeight="1">
      <c r="A72" s="386">
        <f t="shared" ref="A72:A75" si="47">A71+1</f>
        <v>43900</v>
      </c>
      <c r="B72" s="103">
        <v>150.0</v>
      </c>
      <c r="C72" s="81">
        <v>162.64</v>
      </c>
      <c r="D72" s="81">
        <v>710.0</v>
      </c>
      <c r="E72" s="81">
        <v>70.0</v>
      </c>
      <c r="F72" s="60">
        <f t="shared" si="45"/>
        <v>1092.64</v>
      </c>
      <c r="G72" s="81">
        <v>20.0</v>
      </c>
      <c r="H72" s="81">
        <v>4.0</v>
      </c>
      <c r="I72" s="83">
        <v>50.0</v>
      </c>
      <c r="K72" s="64"/>
      <c r="L72" s="72">
        <f t="shared" ref="L72:N72" si="46">SUM(L74:L78)</f>
        <v>43</v>
      </c>
      <c r="M72" s="72">
        <f t="shared" si="46"/>
        <v>5</v>
      </c>
      <c r="N72" s="73">
        <f t="shared" si="46"/>
        <v>4008.45</v>
      </c>
    </row>
    <row r="73" ht="12.75" customHeight="1">
      <c r="A73" s="386">
        <f t="shared" si="47"/>
        <v>43901</v>
      </c>
      <c r="B73" s="103">
        <v>50.0</v>
      </c>
      <c r="C73" s="81">
        <v>217.86</v>
      </c>
      <c r="D73" s="81">
        <v>860.0</v>
      </c>
      <c r="E73" s="81">
        <v>50.0</v>
      </c>
      <c r="F73" s="60">
        <f t="shared" si="45"/>
        <v>1177.86</v>
      </c>
      <c r="G73" s="81">
        <v>23.0</v>
      </c>
      <c r="H73" s="81">
        <v>4.0</v>
      </c>
      <c r="I73" s="83">
        <v>60.0</v>
      </c>
      <c r="K73" s="333" t="s">
        <v>81</v>
      </c>
      <c r="L73" s="79">
        <v>85.0</v>
      </c>
      <c r="M73" s="79">
        <v>70.69</v>
      </c>
      <c r="N73" s="66"/>
    </row>
    <row r="74" ht="12.75" customHeight="1">
      <c r="A74" s="386">
        <f t="shared" si="47"/>
        <v>43902</v>
      </c>
      <c r="B74" s="103">
        <v>0.0</v>
      </c>
      <c r="C74" s="81">
        <v>233.33</v>
      </c>
      <c r="D74" s="81">
        <v>970.0</v>
      </c>
      <c r="E74" s="81">
        <v>90.0</v>
      </c>
      <c r="F74" s="60">
        <f t="shared" si="45"/>
        <v>1293.33</v>
      </c>
      <c r="G74" s="81">
        <v>24.0</v>
      </c>
      <c r="H74" s="81">
        <v>5.0</v>
      </c>
      <c r="I74" s="83">
        <v>100.0</v>
      </c>
      <c r="K74" s="81" t="s">
        <v>70</v>
      </c>
      <c r="L74" s="118">
        <v>20.0</v>
      </c>
      <c r="M74" s="118">
        <v>3.0</v>
      </c>
      <c r="N74" s="82">
        <f>L74*$L$73+M74*$M$73</f>
        <v>1912.07</v>
      </c>
    </row>
    <row r="75" ht="12.75" customHeight="1">
      <c r="A75" s="386">
        <f t="shared" si="47"/>
        <v>43903</v>
      </c>
      <c r="B75" s="105">
        <v>280.0</v>
      </c>
      <c r="C75" s="106">
        <v>323.42</v>
      </c>
      <c r="D75" s="106">
        <v>620.0</v>
      </c>
      <c r="E75" s="106">
        <v>120.0</v>
      </c>
      <c r="F75" s="60">
        <f t="shared" si="45"/>
        <v>1343.42</v>
      </c>
      <c r="G75" s="106">
        <v>22.0</v>
      </c>
      <c r="H75" s="106">
        <v>5.0</v>
      </c>
      <c r="I75" s="108">
        <v>120.0</v>
      </c>
      <c r="K75" s="59" t="s">
        <v>71</v>
      </c>
      <c r="L75" s="119"/>
      <c r="M75" s="119"/>
      <c r="N75" s="120">
        <f>L75*$C$47+M75*$D$47</f>
        <v>0</v>
      </c>
    </row>
    <row r="76" ht="12.75" customHeight="1">
      <c r="A76" s="381"/>
      <c r="B76" s="121">
        <f t="shared" ref="B76:I76" si="48">SUM(B71:B75)</f>
        <v>620</v>
      </c>
      <c r="C76" s="121">
        <f t="shared" si="48"/>
        <v>1059.23</v>
      </c>
      <c r="D76" s="121">
        <f t="shared" si="48"/>
        <v>3880</v>
      </c>
      <c r="E76" s="121">
        <f t="shared" si="48"/>
        <v>330</v>
      </c>
      <c r="F76" s="121">
        <f t="shared" si="48"/>
        <v>5889.23</v>
      </c>
      <c r="G76" s="122">
        <f t="shared" si="48"/>
        <v>109</v>
      </c>
      <c r="H76" s="122">
        <f t="shared" si="48"/>
        <v>21</v>
      </c>
      <c r="I76" s="121">
        <f t="shared" si="48"/>
        <v>330</v>
      </c>
      <c r="K76" s="59" t="s">
        <v>72</v>
      </c>
      <c r="L76" s="119"/>
      <c r="M76" s="119"/>
      <c r="N76" s="120">
        <f t="shared" ref="N76:N77" si="49">L76*$C$48+M76*$D$48</f>
        <v>0</v>
      </c>
    </row>
    <row r="77" ht="12.75" customHeight="1">
      <c r="A77" s="207"/>
      <c r="B77" s="75"/>
      <c r="C77" s="75"/>
      <c r="D77" s="75"/>
      <c r="E77" s="75"/>
      <c r="F77" s="75"/>
      <c r="G77" s="75"/>
      <c r="H77" s="75"/>
      <c r="I77" s="75"/>
      <c r="K77" s="59" t="s">
        <v>73</v>
      </c>
      <c r="L77" s="119"/>
      <c r="M77" s="119"/>
      <c r="N77" s="120">
        <f t="shared" si="49"/>
        <v>0</v>
      </c>
    </row>
    <row r="78" ht="12.75" customHeight="1">
      <c r="A78" s="123">
        <f>A75+3</f>
        <v>43906</v>
      </c>
      <c r="B78" s="98">
        <v>190.0</v>
      </c>
      <c r="C78" s="99">
        <v>70.66</v>
      </c>
      <c r="D78" s="99">
        <v>720.0</v>
      </c>
      <c r="E78" s="99">
        <v>100.0</v>
      </c>
      <c r="F78" s="100">
        <f t="shared" ref="F78:F82" si="50">SUM(B78:E78)</f>
        <v>1080.66</v>
      </c>
      <c r="G78" s="99">
        <v>20.0</v>
      </c>
      <c r="H78" s="99">
        <v>2.0</v>
      </c>
      <c r="I78" s="101">
        <v>100.0</v>
      </c>
      <c r="K78" s="59" t="s">
        <v>74</v>
      </c>
      <c r="L78" s="124">
        <v>23.0</v>
      </c>
      <c r="M78" s="124">
        <v>2.0</v>
      </c>
      <c r="N78" s="82">
        <f>L78*$L$73+M78*$M$73</f>
        <v>2096.38</v>
      </c>
    </row>
    <row r="79" ht="12.75" customHeight="1">
      <c r="A79" s="123">
        <f t="shared" ref="A79:A82" si="51">A78+1</f>
        <v>43907</v>
      </c>
      <c r="B79" s="150"/>
      <c r="C79" s="138"/>
      <c r="D79" s="138"/>
      <c r="E79" s="138"/>
      <c r="F79" s="85">
        <f t="shared" si="50"/>
        <v>0</v>
      </c>
      <c r="G79" s="84"/>
      <c r="H79" s="84"/>
      <c r="I79" s="86"/>
    </row>
    <row r="80" ht="12.75" customHeight="1">
      <c r="A80" s="123">
        <f t="shared" si="51"/>
        <v>43908</v>
      </c>
      <c r="B80" s="150"/>
      <c r="C80" s="138"/>
      <c r="D80" s="138"/>
      <c r="E80" s="138"/>
      <c r="F80" s="85">
        <f t="shared" si="50"/>
        <v>0</v>
      </c>
      <c r="G80" s="84"/>
      <c r="H80" s="84"/>
      <c r="I80" s="86"/>
      <c r="L80" s="65">
        <f>L81+M81</f>
        <v>83</v>
      </c>
    </row>
    <row r="81" ht="12.75" customHeight="1">
      <c r="A81" s="123">
        <f t="shared" si="51"/>
        <v>43909</v>
      </c>
      <c r="B81" s="150"/>
      <c r="C81" s="138"/>
      <c r="D81" s="138"/>
      <c r="E81" s="138"/>
      <c r="F81" s="85">
        <f t="shared" si="50"/>
        <v>0</v>
      </c>
      <c r="G81" s="84"/>
      <c r="H81" s="84"/>
      <c r="I81" s="86"/>
      <c r="K81" s="64"/>
      <c r="L81" s="72">
        <f t="shared" ref="L81:N81" si="52">SUM(L83:L87)</f>
        <v>75</v>
      </c>
      <c r="M81" s="72">
        <f t="shared" si="52"/>
        <v>8</v>
      </c>
      <c r="N81" s="73">
        <f t="shared" si="52"/>
        <v>7315.52</v>
      </c>
    </row>
    <row r="82" ht="12.75" customHeight="1">
      <c r="A82" s="123">
        <f t="shared" si="51"/>
        <v>43910</v>
      </c>
      <c r="B82" s="169"/>
      <c r="C82" s="392"/>
      <c r="D82" s="392"/>
      <c r="E82" s="392"/>
      <c r="F82" s="393">
        <f t="shared" si="50"/>
        <v>0</v>
      </c>
      <c r="G82" s="172"/>
      <c r="H82" s="172"/>
      <c r="I82" s="173"/>
      <c r="K82" s="333" t="s">
        <v>82</v>
      </c>
      <c r="L82" s="79">
        <v>90.0</v>
      </c>
      <c r="M82" s="79">
        <v>70.69</v>
      </c>
      <c r="N82" s="66"/>
    </row>
    <row r="83" ht="12.75" customHeight="1">
      <c r="A83" s="381"/>
      <c r="B83" s="121">
        <f t="shared" ref="B83:I83" si="53">SUM(B78:B82)</f>
        <v>190</v>
      </c>
      <c r="C83" s="121">
        <f t="shared" si="53"/>
        <v>70.66</v>
      </c>
      <c r="D83" s="121">
        <f t="shared" si="53"/>
        <v>720</v>
      </c>
      <c r="E83" s="121">
        <f t="shared" si="53"/>
        <v>100</v>
      </c>
      <c r="F83" s="121">
        <f t="shared" si="53"/>
        <v>1080.66</v>
      </c>
      <c r="G83" s="128">
        <f t="shared" si="53"/>
        <v>20</v>
      </c>
      <c r="H83" s="128">
        <f t="shared" si="53"/>
        <v>2</v>
      </c>
      <c r="I83" s="121">
        <f t="shared" si="53"/>
        <v>100</v>
      </c>
      <c r="K83" s="81" t="s">
        <v>70</v>
      </c>
      <c r="L83" s="118">
        <v>14.0</v>
      </c>
      <c r="M83" s="118">
        <v>1.0</v>
      </c>
      <c r="N83" s="82">
        <f t="shared" ref="N83:N87" si="54">L83*$L$82+M83*$M$82</f>
        <v>1330.69</v>
      </c>
    </row>
    <row r="84" ht="12.75" customHeight="1">
      <c r="A84" s="207"/>
      <c r="B84" s="92"/>
      <c r="C84" s="92"/>
      <c r="D84" s="92"/>
      <c r="E84" s="92"/>
      <c r="F84" s="92"/>
      <c r="G84" s="92"/>
      <c r="H84" s="92"/>
      <c r="I84" s="92"/>
      <c r="K84" s="59" t="s">
        <v>71</v>
      </c>
      <c r="L84" s="124">
        <v>15.0</v>
      </c>
      <c r="M84" s="124">
        <v>2.0</v>
      </c>
      <c r="N84" s="82">
        <f t="shared" si="54"/>
        <v>1491.38</v>
      </c>
    </row>
    <row r="85" ht="12.75" customHeight="1">
      <c r="A85" s="129">
        <f>A82+3</f>
        <v>43913</v>
      </c>
      <c r="B85" s="81">
        <v>50.0</v>
      </c>
      <c r="C85" s="81">
        <v>80.0</v>
      </c>
      <c r="D85" s="81">
        <v>150.0</v>
      </c>
      <c r="E85" s="81">
        <v>0.0</v>
      </c>
      <c r="F85" s="100">
        <f t="shared" ref="F85:F89" si="55">SUM(B85:E85)</f>
        <v>280</v>
      </c>
      <c r="G85" s="81">
        <v>6.0</v>
      </c>
      <c r="H85" s="81">
        <v>2.0</v>
      </c>
      <c r="I85" s="81">
        <v>0.0</v>
      </c>
      <c r="K85" s="59" t="s">
        <v>72</v>
      </c>
      <c r="L85" s="124">
        <v>16.0</v>
      </c>
      <c r="M85" s="124">
        <v>1.0</v>
      </c>
      <c r="N85" s="82">
        <f t="shared" si="54"/>
        <v>1510.69</v>
      </c>
    </row>
    <row r="86" ht="12.75" customHeight="1">
      <c r="A86" s="129">
        <f t="shared" ref="A86:A88" si="56">A85+1</f>
        <v>43914</v>
      </c>
      <c r="B86" s="81">
        <v>50.0</v>
      </c>
      <c r="C86" s="81">
        <v>0.0</v>
      </c>
      <c r="D86" s="81">
        <v>150.0</v>
      </c>
      <c r="E86" s="81">
        <v>0.0</v>
      </c>
      <c r="F86" s="60">
        <f t="shared" si="55"/>
        <v>200</v>
      </c>
      <c r="G86" s="81">
        <v>4.0</v>
      </c>
      <c r="H86" s="81">
        <v>0.0</v>
      </c>
      <c r="I86" s="81">
        <v>0.0</v>
      </c>
      <c r="K86" s="59" t="s">
        <v>73</v>
      </c>
      <c r="L86" s="124">
        <v>20.0</v>
      </c>
      <c r="M86" s="124">
        <v>2.0</v>
      </c>
      <c r="N86" s="82">
        <f t="shared" si="54"/>
        <v>1941.38</v>
      </c>
    </row>
    <row r="87" ht="12.75" customHeight="1">
      <c r="A87" s="129">
        <f t="shared" si="56"/>
        <v>43915</v>
      </c>
      <c r="B87" s="119"/>
      <c r="C87" s="119"/>
      <c r="D87" s="119"/>
      <c r="E87" s="119"/>
      <c r="F87" s="85">
        <f t="shared" si="55"/>
        <v>0</v>
      </c>
      <c r="G87" s="119"/>
      <c r="H87" s="119"/>
      <c r="I87" s="119"/>
      <c r="K87" s="59" t="s">
        <v>74</v>
      </c>
      <c r="L87" s="124">
        <v>10.0</v>
      </c>
      <c r="M87" s="124">
        <v>2.0</v>
      </c>
      <c r="N87" s="82">
        <f t="shared" si="54"/>
        <v>1041.38</v>
      </c>
    </row>
    <row r="88" ht="12.75" customHeight="1">
      <c r="A88" s="129">
        <f t="shared" si="56"/>
        <v>43916</v>
      </c>
      <c r="B88" s="119"/>
      <c r="C88" s="119"/>
      <c r="D88" s="119"/>
      <c r="E88" s="119"/>
      <c r="F88" s="85">
        <f t="shared" si="55"/>
        <v>0</v>
      </c>
      <c r="G88" s="119"/>
      <c r="H88" s="119"/>
      <c r="I88" s="119"/>
    </row>
    <row r="89" ht="12.75" customHeight="1">
      <c r="A89" s="129">
        <f>A86+3</f>
        <v>43917</v>
      </c>
      <c r="B89" s="394"/>
      <c r="C89" s="394"/>
      <c r="D89" s="394"/>
      <c r="E89" s="394"/>
      <c r="F89" s="393">
        <f t="shared" si="55"/>
        <v>0</v>
      </c>
      <c r="G89" s="394"/>
      <c r="H89" s="394"/>
      <c r="I89" s="394"/>
      <c r="K89" s="64"/>
      <c r="L89" s="65">
        <f>L90+M90</f>
        <v>88</v>
      </c>
      <c r="N89" s="66"/>
    </row>
    <row r="90" ht="12.75" customHeight="1">
      <c r="A90" s="395"/>
      <c r="B90" s="68">
        <f t="shared" ref="B90:I90" si="57">SUM(B85:B89)</f>
        <v>100</v>
      </c>
      <c r="C90" s="132">
        <f t="shared" si="57"/>
        <v>80</v>
      </c>
      <c r="D90" s="132">
        <f t="shared" si="57"/>
        <v>300</v>
      </c>
      <c r="E90" s="132">
        <f t="shared" si="57"/>
        <v>0</v>
      </c>
      <c r="F90" s="132">
        <f t="shared" si="57"/>
        <v>480</v>
      </c>
      <c r="G90" s="133">
        <f t="shared" si="57"/>
        <v>10</v>
      </c>
      <c r="H90" s="133">
        <f t="shared" si="57"/>
        <v>2</v>
      </c>
      <c r="I90" s="134">
        <f t="shared" si="57"/>
        <v>0</v>
      </c>
      <c r="K90" s="64"/>
      <c r="L90" s="72">
        <f t="shared" ref="L90:N90" si="58">SUM(L92:L96)</f>
        <v>74</v>
      </c>
      <c r="M90" s="72">
        <f t="shared" si="58"/>
        <v>14</v>
      </c>
      <c r="N90" s="73">
        <f t="shared" si="58"/>
        <v>7649.66</v>
      </c>
    </row>
    <row r="91" ht="12.75" customHeight="1">
      <c r="A91" s="396"/>
      <c r="B91" s="75"/>
      <c r="C91" s="136"/>
      <c r="D91" s="136"/>
      <c r="E91" s="136"/>
      <c r="F91" s="136"/>
      <c r="G91" s="136"/>
      <c r="H91" s="136"/>
      <c r="I91" s="137"/>
      <c r="K91" s="333" t="s">
        <v>83</v>
      </c>
      <c r="L91" s="79">
        <v>90.0</v>
      </c>
      <c r="M91" s="79">
        <v>70.69</v>
      </c>
      <c r="N91" s="66"/>
    </row>
    <row r="92" ht="12.75" customHeight="1">
      <c r="A92" s="129">
        <f>A89+3</f>
        <v>43920</v>
      </c>
      <c r="B92" s="84"/>
      <c r="C92" s="84"/>
      <c r="D92" s="84"/>
      <c r="E92" s="84"/>
      <c r="F92" s="85">
        <f t="shared" ref="F92:F96" si="59">SUM(B92:E92)</f>
        <v>0</v>
      </c>
      <c r="G92" s="84"/>
      <c r="H92" s="84"/>
      <c r="I92" s="86"/>
      <c r="K92" s="81" t="s">
        <v>70</v>
      </c>
      <c r="L92" s="81">
        <v>14.0</v>
      </c>
      <c r="M92" s="81">
        <v>1.0</v>
      </c>
      <c r="N92" s="82">
        <f t="shared" ref="N92:N96" si="60">L92*$L$91+M92*$M$91</f>
        <v>1330.69</v>
      </c>
    </row>
    <row r="93" ht="12.75" customHeight="1">
      <c r="A93" s="129">
        <f>A92+1</f>
        <v>43921</v>
      </c>
      <c r="B93" s="84"/>
      <c r="C93" s="84"/>
      <c r="D93" s="84"/>
      <c r="E93" s="84"/>
      <c r="F93" s="85">
        <f t="shared" si="59"/>
        <v>0</v>
      </c>
      <c r="G93" s="84"/>
      <c r="H93" s="84"/>
      <c r="I93" s="86"/>
      <c r="K93" s="81" t="s">
        <v>71</v>
      </c>
      <c r="L93" s="81">
        <v>18.0</v>
      </c>
      <c r="M93" s="81">
        <v>2.0</v>
      </c>
      <c r="N93" s="82">
        <f t="shared" si="60"/>
        <v>1761.38</v>
      </c>
    </row>
    <row r="94" ht="12.75" customHeight="1">
      <c r="A94" s="129">
        <v>43922.0</v>
      </c>
      <c r="B94" s="84"/>
      <c r="C94" s="84"/>
      <c r="D94" s="84"/>
      <c r="E94" s="84"/>
      <c r="F94" s="85">
        <f t="shared" si="59"/>
        <v>0</v>
      </c>
      <c r="G94" s="84"/>
      <c r="H94" s="84"/>
      <c r="I94" s="86"/>
      <c r="K94" s="81" t="s">
        <v>72</v>
      </c>
      <c r="L94" s="81">
        <v>19.0</v>
      </c>
      <c r="M94" s="81">
        <v>6.0</v>
      </c>
      <c r="N94" s="82">
        <f t="shared" si="60"/>
        <v>2134.14</v>
      </c>
    </row>
    <row r="95" ht="12.75" customHeight="1">
      <c r="A95" s="129">
        <f t="shared" ref="A95:A96" si="61">A94+1</f>
        <v>43923</v>
      </c>
      <c r="B95" s="84"/>
      <c r="C95" s="84"/>
      <c r="D95" s="84"/>
      <c r="E95" s="84"/>
      <c r="F95" s="85">
        <f t="shared" si="59"/>
        <v>0</v>
      </c>
      <c r="G95" s="84"/>
      <c r="H95" s="84"/>
      <c r="I95" s="86"/>
      <c r="K95" s="81" t="s">
        <v>73</v>
      </c>
      <c r="L95" s="81">
        <v>6.0</v>
      </c>
      <c r="M95" s="81">
        <v>1.0</v>
      </c>
      <c r="N95" s="82">
        <f t="shared" si="60"/>
        <v>610.69</v>
      </c>
    </row>
    <row r="96" ht="12.75" customHeight="1">
      <c r="A96" s="129">
        <f t="shared" si="61"/>
        <v>43924</v>
      </c>
      <c r="B96" s="84"/>
      <c r="C96" s="84"/>
      <c r="D96" s="84"/>
      <c r="E96" s="84"/>
      <c r="F96" s="85">
        <f t="shared" si="59"/>
        <v>0</v>
      </c>
      <c r="G96" s="84"/>
      <c r="H96" s="84"/>
      <c r="I96" s="86"/>
      <c r="K96" s="81" t="s">
        <v>74</v>
      </c>
      <c r="L96" s="81">
        <v>17.0</v>
      </c>
      <c r="M96" s="81">
        <v>4.0</v>
      </c>
      <c r="N96" s="82">
        <f t="shared" si="60"/>
        <v>1812.76</v>
      </c>
    </row>
    <row r="97" ht="12.75" customHeight="1">
      <c r="A97" s="381"/>
      <c r="B97" s="68">
        <f t="shared" ref="B97:I97" si="62">SUM(B94:B96)</f>
        <v>0</v>
      </c>
      <c r="C97" s="68">
        <f t="shared" si="62"/>
        <v>0</v>
      </c>
      <c r="D97" s="68">
        <f t="shared" si="62"/>
        <v>0</v>
      </c>
      <c r="E97" s="68">
        <f t="shared" si="62"/>
        <v>0</v>
      </c>
      <c r="F97" s="68">
        <f t="shared" si="62"/>
        <v>0</v>
      </c>
      <c r="G97" s="70">
        <f t="shared" si="62"/>
        <v>0</v>
      </c>
      <c r="H97" s="70">
        <f t="shared" si="62"/>
        <v>0</v>
      </c>
      <c r="I97" s="91">
        <f t="shared" si="62"/>
        <v>0</v>
      </c>
    </row>
    <row r="98" ht="12.75" customHeight="1">
      <c r="A98" s="137"/>
      <c r="B98" s="75"/>
      <c r="C98" s="75"/>
      <c r="D98" s="75"/>
      <c r="E98" s="75"/>
      <c r="F98" s="75"/>
      <c r="G98" s="76"/>
      <c r="H98" s="76"/>
      <c r="I98" s="74"/>
      <c r="K98" s="64"/>
      <c r="L98" s="65">
        <f>L99+M99</f>
        <v>89</v>
      </c>
      <c r="N98" s="66"/>
    </row>
    <row r="99" ht="12.75" customHeight="1">
      <c r="A99" s="129">
        <f>A96+3</f>
        <v>43927</v>
      </c>
      <c r="B99" s="59">
        <v>0.0</v>
      </c>
      <c r="C99" s="59">
        <v>0.0</v>
      </c>
      <c r="D99" s="59">
        <v>350.0</v>
      </c>
      <c r="E99" s="59">
        <v>50.0</v>
      </c>
      <c r="F99" s="60">
        <f t="shared" ref="F99:F103" si="64">SUM(B99:E99)</f>
        <v>400</v>
      </c>
      <c r="G99" s="59">
        <v>8.0</v>
      </c>
      <c r="H99" s="59">
        <v>0.0</v>
      </c>
      <c r="I99" s="61">
        <v>50.0</v>
      </c>
      <c r="K99" s="64"/>
      <c r="L99" s="72">
        <f t="shared" ref="L99:N99" si="63">SUM(L101:L105)</f>
        <v>68</v>
      </c>
      <c r="M99" s="72">
        <f t="shared" si="63"/>
        <v>21</v>
      </c>
      <c r="N99" s="336">
        <f t="shared" si="63"/>
        <v>7604.49</v>
      </c>
    </row>
    <row r="100" ht="12.75" customHeight="1">
      <c r="A100" s="129">
        <f t="shared" ref="A100:A103" si="65">A99+1</f>
        <v>43928</v>
      </c>
      <c r="B100" s="84"/>
      <c r="C100" s="84"/>
      <c r="D100" s="84"/>
      <c r="E100" s="84"/>
      <c r="F100" s="85">
        <f t="shared" si="64"/>
        <v>0</v>
      </c>
      <c r="G100" s="84"/>
      <c r="H100" s="84"/>
      <c r="I100" s="86"/>
      <c r="K100" s="333" t="s">
        <v>84</v>
      </c>
      <c r="L100" s="79">
        <v>90.0</v>
      </c>
      <c r="M100" s="79">
        <v>70.69</v>
      </c>
      <c r="N100" s="66"/>
    </row>
    <row r="101" ht="12.75" customHeight="1">
      <c r="A101" s="129">
        <f t="shared" si="65"/>
        <v>43929</v>
      </c>
      <c r="B101" s="84"/>
      <c r="C101" s="84"/>
      <c r="D101" s="84"/>
      <c r="E101" s="84"/>
      <c r="F101" s="85">
        <f t="shared" si="64"/>
        <v>0</v>
      </c>
      <c r="G101" s="84"/>
      <c r="H101" s="84"/>
      <c r="I101" s="86"/>
      <c r="K101" s="81" t="s">
        <v>70</v>
      </c>
      <c r="L101" s="81">
        <v>10.0</v>
      </c>
      <c r="M101" s="81">
        <v>2.0</v>
      </c>
      <c r="N101" s="82">
        <f t="shared" ref="N101:N105" si="66">L101*$L$100+M101*$M$100</f>
        <v>1041.38</v>
      </c>
    </row>
    <row r="102" ht="12.75" customHeight="1">
      <c r="A102" s="129">
        <f t="shared" si="65"/>
        <v>43930</v>
      </c>
      <c r="B102" s="81">
        <v>0.0</v>
      </c>
      <c r="C102" s="81">
        <v>0.0</v>
      </c>
      <c r="D102" s="81">
        <v>600.0</v>
      </c>
      <c r="E102" s="81">
        <v>0.0</v>
      </c>
      <c r="F102" s="60">
        <f t="shared" si="64"/>
        <v>600</v>
      </c>
      <c r="G102" s="81">
        <v>12.0</v>
      </c>
      <c r="H102" s="81">
        <v>0.0</v>
      </c>
      <c r="I102" s="83">
        <v>0.0</v>
      </c>
      <c r="K102" s="81" t="s">
        <v>71</v>
      </c>
      <c r="L102" s="81">
        <v>24.0</v>
      </c>
      <c r="M102" s="81">
        <v>6.0</v>
      </c>
      <c r="N102" s="82">
        <f t="shared" si="66"/>
        <v>2584.14</v>
      </c>
    </row>
    <row r="103" ht="12.75" customHeight="1">
      <c r="A103" s="129">
        <f t="shared" si="65"/>
        <v>43931</v>
      </c>
      <c r="B103" s="84"/>
      <c r="C103" s="84"/>
      <c r="D103" s="84"/>
      <c r="E103" s="84"/>
      <c r="F103" s="85">
        <f t="shared" si="64"/>
        <v>0</v>
      </c>
      <c r="G103" s="84"/>
      <c r="H103" s="84"/>
      <c r="I103" s="86"/>
      <c r="K103" s="81" t="s">
        <v>72</v>
      </c>
      <c r="L103" s="81">
        <v>14.0</v>
      </c>
      <c r="M103" s="81">
        <v>7.0</v>
      </c>
      <c r="N103" s="82">
        <f t="shared" si="66"/>
        <v>1754.83</v>
      </c>
    </row>
    <row r="104" ht="12.75" customHeight="1">
      <c r="A104" s="381"/>
      <c r="B104" s="68">
        <f t="shared" ref="B104:I104" si="67">SUM(B99:B103)</f>
        <v>0</v>
      </c>
      <c r="C104" s="68">
        <f t="shared" si="67"/>
        <v>0</v>
      </c>
      <c r="D104" s="68">
        <f t="shared" si="67"/>
        <v>950</v>
      </c>
      <c r="E104" s="68">
        <f t="shared" si="67"/>
        <v>50</v>
      </c>
      <c r="F104" s="68">
        <f t="shared" si="67"/>
        <v>1000</v>
      </c>
      <c r="G104" s="70">
        <f t="shared" si="67"/>
        <v>20</v>
      </c>
      <c r="H104" s="70">
        <f t="shared" si="67"/>
        <v>0</v>
      </c>
      <c r="I104" s="71">
        <f t="shared" si="67"/>
        <v>50</v>
      </c>
      <c r="K104" s="81" t="s">
        <v>73</v>
      </c>
      <c r="L104" s="81">
        <v>20.0</v>
      </c>
      <c r="M104" s="81">
        <v>6.0</v>
      </c>
      <c r="N104" s="82">
        <f t="shared" si="66"/>
        <v>2224.14</v>
      </c>
    </row>
    <row r="105" ht="12.75" customHeight="1">
      <c r="A105" s="137"/>
      <c r="B105" s="75"/>
      <c r="C105" s="75"/>
      <c r="D105" s="75"/>
      <c r="E105" s="75"/>
      <c r="F105" s="75"/>
      <c r="G105" s="76"/>
      <c r="H105" s="76"/>
      <c r="I105" s="77"/>
      <c r="K105" s="81" t="s">
        <v>74</v>
      </c>
      <c r="L105" s="81"/>
      <c r="M105" s="81"/>
      <c r="N105" s="82">
        <f t="shared" si="66"/>
        <v>0</v>
      </c>
    </row>
    <row r="106" ht="12.75" customHeight="1">
      <c r="A106" s="123">
        <f>A103+3</f>
        <v>43934</v>
      </c>
      <c r="B106" s="138"/>
      <c r="C106" s="138"/>
      <c r="D106" s="138"/>
      <c r="E106" s="138"/>
      <c r="F106" s="120">
        <f t="shared" ref="F106:F110" si="68">SUM(B106:E106)</f>
        <v>0</v>
      </c>
      <c r="G106" s="138"/>
      <c r="H106" s="138"/>
      <c r="I106" s="138"/>
    </row>
    <row r="107" ht="12.75" customHeight="1">
      <c r="A107" s="123">
        <f t="shared" ref="A107:A110" si="69">A106+1</f>
        <v>43935</v>
      </c>
      <c r="B107" s="81">
        <v>0.0</v>
      </c>
      <c r="C107" s="81">
        <v>81.32</v>
      </c>
      <c r="D107" s="81">
        <v>370.0</v>
      </c>
      <c r="E107" s="81">
        <v>50.0</v>
      </c>
      <c r="F107" s="104">
        <f t="shared" si="68"/>
        <v>501.32</v>
      </c>
      <c r="G107" s="81">
        <v>11.0</v>
      </c>
      <c r="H107" s="81">
        <v>2.0</v>
      </c>
      <c r="I107" s="81">
        <v>50.0</v>
      </c>
      <c r="K107" s="64"/>
      <c r="L107" s="65">
        <f>L108+M108</f>
        <v>63</v>
      </c>
      <c r="N107" s="66"/>
    </row>
    <row r="108" ht="12.75" customHeight="1">
      <c r="A108" s="123">
        <f t="shared" si="69"/>
        <v>43936</v>
      </c>
      <c r="B108" s="81">
        <v>50.0</v>
      </c>
      <c r="C108" s="81">
        <v>38.9</v>
      </c>
      <c r="D108" s="81">
        <v>200.0</v>
      </c>
      <c r="E108" s="81">
        <v>50.0</v>
      </c>
      <c r="F108" s="104">
        <f t="shared" si="68"/>
        <v>338.9</v>
      </c>
      <c r="G108" s="81">
        <v>7.0</v>
      </c>
      <c r="H108" s="81">
        <v>1.0</v>
      </c>
      <c r="I108" s="81">
        <v>50.0</v>
      </c>
      <c r="K108" s="64"/>
      <c r="L108" s="72">
        <f t="shared" ref="L108:N108" si="70">SUM(L110:L114)</f>
        <v>53</v>
      </c>
      <c r="M108" s="72">
        <f t="shared" si="70"/>
        <v>10</v>
      </c>
      <c r="N108" s="336">
        <f t="shared" si="70"/>
        <v>5476.9</v>
      </c>
    </row>
    <row r="109" ht="12.75" customHeight="1">
      <c r="A109" s="123">
        <f t="shared" si="69"/>
        <v>43937</v>
      </c>
      <c r="B109" s="81">
        <v>0.0</v>
      </c>
      <c r="C109" s="81">
        <v>81.32</v>
      </c>
      <c r="D109" s="81">
        <v>540.0</v>
      </c>
      <c r="E109" s="81">
        <v>150.0</v>
      </c>
      <c r="F109" s="139">
        <f t="shared" si="68"/>
        <v>771.32</v>
      </c>
      <c r="G109" s="81">
        <v>16.0</v>
      </c>
      <c r="H109" s="81">
        <v>2.0</v>
      </c>
      <c r="I109" s="81">
        <v>150.0</v>
      </c>
      <c r="K109" s="333" t="s">
        <v>85</v>
      </c>
      <c r="L109" s="79">
        <v>90.0</v>
      </c>
      <c r="M109" s="79">
        <v>70.69</v>
      </c>
      <c r="N109" s="66"/>
    </row>
    <row r="110" ht="12.75" customHeight="1">
      <c r="A110" s="123">
        <f t="shared" si="69"/>
        <v>43938</v>
      </c>
      <c r="B110" s="89">
        <v>90.0</v>
      </c>
      <c r="C110" s="89">
        <v>0.0</v>
      </c>
      <c r="D110" s="89">
        <v>400.0</v>
      </c>
      <c r="E110" s="89">
        <v>0.0</v>
      </c>
      <c r="F110" s="139">
        <f t="shared" si="68"/>
        <v>490</v>
      </c>
      <c r="G110" s="89">
        <v>12.0</v>
      </c>
      <c r="H110" s="89">
        <v>0.0</v>
      </c>
      <c r="I110" s="89">
        <v>0.0</v>
      </c>
      <c r="K110" s="81" t="s">
        <v>70</v>
      </c>
      <c r="L110" s="81">
        <v>19.0</v>
      </c>
      <c r="M110" s="81">
        <v>2.0</v>
      </c>
      <c r="N110" s="82">
        <f t="shared" ref="N110:N114" si="72">L110*$L$109+M110*$M$109</f>
        <v>1851.38</v>
      </c>
    </row>
    <row r="111" ht="12.75" customHeight="1">
      <c r="A111" s="381"/>
      <c r="B111" s="91">
        <f t="shared" ref="B111:I111" si="71">SUM(B106:B110)</f>
        <v>140</v>
      </c>
      <c r="C111" s="91">
        <f t="shared" si="71"/>
        <v>201.54</v>
      </c>
      <c r="D111" s="91">
        <f t="shared" si="71"/>
        <v>1510</v>
      </c>
      <c r="E111" s="91">
        <f t="shared" si="71"/>
        <v>250</v>
      </c>
      <c r="F111" s="68">
        <f t="shared" si="71"/>
        <v>2101.54</v>
      </c>
      <c r="G111" s="140">
        <f t="shared" si="71"/>
        <v>46</v>
      </c>
      <c r="H111" s="70">
        <f t="shared" si="71"/>
        <v>5</v>
      </c>
      <c r="I111" s="91">
        <f t="shared" si="71"/>
        <v>250</v>
      </c>
      <c r="K111" s="81" t="s">
        <v>71</v>
      </c>
      <c r="L111" s="81">
        <v>10.0</v>
      </c>
      <c r="M111" s="81">
        <v>4.0</v>
      </c>
      <c r="N111" s="82">
        <f t="shared" si="72"/>
        <v>1182.76</v>
      </c>
    </row>
    <row r="112" ht="12.75" customHeight="1">
      <c r="A112" s="137"/>
      <c r="B112" s="74"/>
      <c r="C112" s="74"/>
      <c r="D112" s="74"/>
      <c r="E112" s="74"/>
      <c r="F112" s="75"/>
      <c r="G112" s="75"/>
      <c r="H112" s="76"/>
      <c r="I112" s="74"/>
      <c r="K112" s="81" t="s">
        <v>72</v>
      </c>
      <c r="L112" s="81"/>
      <c r="M112" s="81"/>
      <c r="N112" s="82">
        <f t="shared" si="72"/>
        <v>0</v>
      </c>
    </row>
    <row r="113" ht="12.75" customHeight="1">
      <c r="A113" s="123">
        <f>A110+3</f>
        <v>43941</v>
      </c>
      <c r="B113" s="81">
        <v>150.0</v>
      </c>
      <c r="C113" s="81">
        <v>81.32</v>
      </c>
      <c r="D113" s="81">
        <v>480.0</v>
      </c>
      <c r="E113" s="81">
        <v>50.0</v>
      </c>
      <c r="F113" s="142">
        <f t="shared" ref="F113:F114" si="73">SUM(B113:E113)</f>
        <v>761.32</v>
      </c>
      <c r="G113" s="81">
        <v>15.0</v>
      </c>
      <c r="H113" s="81">
        <v>2.0</v>
      </c>
      <c r="I113" s="81">
        <v>50.0</v>
      </c>
      <c r="K113" s="81" t="s">
        <v>73</v>
      </c>
      <c r="L113" s="81">
        <v>20.0</v>
      </c>
      <c r="M113" s="81">
        <v>3.0</v>
      </c>
      <c r="N113" s="82">
        <f t="shared" si="72"/>
        <v>2012.07</v>
      </c>
    </row>
    <row r="114" ht="12.75" customHeight="1">
      <c r="A114" s="386">
        <f t="shared" ref="A114:A117" si="74">A113+1</f>
        <v>43942</v>
      </c>
      <c r="B114" s="81">
        <v>90.0</v>
      </c>
      <c r="C114" s="81">
        <v>81.32</v>
      </c>
      <c r="D114" s="81">
        <v>540.0</v>
      </c>
      <c r="E114" s="81">
        <v>0.0</v>
      </c>
      <c r="F114" s="142">
        <f t="shared" si="73"/>
        <v>711.32</v>
      </c>
      <c r="G114" s="81">
        <v>13.0</v>
      </c>
      <c r="H114" s="81">
        <v>2.0</v>
      </c>
      <c r="I114" s="81">
        <v>0.0</v>
      </c>
      <c r="K114" s="81" t="s">
        <v>74</v>
      </c>
      <c r="L114" s="81">
        <v>4.0</v>
      </c>
      <c r="M114" s="81">
        <v>1.0</v>
      </c>
      <c r="N114" s="82">
        <f t="shared" si="72"/>
        <v>430.69</v>
      </c>
    </row>
    <row r="115" ht="12.75" customHeight="1">
      <c r="A115" s="386">
        <f t="shared" si="74"/>
        <v>43943</v>
      </c>
      <c r="B115" s="84"/>
      <c r="C115" s="84"/>
      <c r="D115" s="84"/>
      <c r="E115" s="84"/>
      <c r="F115" s="151"/>
      <c r="G115" s="119"/>
      <c r="H115" s="119"/>
      <c r="I115" s="397"/>
    </row>
    <row r="116" ht="12.75" customHeight="1">
      <c r="A116" s="386">
        <f t="shared" si="74"/>
        <v>43944</v>
      </c>
      <c r="B116" s="81">
        <v>0.0</v>
      </c>
      <c r="C116" s="81">
        <v>131.32</v>
      </c>
      <c r="D116" s="81">
        <v>350.0</v>
      </c>
      <c r="E116" s="81">
        <v>50.0</v>
      </c>
      <c r="F116" s="141">
        <f t="shared" ref="F116:F117" si="75">SUM(B116:E116)</f>
        <v>531.32</v>
      </c>
      <c r="G116" s="124">
        <v>11.0</v>
      </c>
      <c r="H116" s="124">
        <v>3.0</v>
      </c>
      <c r="I116" s="143">
        <v>50.0</v>
      </c>
    </row>
    <row r="117" ht="12.75" customHeight="1">
      <c r="A117" s="398">
        <f t="shared" si="74"/>
        <v>43945</v>
      </c>
      <c r="B117" s="81">
        <v>140.0</v>
      </c>
      <c r="C117" s="81">
        <v>40.0</v>
      </c>
      <c r="D117" s="81">
        <v>310.0</v>
      </c>
      <c r="E117" s="81">
        <v>0.0</v>
      </c>
      <c r="F117" s="144">
        <f t="shared" si="75"/>
        <v>490</v>
      </c>
      <c r="G117" s="81">
        <v>9.0</v>
      </c>
      <c r="H117" s="81">
        <v>1.0</v>
      </c>
      <c r="I117" s="81">
        <v>0.0</v>
      </c>
    </row>
    <row r="118" ht="12.75" customHeight="1">
      <c r="A118" s="381"/>
      <c r="B118" s="253">
        <f t="shared" ref="B118:I118" si="76">SUM(B113:B117)</f>
        <v>380</v>
      </c>
      <c r="C118" s="145">
        <f t="shared" si="76"/>
        <v>333.96</v>
      </c>
      <c r="D118" s="145">
        <f t="shared" si="76"/>
        <v>1680</v>
      </c>
      <c r="E118" s="145">
        <f t="shared" si="76"/>
        <v>100</v>
      </c>
      <c r="F118" s="91">
        <f t="shared" si="76"/>
        <v>2493.96</v>
      </c>
      <c r="G118" s="140">
        <f t="shared" si="76"/>
        <v>48</v>
      </c>
      <c r="H118" s="140">
        <f t="shared" si="76"/>
        <v>8</v>
      </c>
      <c r="I118" s="145">
        <f t="shared" si="76"/>
        <v>100</v>
      </c>
    </row>
    <row r="119" ht="12.75" customHeight="1">
      <c r="A119" s="137"/>
      <c r="B119" s="77"/>
      <c r="C119" s="74"/>
      <c r="D119" s="74"/>
      <c r="E119" s="74"/>
      <c r="F119" s="74"/>
      <c r="G119" s="92"/>
      <c r="H119" s="92"/>
      <c r="I119" s="94"/>
    </row>
    <row r="120" ht="12.75" customHeight="1">
      <c r="A120" s="386">
        <f>A117+3</f>
        <v>43948</v>
      </c>
      <c r="B120" s="89">
        <v>0.0</v>
      </c>
      <c r="C120" s="89">
        <v>40.66</v>
      </c>
      <c r="D120" s="89">
        <v>730.0</v>
      </c>
      <c r="E120" s="89">
        <v>0.0</v>
      </c>
      <c r="F120" s="144">
        <f t="shared" ref="F120:F123" si="77">SUM(B120:E120)</f>
        <v>770.66</v>
      </c>
      <c r="G120" s="81">
        <v>13.0</v>
      </c>
      <c r="H120" s="81">
        <v>1.0</v>
      </c>
      <c r="I120" s="81">
        <v>0.0</v>
      </c>
    </row>
    <row r="121" ht="12.75" customHeight="1">
      <c r="A121" s="386">
        <f t="shared" ref="A121:A123" si="78">A120+1</f>
        <v>43949</v>
      </c>
      <c r="B121" s="89">
        <v>120.0</v>
      </c>
      <c r="C121" s="89">
        <v>121.98</v>
      </c>
      <c r="D121" s="89">
        <v>500.0</v>
      </c>
      <c r="E121" s="89">
        <v>0.0</v>
      </c>
      <c r="F121" s="144">
        <f t="shared" si="77"/>
        <v>741.98</v>
      </c>
      <c r="G121" s="81">
        <v>15.0</v>
      </c>
      <c r="H121" s="81">
        <v>3.0</v>
      </c>
      <c r="I121" s="81">
        <v>0.0</v>
      </c>
    </row>
    <row r="122" ht="12.75" customHeight="1">
      <c r="A122" s="386">
        <f t="shared" si="78"/>
        <v>43950</v>
      </c>
      <c r="B122" s="81">
        <v>0.0</v>
      </c>
      <c r="C122" s="81">
        <v>155.6</v>
      </c>
      <c r="D122" s="81">
        <v>0.0</v>
      </c>
      <c r="E122" s="81">
        <v>50.0</v>
      </c>
      <c r="F122" s="60">
        <f t="shared" si="77"/>
        <v>205.6</v>
      </c>
      <c r="G122" s="81">
        <v>5.0</v>
      </c>
      <c r="H122" s="81">
        <v>4.0</v>
      </c>
      <c r="I122" s="83">
        <v>50.0</v>
      </c>
    </row>
    <row r="123" ht="12.75" customHeight="1">
      <c r="A123" s="386">
        <f t="shared" si="78"/>
        <v>43951</v>
      </c>
      <c r="B123" s="81">
        <v>140.0</v>
      </c>
      <c r="C123" s="81">
        <v>81.32</v>
      </c>
      <c r="D123" s="81">
        <v>920.0</v>
      </c>
      <c r="E123" s="81">
        <v>90.0</v>
      </c>
      <c r="F123" s="60">
        <f t="shared" si="77"/>
        <v>1231.32</v>
      </c>
      <c r="G123" s="81">
        <v>22.0</v>
      </c>
      <c r="H123" s="81">
        <v>2.0</v>
      </c>
      <c r="I123" s="83">
        <v>100.0</v>
      </c>
    </row>
    <row r="124" ht="12.75" customHeight="1">
      <c r="A124" s="399"/>
      <c r="B124" s="91">
        <f t="shared" ref="B124:I124" si="79">SUM(B120:B123)</f>
        <v>260</v>
      </c>
      <c r="C124" s="91">
        <f t="shared" si="79"/>
        <v>399.56</v>
      </c>
      <c r="D124" s="91">
        <f t="shared" si="79"/>
        <v>2150</v>
      </c>
      <c r="E124" s="91">
        <f t="shared" si="79"/>
        <v>140</v>
      </c>
      <c r="F124" s="91">
        <f t="shared" si="79"/>
        <v>2949.56</v>
      </c>
      <c r="G124" s="128">
        <f t="shared" si="79"/>
        <v>55</v>
      </c>
      <c r="H124" s="128">
        <f t="shared" si="79"/>
        <v>10</v>
      </c>
      <c r="I124" s="145">
        <f t="shared" si="79"/>
        <v>150</v>
      </c>
    </row>
    <row r="125" ht="12.75" customHeight="1">
      <c r="A125" s="400"/>
      <c r="B125" s="74"/>
      <c r="C125" s="74"/>
      <c r="D125" s="74"/>
      <c r="E125" s="74"/>
      <c r="F125" s="74"/>
      <c r="G125" s="75"/>
      <c r="H125" s="75"/>
      <c r="I125" s="74"/>
    </row>
    <row r="126" ht="12.75" customHeight="1">
      <c r="A126" s="129">
        <v>43952.0</v>
      </c>
      <c r="B126" s="138"/>
      <c r="C126" s="138"/>
      <c r="D126" s="138"/>
      <c r="E126" s="138"/>
      <c r="F126" s="85">
        <f>SUM(B126:E126)</f>
        <v>0</v>
      </c>
      <c r="G126" s="84"/>
      <c r="H126" s="84"/>
      <c r="I126" s="86"/>
    </row>
    <row r="127" ht="12.75" customHeight="1">
      <c r="A127" s="381"/>
      <c r="B127" s="68">
        <f t="shared" ref="B127:I127" si="80">SUM(B126)</f>
        <v>0</v>
      </c>
      <c r="C127" s="68">
        <f t="shared" si="80"/>
        <v>0</v>
      </c>
      <c r="D127" s="68">
        <f t="shared" si="80"/>
        <v>0</v>
      </c>
      <c r="E127" s="68">
        <f t="shared" si="80"/>
        <v>0</v>
      </c>
      <c r="F127" s="68">
        <f t="shared" si="80"/>
        <v>0</v>
      </c>
      <c r="G127" s="68">
        <f t="shared" si="80"/>
        <v>0</v>
      </c>
      <c r="H127" s="68">
        <f t="shared" si="80"/>
        <v>0</v>
      </c>
      <c r="I127" s="68">
        <f t="shared" si="80"/>
        <v>0</v>
      </c>
    </row>
    <row r="128" ht="12.75" customHeight="1">
      <c r="A128" s="137"/>
      <c r="B128" s="75"/>
      <c r="C128" s="75"/>
      <c r="D128" s="75"/>
      <c r="E128" s="75"/>
      <c r="F128" s="75"/>
      <c r="G128" s="75"/>
      <c r="H128" s="75"/>
      <c r="I128" s="75"/>
    </row>
    <row r="129" ht="12.75" customHeight="1">
      <c r="A129" s="129">
        <f>A126+3</f>
        <v>43955</v>
      </c>
      <c r="B129" s="59">
        <v>0.0</v>
      </c>
      <c r="C129" s="59">
        <v>121.98</v>
      </c>
      <c r="D129" s="59">
        <v>480.0</v>
      </c>
      <c r="E129" s="59">
        <v>160.0</v>
      </c>
      <c r="F129" s="60">
        <f t="shared" ref="F129:F133" si="81">SUM(B129:E129)</f>
        <v>761.98</v>
      </c>
      <c r="G129" s="81">
        <v>14.0</v>
      </c>
      <c r="H129" s="81">
        <v>3.0</v>
      </c>
      <c r="I129" s="83">
        <v>140.0</v>
      </c>
    </row>
    <row r="130" ht="12.75" customHeight="1">
      <c r="A130" s="129">
        <f t="shared" ref="A130:A133" si="82">A129+1</f>
        <v>43956</v>
      </c>
      <c r="B130" s="59">
        <v>0.0</v>
      </c>
      <c r="C130" s="59">
        <v>70.69</v>
      </c>
      <c r="D130" s="59">
        <v>440.0</v>
      </c>
      <c r="E130" s="59">
        <v>100.0</v>
      </c>
      <c r="F130" s="60">
        <f t="shared" si="81"/>
        <v>610.69</v>
      </c>
      <c r="G130" s="81">
        <v>11.0</v>
      </c>
      <c r="H130" s="81">
        <v>1.0</v>
      </c>
      <c r="I130" s="83">
        <v>100.0</v>
      </c>
    </row>
    <row r="131" ht="12.75" customHeight="1">
      <c r="A131" s="129">
        <f t="shared" si="82"/>
        <v>43957</v>
      </c>
      <c r="B131" s="59">
        <v>50.0</v>
      </c>
      <c r="C131" s="59">
        <v>79.56</v>
      </c>
      <c r="D131" s="59">
        <v>340.0</v>
      </c>
      <c r="E131" s="59">
        <v>0.0</v>
      </c>
      <c r="F131" s="60">
        <f t="shared" si="81"/>
        <v>469.56</v>
      </c>
      <c r="G131" s="81">
        <v>9.0</v>
      </c>
      <c r="H131" s="81">
        <v>2.0</v>
      </c>
      <c r="I131" s="83">
        <v>0.0</v>
      </c>
    </row>
    <row r="132" ht="12.75" customHeight="1">
      <c r="A132" s="129">
        <f t="shared" si="82"/>
        <v>43958</v>
      </c>
      <c r="B132" s="59">
        <v>230.0</v>
      </c>
      <c r="C132" s="59">
        <v>121.98</v>
      </c>
      <c r="D132" s="59">
        <v>1080.0</v>
      </c>
      <c r="E132" s="59">
        <v>150.0</v>
      </c>
      <c r="F132" s="60">
        <f t="shared" si="81"/>
        <v>1581.98</v>
      </c>
      <c r="G132" s="81">
        <v>30.0</v>
      </c>
      <c r="H132" s="81">
        <v>3.0</v>
      </c>
      <c r="I132" s="83">
        <v>150.0</v>
      </c>
    </row>
    <row r="133" ht="12.75" customHeight="1">
      <c r="A133" s="129">
        <f t="shared" si="82"/>
        <v>43959</v>
      </c>
      <c r="B133" s="138"/>
      <c r="C133" s="138"/>
      <c r="D133" s="138"/>
      <c r="E133" s="138"/>
      <c r="F133" s="85">
        <f t="shared" si="81"/>
        <v>0</v>
      </c>
      <c r="G133" s="84"/>
      <c r="H133" s="84"/>
      <c r="I133" s="86"/>
    </row>
    <row r="134" ht="12.75" customHeight="1">
      <c r="A134" s="381"/>
      <c r="B134" s="68">
        <f t="shared" ref="B134:I134" si="83">SUM(B129:B133)</f>
        <v>280</v>
      </c>
      <c r="C134" s="68">
        <f t="shared" si="83"/>
        <v>394.21</v>
      </c>
      <c r="D134" s="68">
        <f t="shared" si="83"/>
        <v>2340</v>
      </c>
      <c r="E134" s="91">
        <f t="shared" si="83"/>
        <v>410</v>
      </c>
      <c r="F134" s="68">
        <f t="shared" si="83"/>
        <v>3424.21</v>
      </c>
      <c r="G134" s="70">
        <f t="shared" si="83"/>
        <v>64</v>
      </c>
      <c r="H134" s="70">
        <f t="shared" si="83"/>
        <v>9</v>
      </c>
      <c r="I134" s="91">
        <f t="shared" si="83"/>
        <v>390</v>
      </c>
    </row>
    <row r="135" ht="12.75" customHeight="1">
      <c r="A135" s="137"/>
      <c r="B135" s="75"/>
      <c r="C135" s="75"/>
      <c r="D135" s="75"/>
      <c r="E135" s="74"/>
      <c r="F135" s="75"/>
      <c r="G135" s="76"/>
      <c r="H135" s="76"/>
      <c r="I135" s="74"/>
    </row>
    <row r="136" ht="12.75" customHeight="1">
      <c r="A136" s="123">
        <f>A133+3</f>
        <v>43962</v>
      </c>
      <c r="B136" s="112">
        <v>0.0</v>
      </c>
      <c r="C136" s="59">
        <v>42.06</v>
      </c>
      <c r="D136" s="59">
        <v>1320.0</v>
      </c>
      <c r="E136" s="59">
        <v>100.0</v>
      </c>
      <c r="F136" s="60">
        <f t="shared" ref="F136:F140" si="84">SUM(B136:E136)</f>
        <v>1462.06</v>
      </c>
      <c r="G136" s="59">
        <v>23.0</v>
      </c>
      <c r="H136" s="59">
        <v>1.0</v>
      </c>
      <c r="I136" s="61">
        <v>100.0</v>
      </c>
    </row>
    <row r="137" ht="12.75" customHeight="1">
      <c r="A137" s="123">
        <f t="shared" ref="A137:A139" si="85">A136+1</f>
        <v>43963</v>
      </c>
      <c r="B137" s="81">
        <v>0.0</v>
      </c>
      <c r="C137" s="81">
        <v>40.66</v>
      </c>
      <c r="D137" s="81">
        <v>1180.0</v>
      </c>
      <c r="E137" s="81">
        <v>120.0</v>
      </c>
      <c r="F137" s="60">
        <f t="shared" si="84"/>
        <v>1340.66</v>
      </c>
      <c r="G137" s="81">
        <v>25.0</v>
      </c>
      <c r="H137" s="81">
        <v>1.0</v>
      </c>
      <c r="I137" s="83">
        <v>100.0</v>
      </c>
    </row>
    <row r="138" ht="12.75" customHeight="1">
      <c r="A138" s="123">
        <f t="shared" si="85"/>
        <v>43964</v>
      </c>
      <c r="B138" s="81">
        <v>100.0</v>
      </c>
      <c r="C138" s="81">
        <v>118.46</v>
      </c>
      <c r="D138" s="81">
        <v>690.0</v>
      </c>
      <c r="E138" s="81">
        <v>100.0</v>
      </c>
      <c r="F138" s="60">
        <f t="shared" si="84"/>
        <v>1008.46</v>
      </c>
      <c r="G138" s="81">
        <v>20.0</v>
      </c>
      <c r="H138" s="81">
        <v>3.0</v>
      </c>
      <c r="I138" s="83">
        <v>100.0</v>
      </c>
    </row>
    <row r="139" ht="12.75" customHeight="1">
      <c r="A139" s="123">
        <f t="shared" si="85"/>
        <v>43965</v>
      </c>
      <c r="B139" s="81">
        <v>190.0</v>
      </c>
      <c r="C139" s="81">
        <v>81.32</v>
      </c>
      <c r="D139" s="81">
        <v>1430.0</v>
      </c>
      <c r="E139" s="81">
        <v>150.0</v>
      </c>
      <c r="F139" s="60">
        <f t="shared" si="84"/>
        <v>1851.32</v>
      </c>
      <c r="G139" s="59">
        <v>32.0</v>
      </c>
      <c r="H139" s="59">
        <v>2.0</v>
      </c>
      <c r="I139" s="61">
        <v>150.0</v>
      </c>
    </row>
    <row r="140" ht="12.75" customHeight="1">
      <c r="A140" s="123">
        <f>A137+3</f>
        <v>43966</v>
      </c>
      <c r="B140" s="81">
        <v>0.0</v>
      </c>
      <c r="C140" s="81">
        <v>222.67</v>
      </c>
      <c r="D140" s="81">
        <v>820.0</v>
      </c>
      <c r="E140" s="81">
        <v>240.0</v>
      </c>
      <c r="F140" s="60">
        <f t="shared" si="84"/>
        <v>1282.67</v>
      </c>
      <c r="G140" s="81">
        <v>21.0</v>
      </c>
      <c r="H140" s="81">
        <v>5.0</v>
      </c>
      <c r="I140" s="83">
        <v>240.0</v>
      </c>
    </row>
    <row r="141" ht="12.75" customHeight="1">
      <c r="A141" s="395"/>
      <c r="B141" s="68">
        <f t="shared" ref="B141:I141" si="86">SUM(B136:B140)</f>
        <v>290</v>
      </c>
      <c r="C141" s="68">
        <f t="shared" si="86"/>
        <v>505.17</v>
      </c>
      <c r="D141" s="68">
        <f t="shared" si="86"/>
        <v>5440</v>
      </c>
      <c r="E141" s="68">
        <f t="shared" si="86"/>
        <v>710</v>
      </c>
      <c r="F141" s="68">
        <f t="shared" si="86"/>
        <v>6945.17</v>
      </c>
      <c r="G141" s="147">
        <f t="shared" si="86"/>
        <v>121</v>
      </c>
      <c r="H141" s="147">
        <f t="shared" si="86"/>
        <v>12</v>
      </c>
      <c r="I141" s="91">
        <f t="shared" si="86"/>
        <v>690</v>
      </c>
    </row>
    <row r="142" ht="12.75" customHeight="1">
      <c r="A142" s="401"/>
      <c r="B142" s="75"/>
      <c r="C142" s="75"/>
      <c r="D142" s="75"/>
      <c r="E142" s="75"/>
      <c r="F142" s="75"/>
      <c r="G142" s="75"/>
      <c r="H142" s="75"/>
      <c r="I142" s="74"/>
    </row>
    <row r="143" ht="12.75" customHeight="1">
      <c r="A143" s="123">
        <f>A140+3</f>
        <v>43969</v>
      </c>
      <c r="B143" s="112">
        <v>100.0</v>
      </c>
      <c r="C143" s="59">
        <v>344.65</v>
      </c>
      <c r="D143" s="59">
        <v>1160.0</v>
      </c>
      <c r="E143" s="59">
        <v>50.0</v>
      </c>
      <c r="F143" s="60">
        <f t="shared" ref="F143:F147" si="87">SUM(B143:E143)</f>
        <v>1654.65</v>
      </c>
      <c r="G143" s="124">
        <v>31.0</v>
      </c>
      <c r="H143" s="124">
        <v>8.0</v>
      </c>
      <c r="I143" s="149">
        <v>60.0</v>
      </c>
    </row>
    <row r="144" ht="12.75" customHeight="1">
      <c r="A144" s="123">
        <f t="shared" ref="A144:A147" si="88">A143+1</f>
        <v>43970</v>
      </c>
      <c r="B144" s="59">
        <v>140.0</v>
      </c>
      <c r="C144" s="59">
        <v>121.98</v>
      </c>
      <c r="D144" s="59">
        <v>1390.0</v>
      </c>
      <c r="E144" s="59">
        <v>90.0</v>
      </c>
      <c r="F144" s="60">
        <f t="shared" si="87"/>
        <v>1741.98</v>
      </c>
      <c r="G144" s="124">
        <v>31.0</v>
      </c>
      <c r="H144" s="124">
        <v>3.0</v>
      </c>
      <c r="I144" s="149">
        <v>100.0</v>
      </c>
    </row>
    <row r="145" ht="12.75" customHeight="1">
      <c r="A145" s="123">
        <f t="shared" si="88"/>
        <v>43971</v>
      </c>
      <c r="B145" s="59">
        <v>0.0</v>
      </c>
      <c r="C145" s="59">
        <v>79.56</v>
      </c>
      <c r="D145" s="59">
        <v>500.0</v>
      </c>
      <c r="E145" s="59">
        <v>100.0</v>
      </c>
      <c r="F145" s="141">
        <f t="shared" si="87"/>
        <v>679.56</v>
      </c>
      <c r="G145" s="124">
        <v>14.0</v>
      </c>
      <c r="H145" s="124">
        <v>2.0</v>
      </c>
      <c r="I145" s="149">
        <v>100.0</v>
      </c>
    </row>
    <row r="146" ht="12.75" customHeight="1">
      <c r="A146" s="123">
        <f t="shared" si="88"/>
        <v>43972</v>
      </c>
      <c r="B146" s="138"/>
      <c r="C146" s="138"/>
      <c r="D146" s="138"/>
      <c r="E146" s="138"/>
      <c r="F146" s="151">
        <f t="shared" si="87"/>
        <v>0</v>
      </c>
      <c r="G146" s="119"/>
      <c r="H146" s="119"/>
      <c r="I146" s="152"/>
    </row>
    <row r="147" ht="12.75" customHeight="1">
      <c r="A147" s="123">
        <f t="shared" si="88"/>
        <v>43973</v>
      </c>
      <c r="B147" s="59">
        <v>190.0</v>
      </c>
      <c r="C147" s="59">
        <v>81.32</v>
      </c>
      <c r="D147" s="59">
        <v>920.0</v>
      </c>
      <c r="E147" s="59">
        <v>90.0</v>
      </c>
      <c r="F147" s="141">
        <f t="shared" si="87"/>
        <v>1281.32</v>
      </c>
      <c r="G147" s="124">
        <v>20.0</v>
      </c>
      <c r="H147" s="124">
        <v>2.0</v>
      </c>
      <c r="I147" s="149">
        <v>100.0</v>
      </c>
    </row>
    <row r="148" ht="12.75" customHeight="1">
      <c r="A148" s="395"/>
      <c r="B148" s="68">
        <f t="shared" ref="B148:I148" si="89">SUM(B143:B147)</f>
        <v>430</v>
      </c>
      <c r="C148" s="68">
        <f t="shared" si="89"/>
        <v>627.51</v>
      </c>
      <c r="D148" s="68">
        <f t="shared" si="89"/>
        <v>3970</v>
      </c>
      <c r="E148" s="68">
        <f t="shared" si="89"/>
        <v>330</v>
      </c>
      <c r="F148" s="68">
        <f t="shared" si="89"/>
        <v>5357.51</v>
      </c>
      <c r="G148" s="147">
        <f t="shared" si="89"/>
        <v>96</v>
      </c>
      <c r="H148" s="147">
        <f t="shared" si="89"/>
        <v>15</v>
      </c>
      <c r="I148" s="91">
        <f t="shared" si="89"/>
        <v>360</v>
      </c>
    </row>
    <row r="149" ht="12.75" customHeight="1">
      <c r="A149" s="401"/>
      <c r="B149" s="75"/>
      <c r="C149" s="75"/>
      <c r="D149" s="75"/>
      <c r="E149" s="75"/>
      <c r="F149" s="75"/>
      <c r="G149" s="75"/>
      <c r="H149" s="75"/>
      <c r="I149" s="74"/>
    </row>
    <row r="150" ht="12.75" customHeight="1">
      <c r="A150" s="123">
        <f>A147+3</f>
        <v>43976</v>
      </c>
      <c r="B150" s="112">
        <v>240.0</v>
      </c>
      <c r="C150" s="59">
        <v>121.98</v>
      </c>
      <c r="D150" s="59">
        <v>1600.0</v>
      </c>
      <c r="E150" s="59">
        <v>170.0</v>
      </c>
      <c r="F150" s="141">
        <f t="shared" ref="F150:F154" si="90">SUM(B150:E150)</f>
        <v>2131.98</v>
      </c>
      <c r="G150" s="124">
        <v>37.0</v>
      </c>
      <c r="H150" s="124">
        <v>3.0</v>
      </c>
      <c r="I150" s="149">
        <v>160.0</v>
      </c>
    </row>
    <row r="151" ht="12.75" customHeight="1">
      <c r="A151" s="123">
        <f t="shared" ref="A151:A154" si="91">A150+1</f>
        <v>43977</v>
      </c>
      <c r="B151" s="112">
        <v>0.0</v>
      </c>
      <c r="C151" s="59">
        <v>344.68</v>
      </c>
      <c r="D151" s="59">
        <v>1160.0</v>
      </c>
      <c r="E151" s="59">
        <v>50.0</v>
      </c>
      <c r="F151" s="141">
        <f t="shared" si="90"/>
        <v>1554.68</v>
      </c>
      <c r="G151" s="124">
        <v>30.0</v>
      </c>
      <c r="H151" s="124">
        <v>7.0</v>
      </c>
      <c r="I151" s="149">
        <v>40.0</v>
      </c>
    </row>
    <row r="152" ht="12.75" customHeight="1">
      <c r="A152" s="123">
        <f t="shared" si="91"/>
        <v>43978</v>
      </c>
      <c r="B152" s="112">
        <v>260.0</v>
      </c>
      <c r="C152" s="59">
        <v>226.68</v>
      </c>
      <c r="D152" s="59">
        <v>510.0</v>
      </c>
      <c r="E152" s="59">
        <v>50.0</v>
      </c>
      <c r="F152" s="141">
        <f t="shared" si="90"/>
        <v>1046.68</v>
      </c>
      <c r="G152" s="124">
        <v>21.0</v>
      </c>
      <c r="H152" s="124">
        <v>7.0</v>
      </c>
      <c r="I152" s="149">
        <v>50.0</v>
      </c>
    </row>
    <row r="153" ht="12.75" customHeight="1">
      <c r="A153" s="123">
        <f t="shared" si="91"/>
        <v>43979</v>
      </c>
      <c r="B153" s="112">
        <v>260.0</v>
      </c>
      <c r="C153" s="59">
        <v>304.02</v>
      </c>
      <c r="D153" s="59">
        <v>1270.0</v>
      </c>
      <c r="E153" s="59">
        <v>50.0</v>
      </c>
      <c r="F153" s="141">
        <f t="shared" si="90"/>
        <v>1884.02</v>
      </c>
      <c r="G153" s="124">
        <v>34.0</v>
      </c>
      <c r="H153" s="124">
        <v>6.0</v>
      </c>
      <c r="I153" s="149">
        <v>50.0</v>
      </c>
    </row>
    <row r="154" ht="12.75" customHeight="1">
      <c r="A154" s="123">
        <f t="shared" si="91"/>
        <v>43980</v>
      </c>
      <c r="B154" s="112">
        <v>0.0</v>
      </c>
      <c r="C154" s="59">
        <v>192.67</v>
      </c>
      <c r="D154" s="59">
        <v>1130.0</v>
      </c>
      <c r="E154" s="59">
        <v>0.0</v>
      </c>
      <c r="F154" s="141">
        <f t="shared" si="90"/>
        <v>1322.67</v>
      </c>
      <c r="G154" s="124">
        <v>23.0</v>
      </c>
      <c r="H154" s="124">
        <v>4.0</v>
      </c>
      <c r="I154" s="149">
        <v>0.0</v>
      </c>
    </row>
    <row r="155" ht="12.75" customHeight="1">
      <c r="A155" s="395"/>
      <c r="B155" s="68">
        <f t="shared" ref="B155:I155" si="92">SUM(B150:B154)</f>
        <v>760</v>
      </c>
      <c r="C155" s="68">
        <f t="shared" si="92"/>
        <v>1190.03</v>
      </c>
      <c r="D155" s="68">
        <f t="shared" si="92"/>
        <v>5670</v>
      </c>
      <c r="E155" s="68">
        <f t="shared" si="92"/>
        <v>320</v>
      </c>
      <c r="F155" s="68">
        <f t="shared" si="92"/>
        <v>7940.03</v>
      </c>
      <c r="G155" s="147">
        <f t="shared" si="92"/>
        <v>145</v>
      </c>
      <c r="H155" s="147">
        <f t="shared" si="92"/>
        <v>27</v>
      </c>
      <c r="I155" s="91">
        <f t="shared" si="92"/>
        <v>300</v>
      </c>
    </row>
    <row r="156" ht="12.75" customHeight="1">
      <c r="A156" s="401"/>
      <c r="B156" s="75"/>
      <c r="C156" s="75"/>
      <c r="D156" s="75"/>
      <c r="E156" s="75"/>
      <c r="F156" s="75"/>
      <c r="G156" s="75"/>
      <c r="H156" s="75"/>
      <c r="I156" s="74"/>
    </row>
    <row r="157" ht="12.75" customHeight="1">
      <c r="A157" s="129">
        <v>43983.0</v>
      </c>
      <c r="B157" s="84"/>
      <c r="C157" s="84"/>
      <c r="D157" s="84"/>
      <c r="E157" s="84"/>
      <c r="F157" s="85">
        <f t="shared" ref="F157:F161" si="93">SUM(B157:E157)</f>
        <v>0</v>
      </c>
      <c r="G157" s="84"/>
      <c r="H157" s="84"/>
      <c r="I157" s="84"/>
    </row>
    <row r="158" ht="12.75" customHeight="1">
      <c r="A158" s="129">
        <f t="shared" ref="A158:A161" si="94">A157+1</f>
        <v>43984</v>
      </c>
      <c r="B158" s="81">
        <v>250.0</v>
      </c>
      <c r="C158" s="81">
        <v>162.64</v>
      </c>
      <c r="D158" s="81">
        <v>660.0</v>
      </c>
      <c r="E158" s="81">
        <v>50.0</v>
      </c>
      <c r="F158" s="60">
        <f t="shared" si="93"/>
        <v>1122.64</v>
      </c>
      <c r="G158" s="81">
        <v>21.0</v>
      </c>
      <c r="H158" s="81">
        <v>4.0</v>
      </c>
      <c r="I158" s="83">
        <v>50.0</v>
      </c>
    </row>
    <row r="159" ht="12.75" customHeight="1">
      <c r="A159" s="129">
        <f t="shared" si="94"/>
        <v>43985</v>
      </c>
      <c r="B159" s="81">
        <v>100.0</v>
      </c>
      <c r="C159" s="81">
        <v>119.86</v>
      </c>
      <c r="D159" s="81">
        <v>790.0</v>
      </c>
      <c r="E159" s="81">
        <v>0.0</v>
      </c>
      <c r="F159" s="60">
        <f t="shared" si="93"/>
        <v>1009.86</v>
      </c>
      <c r="G159" s="81">
        <v>18.0</v>
      </c>
      <c r="H159" s="81">
        <v>3.0</v>
      </c>
      <c r="I159" s="83">
        <v>0.0</v>
      </c>
    </row>
    <row r="160" ht="12.75" customHeight="1">
      <c r="A160" s="129">
        <f t="shared" si="94"/>
        <v>43986</v>
      </c>
      <c r="B160" s="81">
        <v>150.0</v>
      </c>
      <c r="C160" s="81">
        <v>397.37</v>
      </c>
      <c r="D160" s="81">
        <v>1150.0</v>
      </c>
      <c r="E160" s="81">
        <v>50.0</v>
      </c>
      <c r="F160" s="60">
        <f t="shared" si="93"/>
        <v>1747.37</v>
      </c>
      <c r="G160" s="81">
        <v>35.0</v>
      </c>
      <c r="H160" s="81">
        <v>9.0</v>
      </c>
      <c r="I160" s="83">
        <v>40.0</v>
      </c>
    </row>
    <row r="161" ht="12.75" customHeight="1">
      <c r="A161" s="129">
        <f t="shared" si="94"/>
        <v>43987</v>
      </c>
      <c r="B161" s="81">
        <v>100.0</v>
      </c>
      <c r="C161" s="81">
        <v>192.67</v>
      </c>
      <c r="D161" s="81">
        <v>1030.0</v>
      </c>
      <c r="E161" s="81">
        <v>0.0</v>
      </c>
      <c r="F161" s="60">
        <f t="shared" si="93"/>
        <v>1322.67</v>
      </c>
      <c r="G161" s="81">
        <v>21.0</v>
      </c>
      <c r="H161" s="81">
        <v>4.0</v>
      </c>
      <c r="I161" s="83">
        <v>0.0</v>
      </c>
    </row>
    <row r="162" ht="12.75" customHeight="1">
      <c r="A162" s="381"/>
      <c r="B162" s="68">
        <f t="shared" ref="B162:I162" si="95">SUM(B157:B161)</f>
        <v>600</v>
      </c>
      <c r="C162" s="68">
        <f t="shared" si="95"/>
        <v>872.54</v>
      </c>
      <c r="D162" s="68">
        <f t="shared" si="95"/>
        <v>3630</v>
      </c>
      <c r="E162" s="68">
        <f t="shared" si="95"/>
        <v>100</v>
      </c>
      <c r="F162" s="68">
        <f t="shared" si="95"/>
        <v>5202.54</v>
      </c>
      <c r="G162" s="70">
        <f t="shared" si="95"/>
        <v>95</v>
      </c>
      <c r="H162" s="70">
        <f t="shared" si="95"/>
        <v>20</v>
      </c>
      <c r="I162" s="91">
        <f t="shared" si="95"/>
        <v>90</v>
      </c>
    </row>
    <row r="163" ht="12.75" customHeight="1">
      <c r="A163" s="137"/>
      <c r="B163" s="75"/>
      <c r="C163" s="75"/>
      <c r="D163" s="75"/>
      <c r="E163" s="75"/>
      <c r="F163" s="75"/>
      <c r="G163" s="76"/>
      <c r="H163" s="76"/>
      <c r="I163" s="74"/>
    </row>
    <row r="164" ht="12.75" customHeight="1">
      <c r="A164" s="129">
        <f>A161+3</f>
        <v>43990</v>
      </c>
      <c r="B164" s="81">
        <v>150.0</v>
      </c>
      <c r="C164" s="81">
        <v>81.32</v>
      </c>
      <c r="D164" s="81">
        <v>1070.0</v>
      </c>
      <c r="E164" s="81">
        <v>50.0</v>
      </c>
      <c r="F164" s="60">
        <f t="shared" ref="F164:F168" si="96">SUM(B164:E164)</f>
        <v>1351.32</v>
      </c>
      <c r="G164" s="81">
        <v>28.0</v>
      </c>
      <c r="H164" s="81">
        <v>2.0</v>
      </c>
      <c r="I164" s="83">
        <v>50.0</v>
      </c>
    </row>
    <row r="165" ht="12.75" customHeight="1">
      <c r="A165" s="129">
        <f t="shared" ref="A165:A168" si="97">A164+1</f>
        <v>43991</v>
      </c>
      <c r="B165" s="81">
        <v>90.0</v>
      </c>
      <c r="C165" s="81">
        <v>162.64</v>
      </c>
      <c r="D165" s="81">
        <v>820.0</v>
      </c>
      <c r="E165" s="81">
        <v>100.0</v>
      </c>
      <c r="F165" s="60">
        <f t="shared" si="96"/>
        <v>1172.64</v>
      </c>
      <c r="G165" s="81">
        <v>21.0</v>
      </c>
      <c r="H165" s="81">
        <v>4.0</v>
      </c>
      <c r="I165" s="83">
        <v>100.0</v>
      </c>
    </row>
    <row r="166" ht="12.75" customHeight="1">
      <c r="A166" s="129">
        <f t="shared" si="97"/>
        <v>43992</v>
      </c>
      <c r="B166" s="81">
        <v>170.0</v>
      </c>
      <c r="C166" s="81">
        <v>235.16</v>
      </c>
      <c r="D166" s="81">
        <v>790.0</v>
      </c>
      <c r="E166" s="81">
        <v>100.0</v>
      </c>
      <c r="F166" s="60">
        <f t="shared" si="96"/>
        <v>1295.16</v>
      </c>
      <c r="G166" s="81">
        <v>26.0</v>
      </c>
      <c r="H166" s="81">
        <v>6.0</v>
      </c>
      <c r="I166" s="83">
        <v>100.0</v>
      </c>
    </row>
    <row r="167" ht="12.75" customHeight="1">
      <c r="A167" s="129">
        <f t="shared" si="97"/>
        <v>43993</v>
      </c>
      <c r="B167" s="81">
        <v>180.0</v>
      </c>
      <c r="C167" s="81">
        <v>314.65</v>
      </c>
      <c r="D167" s="81">
        <v>910.0</v>
      </c>
      <c r="E167" s="81">
        <v>140.0</v>
      </c>
      <c r="F167" s="60">
        <f t="shared" si="96"/>
        <v>1544.65</v>
      </c>
      <c r="G167" s="81">
        <v>26.0</v>
      </c>
      <c r="H167" s="81">
        <v>7.0</v>
      </c>
      <c r="I167" s="83">
        <v>140.0</v>
      </c>
    </row>
    <row r="168" ht="12.75" customHeight="1">
      <c r="A168" s="129">
        <f t="shared" si="97"/>
        <v>43994</v>
      </c>
      <c r="B168" s="81">
        <v>180.0</v>
      </c>
      <c r="C168" s="81">
        <v>334.05</v>
      </c>
      <c r="D168" s="81">
        <v>850.0</v>
      </c>
      <c r="E168" s="81">
        <v>100.0</v>
      </c>
      <c r="F168" s="60">
        <f t="shared" si="96"/>
        <v>1464.05</v>
      </c>
      <c r="G168" s="81">
        <v>23.0</v>
      </c>
      <c r="H168" s="81">
        <v>6.0</v>
      </c>
      <c r="I168" s="83">
        <v>100.0</v>
      </c>
    </row>
    <row r="169" ht="12.75" customHeight="1">
      <c r="A169" s="381"/>
      <c r="B169" s="68">
        <f t="shared" ref="B169:I169" si="98">SUM(B164:B168)</f>
        <v>770</v>
      </c>
      <c r="C169" s="68">
        <f t="shared" si="98"/>
        <v>1127.82</v>
      </c>
      <c r="D169" s="68">
        <f t="shared" si="98"/>
        <v>4440</v>
      </c>
      <c r="E169" s="68">
        <f t="shared" si="98"/>
        <v>490</v>
      </c>
      <c r="F169" s="68">
        <f t="shared" si="98"/>
        <v>6827.82</v>
      </c>
      <c r="G169" s="70">
        <f t="shared" si="98"/>
        <v>124</v>
      </c>
      <c r="H169" s="70">
        <f t="shared" si="98"/>
        <v>25</v>
      </c>
      <c r="I169" s="91">
        <f t="shared" si="98"/>
        <v>490</v>
      </c>
    </row>
    <row r="170" ht="12.75" customHeight="1">
      <c r="A170" s="137"/>
      <c r="B170" s="92"/>
      <c r="C170" s="92"/>
      <c r="D170" s="92"/>
      <c r="E170" s="92"/>
      <c r="F170" s="75"/>
      <c r="G170" s="93"/>
      <c r="H170" s="93"/>
      <c r="I170" s="94"/>
    </row>
    <row r="171" ht="12.75" customHeight="1">
      <c r="A171" s="123">
        <f>A168+3</f>
        <v>43997</v>
      </c>
      <c r="B171" s="81">
        <v>0.0</v>
      </c>
      <c r="C171" s="81">
        <v>120.22</v>
      </c>
      <c r="D171" s="81">
        <v>1050.0</v>
      </c>
      <c r="E171" s="81">
        <v>0.0</v>
      </c>
      <c r="F171" s="60">
        <f t="shared" ref="F171:F175" si="99">SUM(B171:E171)</f>
        <v>1170.22</v>
      </c>
      <c r="G171" s="81">
        <v>20.0</v>
      </c>
      <c r="H171" s="81">
        <v>3.0</v>
      </c>
      <c r="I171" s="81">
        <v>0.0</v>
      </c>
    </row>
    <row r="172" ht="12.75" customHeight="1">
      <c r="A172" s="123">
        <f t="shared" ref="A172:A175" si="100">A171+1</f>
        <v>43998</v>
      </c>
      <c r="B172" s="81">
        <v>140.0</v>
      </c>
      <c r="C172" s="81">
        <v>245.36</v>
      </c>
      <c r="D172" s="81">
        <v>610.0</v>
      </c>
      <c r="E172" s="81">
        <v>50.0</v>
      </c>
      <c r="F172" s="60">
        <f t="shared" si="99"/>
        <v>1045.36</v>
      </c>
      <c r="G172" s="81">
        <v>20.0</v>
      </c>
      <c r="H172" s="81">
        <v>6.0</v>
      </c>
      <c r="I172" s="83">
        <v>50.0</v>
      </c>
    </row>
    <row r="173" ht="12.75" customHeight="1">
      <c r="A173" s="123">
        <f t="shared" si="100"/>
        <v>43999</v>
      </c>
      <c r="B173" s="81">
        <v>50.0</v>
      </c>
      <c r="C173" s="81">
        <v>226.29</v>
      </c>
      <c r="D173" s="81">
        <v>600.0</v>
      </c>
      <c r="E173" s="81">
        <v>150.0</v>
      </c>
      <c r="F173" s="60">
        <f t="shared" si="99"/>
        <v>1026.29</v>
      </c>
      <c r="G173" s="81">
        <v>19.0</v>
      </c>
      <c r="H173" s="81">
        <v>5.0</v>
      </c>
      <c r="I173" s="83">
        <v>150.0</v>
      </c>
    </row>
    <row r="174" ht="12.75" customHeight="1">
      <c r="A174" s="123">
        <f t="shared" si="100"/>
        <v>44000</v>
      </c>
      <c r="B174" s="81">
        <v>320.0</v>
      </c>
      <c r="C174" s="81">
        <v>81.32</v>
      </c>
      <c r="D174" s="81">
        <v>1230.0</v>
      </c>
      <c r="E174" s="81">
        <v>100.0</v>
      </c>
      <c r="F174" s="60">
        <f t="shared" si="99"/>
        <v>1731.32</v>
      </c>
      <c r="G174" s="81">
        <v>33.0</v>
      </c>
      <c r="H174" s="81">
        <v>2.0</v>
      </c>
      <c r="I174" s="83">
        <v>100.0</v>
      </c>
    </row>
    <row r="175" ht="12.75" customHeight="1">
      <c r="A175" s="123">
        <f t="shared" si="100"/>
        <v>44001</v>
      </c>
      <c r="B175" s="81">
        <v>360.0</v>
      </c>
      <c r="C175" s="81">
        <v>152.01</v>
      </c>
      <c r="D175" s="81">
        <v>900.0</v>
      </c>
      <c r="E175" s="81">
        <v>150.0</v>
      </c>
      <c r="F175" s="60">
        <f t="shared" si="99"/>
        <v>1562.01</v>
      </c>
      <c r="G175" s="81">
        <v>25.0</v>
      </c>
      <c r="H175" s="81">
        <v>3.0</v>
      </c>
      <c r="I175" s="83">
        <v>150.0</v>
      </c>
    </row>
    <row r="176" ht="12.75" customHeight="1">
      <c r="A176" s="395"/>
      <c r="B176" s="68">
        <f t="shared" ref="B176:I176" si="101">SUM(B171:B175)</f>
        <v>870</v>
      </c>
      <c r="C176" s="132">
        <f t="shared" si="101"/>
        <v>825.2</v>
      </c>
      <c r="D176" s="132">
        <f t="shared" si="101"/>
        <v>4390</v>
      </c>
      <c r="E176" s="132">
        <f t="shared" si="101"/>
        <v>450</v>
      </c>
      <c r="F176" s="132">
        <f t="shared" si="101"/>
        <v>6535.2</v>
      </c>
      <c r="G176" s="155">
        <f t="shared" si="101"/>
        <v>117</v>
      </c>
      <c r="H176" s="155">
        <f t="shared" si="101"/>
        <v>19</v>
      </c>
      <c r="I176" s="134">
        <f t="shared" si="101"/>
        <v>450</v>
      </c>
    </row>
    <row r="177" ht="12.75" customHeight="1">
      <c r="A177" s="401"/>
      <c r="B177" s="75"/>
      <c r="C177" s="136"/>
      <c r="D177" s="136"/>
      <c r="E177" s="136"/>
      <c r="F177" s="136"/>
      <c r="G177" s="136"/>
      <c r="H177" s="136"/>
      <c r="I177" s="137"/>
    </row>
    <row r="178" ht="12.75" customHeight="1">
      <c r="A178" s="123">
        <f>A175+3</f>
        <v>44004</v>
      </c>
      <c r="B178" s="81">
        <v>220.0</v>
      </c>
      <c r="C178" s="81">
        <v>233.33</v>
      </c>
      <c r="D178" s="81">
        <v>1520.0</v>
      </c>
      <c r="E178" s="81">
        <v>90.0</v>
      </c>
      <c r="F178" s="60">
        <f t="shared" ref="F178:F182" si="102">SUM(B178:E178)</f>
        <v>2063.33</v>
      </c>
      <c r="G178" s="81">
        <v>35.0</v>
      </c>
      <c r="H178" s="81">
        <v>5.0</v>
      </c>
      <c r="I178" s="81">
        <v>100.0</v>
      </c>
    </row>
    <row r="179" ht="12.75" customHeight="1">
      <c r="A179" s="123">
        <f t="shared" ref="A179:A182" si="103">A178+1</f>
        <v>44005</v>
      </c>
      <c r="B179" s="81">
        <v>90.0</v>
      </c>
      <c r="C179" s="81">
        <v>233.33</v>
      </c>
      <c r="D179" s="81">
        <v>800.0</v>
      </c>
      <c r="E179" s="81">
        <v>50.0</v>
      </c>
      <c r="F179" s="60">
        <f t="shared" si="102"/>
        <v>1173.33</v>
      </c>
      <c r="G179" s="81">
        <v>24.0</v>
      </c>
      <c r="H179" s="81">
        <v>5.0</v>
      </c>
      <c r="I179" s="81">
        <v>50.0</v>
      </c>
    </row>
    <row r="180" ht="12.75" customHeight="1">
      <c r="A180" s="123">
        <f t="shared" si="103"/>
        <v>44006</v>
      </c>
      <c r="B180" s="81">
        <v>0.0</v>
      </c>
      <c r="C180" s="81">
        <v>233.4</v>
      </c>
      <c r="D180" s="81">
        <v>780.0</v>
      </c>
      <c r="E180" s="81">
        <v>0.0</v>
      </c>
      <c r="F180" s="60">
        <f t="shared" si="102"/>
        <v>1013.4</v>
      </c>
      <c r="G180" s="81">
        <v>20.0</v>
      </c>
      <c r="H180" s="81">
        <v>6.0</v>
      </c>
      <c r="I180" s="81">
        <v>0.0</v>
      </c>
    </row>
    <row r="181" ht="12.75" customHeight="1">
      <c r="A181" s="123">
        <f t="shared" si="103"/>
        <v>44007</v>
      </c>
      <c r="B181" s="81">
        <v>100.0</v>
      </c>
      <c r="C181" s="81">
        <v>281.1</v>
      </c>
      <c r="D181" s="81">
        <v>1230.0</v>
      </c>
      <c r="E181" s="81">
        <v>80.0</v>
      </c>
      <c r="F181" s="60">
        <f t="shared" si="102"/>
        <v>1691.1</v>
      </c>
      <c r="G181" s="81">
        <v>35.0</v>
      </c>
      <c r="H181" s="81">
        <v>7.0</v>
      </c>
      <c r="I181" s="81">
        <v>80.0</v>
      </c>
    </row>
    <row r="182" ht="12.75" customHeight="1">
      <c r="A182" s="123">
        <f t="shared" si="103"/>
        <v>44008</v>
      </c>
      <c r="B182" s="81">
        <v>230.0</v>
      </c>
      <c r="C182" s="81">
        <v>192.67</v>
      </c>
      <c r="D182" s="81">
        <v>710.0</v>
      </c>
      <c r="E182" s="81">
        <v>240.0</v>
      </c>
      <c r="F182" s="60">
        <f t="shared" si="102"/>
        <v>1372.67</v>
      </c>
      <c r="G182" s="81">
        <v>22.0</v>
      </c>
      <c r="H182" s="81">
        <v>4.0</v>
      </c>
      <c r="I182" s="81">
        <v>240.0</v>
      </c>
    </row>
    <row r="183" ht="12.75" customHeight="1">
      <c r="A183" s="395"/>
      <c r="B183" s="68">
        <f t="shared" ref="B183:I183" si="104">SUM(B178:B182)</f>
        <v>640</v>
      </c>
      <c r="C183" s="68">
        <f t="shared" si="104"/>
        <v>1173.83</v>
      </c>
      <c r="D183" s="68">
        <f t="shared" si="104"/>
        <v>5040</v>
      </c>
      <c r="E183" s="68">
        <f t="shared" si="104"/>
        <v>460</v>
      </c>
      <c r="F183" s="68">
        <f t="shared" si="104"/>
        <v>7313.83</v>
      </c>
      <c r="G183" s="147">
        <f t="shared" si="104"/>
        <v>136</v>
      </c>
      <c r="H183" s="147">
        <f t="shared" si="104"/>
        <v>27</v>
      </c>
      <c r="I183" s="91">
        <f t="shared" si="104"/>
        <v>470</v>
      </c>
    </row>
    <row r="184" ht="12.75" customHeight="1">
      <c r="A184" s="401"/>
      <c r="B184" s="75"/>
      <c r="C184" s="75"/>
      <c r="D184" s="75"/>
      <c r="E184" s="75"/>
      <c r="F184" s="75"/>
      <c r="G184" s="75"/>
      <c r="H184" s="75"/>
      <c r="I184" s="74"/>
    </row>
    <row r="185" ht="12.75" customHeight="1">
      <c r="A185" s="123">
        <f>A182+3</f>
        <v>44011</v>
      </c>
      <c r="B185" s="81">
        <v>50.0</v>
      </c>
      <c r="C185" s="81">
        <v>162.64</v>
      </c>
      <c r="D185" s="81">
        <v>810.0</v>
      </c>
      <c r="E185" s="81">
        <v>50.0</v>
      </c>
      <c r="F185" s="60">
        <f t="shared" ref="F185:F186" si="105">SUM(B185:E185)</f>
        <v>1072.64</v>
      </c>
      <c r="G185" s="81">
        <v>21.0</v>
      </c>
      <c r="H185" s="81">
        <v>4.0</v>
      </c>
      <c r="I185" s="81">
        <v>50.0</v>
      </c>
    </row>
    <row r="186" ht="12.75" customHeight="1">
      <c r="A186" s="123">
        <f>A185+1</f>
        <v>44012</v>
      </c>
      <c r="B186" s="81">
        <v>200.0</v>
      </c>
      <c r="C186" s="81">
        <v>123.38</v>
      </c>
      <c r="D186" s="81">
        <v>500.0</v>
      </c>
      <c r="E186" s="81">
        <v>0.0</v>
      </c>
      <c r="F186" s="60">
        <f t="shared" si="105"/>
        <v>823.38</v>
      </c>
      <c r="G186" s="81">
        <v>18.0</v>
      </c>
      <c r="H186" s="81">
        <v>3.0</v>
      </c>
      <c r="I186" s="81">
        <v>0.0</v>
      </c>
    </row>
    <row r="187" ht="12.75" customHeight="1">
      <c r="A187" s="381"/>
      <c r="B187" s="91">
        <f t="shared" ref="B187:E187" si="106">SUM(B185:B186)</f>
        <v>250</v>
      </c>
      <c r="C187" s="91">
        <f t="shared" si="106"/>
        <v>286.02</v>
      </c>
      <c r="D187" s="91">
        <f t="shared" si="106"/>
        <v>1310</v>
      </c>
      <c r="E187" s="91">
        <f t="shared" si="106"/>
        <v>50</v>
      </c>
      <c r="F187" s="91">
        <f>SUM(F184:F185)</f>
        <v>1072.64</v>
      </c>
      <c r="G187" s="402">
        <f t="shared" ref="G187:I187" si="107">SUM(G185:G186)</f>
        <v>39</v>
      </c>
      <c r="H187" s="402">
        <f t="shared" si="107"/>
        <v>7</v>
      </c>
      <c r="I187" s="91">
        <f t="shared" si="107"/>
        <v>50</v>
      </c>
    </row>
    <row r="188" ht="12.75" customHeight="1">
      <c r="A188" s="137"/>
      <c r="B188" s="74"/>
      <c r="C188" s="74"/>
      <c r="D188" s="74"/>
      <c r="E188" s="74"/>
      <c r="F188" s="74"/>
      <c r="G188" s="74"/>
      <c r="H188" s="74"/>
      <c r="I188" s="74"/>
    </row>
    <row r="189" ht="12.75" customHeight="1">
      <c r="A189" s="129">
        <v>44013.0</v>
      </c>
      <c r="B189" s="59">
        <v>150.0</v>
      </c>
      <c r="C189" s="59">
        <v>118.46</v>
      </c>
      <c r="D189" s="59">
        <v>630.0</v>
      </c>
      <c r="E189" s="59">
        <v>220.0</v>
      </c>
      <c r="F189" s="156">
        <f t="shared" ref="F189:F191" si="108">SUM(B189:E189)</f>
        <v>1118.46</v>
      </c>
      <c r="G189" s="59">
        <v>22.0</v>
      </c>
      <c r="H189" s="59">
        <v>3.0</v>
      </c>
      <c r="I189" s="59">
        <v>230.0</v>
      </c>
    </row>
    <row r="190" ht="12.75" customHeight="1">
      <c r="A190" s="129">
        <f t="shared" ref="A190:A191" si="109">A189+1</f>
        <v>44014</v>
      </c>
      <c r="B190" s="59">
        <v>190.0</v>
      </c>
      <c r="C190" s="59">
        <v>263.36</v>
      </c>
      <c r="D190" s="59">
        <v>1590.0</v>
      </c>
      <c r="E190" s="59">
        <v>90.0</v>
      </c>
      <c r="F190" s="156">
        <f t="shared" si="108"/>
        <v>2133.36</v>
      </c>
      <c r="G190" s="59">
        <v>34.0</v>
      </c>
      <c r="H190" s="59">
        <v>5.0</v>
      </c>
      <c r="I190" s="59">
        <v>100.0</v>
      </c>
    </row>
    <row r="191" ht="12.75" customHeight="1">
      <c r="A191" s="129">
        <f t="shared" si="109"/>
        <v>44015</v>
      </c>
      <c r="B191" s="59">
        <v>180.0</v>
      </c>
      <c r="C191" s="59">
        <v>111.35</v>
      </c>
      <c r="D191" s="59">
        <v>1150.0</v>
      </c>
      <c r="E191" s="59">
        <v>190.0</v>
      </c>
      <c r="F191" s="156">
        <f t="shared" si="108"/>
        <v>1631.35</v>
      </c>
      <c r="G191" s="59">
        <v>26.0</v>
      </c>
      <c r="H191" s="59">
        <v>2.0</v>
      </c>
      <c r="I191" s="59">
        <v>200.0</v>
      </c>
    </row>
    <row r="192" ht="12.75" customHeight="1">
      <c r="A192" s="381"/>
      <c r="B192" s="68">
        <f t="shared" ref="B192:I192" si="110">SUM(B189:B191)</f>
        <v>520</v>
      </c>
      <c r="C192" s="68">
        <f t="shared" si="110"/>
        <v>493.17</v>
      </c>
      <c r="D192" s="68">
        <f t="shared" si="110"/>
        <v>3370</v>
      </c>
      <c r="E192" s="68">
        <f t="shared" si="110"/>
        <v>500</v>
      </c>
      <c r="F192" s="157">
        <f t="shared" si="110"/>
        <v>4883.17</v>
      </c>
      <c r="G192" s="70">
        <f t="shared" si="110"/>
        <v>82</v>
      </c>
      <c r="H192" s="70">
        <f t="shared" si="110"/>
        <v>10</v>
      </c>
      <c r="I192" s="91">
        <f t="shared" si="110"/>
        <v>530</v>
      </c>
    </row>
    <row r="193" ht="12.75" customHeight="1">
      <c r="A193" s="137"/>
      <c r="B193" s="92"/>
      <c r="C193" s="92"/>
      <c r="D193" s="92"/>
      <c r="E193" s="92"/>
      <c r="F193" s="75"/>
      <c r="G193" s="93"/>
      <c r="H193" s="93"/>
      <c r="I193" s="94"/>
    </row>
    <row r="194" ht="12.75" customHeight="1">
      <c r="A194" s="123">
        <f>A191+3</f>
        <v>44018</v>
      </c>
      <c r="B194" s="98">
        <v>330.0</v>
      </c>
      <c r="C194" s="99">
        <v>232.97</v>
      </c>
      <c r="D194" s="99">
        <v>1380.0</v>
      </c>
      <c r="E194" s="99">
        <v>50.0</v>
      </c>
      <c r="F194" s="158">
        <f t="shared" ref="F194:F198" si="111">SUM(B194:E194)</f>
        <v>1992.97</v>
      </c>
      <c r="G194" s="99">
        <v>37.0</v>
      </c>
      <c r="H194" s="99">
        <v>5.0</v>
      </c>
      <c r="I194" s="99">
        <v>50.0</v>
      </c>
    </row>
    <row r="195" ht="12.75" customHeight="1">
      <c r="A195" s="123">
        <f t="shared" ref="A195:A198" si="112">A194+1</f>
        <v>44019</v>
      </c>
      <c r="B195" s="112">
        <v>50.0</v>
      </c>
      <c r="C195" s="124">
        <v>204.7</v>
      </c>
      <c r="D195" s="124">
        <v>770.0</v>
      </c>
      <c r="E195" s="124">
        <v>100.0</v>
      </c>
      <c r="F195" s="158">
        <f t="shared" si="111"/>
        <v>1124.7</v>
      </c>
      <c r="G195" s="124">
        <v>22.0</v>
      </c>
      <c r="H195" s="124">
        <v>5.0</v>
      </c>
      <c r="I195" s="124">
        <v>100.0</v>
      </c>
    </row>
    <row r="196" ht="12.75" customHeight="1">
      <c r="A196" s="123">
        <f t="shared" si="112"/>
        <v>44020</v>
      </c>
      <c r="B196" s="112">
        <v>100.0</v>
      </c>
      <c r="C196" s="124">
        <v>197.66</v>
      </c>
      <c r="D196" s="124">
        <v>610.0</v>
      </c>
      <c r="E196" s="124">
        <v>100.0</v>
      </c>
      <c r="F196" s="158">
        <f t="shared" si="111"/>
        <v>1007.66</v>
      </c>
      <c r="G196" s="124">
        <v>20.0</v>
      </c>
      <c r="H196" s="124">
        <v>5.0</v>
      </c>
      <c r="I196" s="124">
        <v>100.0</v>
      </c>
    </row>
    <row r="197" ht="12.75" customHeight="1">
      <c r="A197" s="123">
        <f t="shared" si="112"/>
        <v>44021</v>
      </c>
      <c r="B197" s="112">
        <v>100.0</v>
      </c>
      <c r="C197" s="124">
        <v>386.74</v>
      </c>
      <c r="D197" s="124">
        <v>1290.0</v>
      </c>
      <c r="E197" s="124">
        <v>90.0</v>
      </c>
      <c r="F197" s="158">
        <f t="shared" si="111"/>
        <v>1866.74</v>
      </c>
      <c r="G197" s="124">
        <v>33.0</v>
      </c>
      <c r="H197" s="124">
        <v>8.0</v>
      </c>
      <c r="I197" s="124">
        <v>100.0</v>
      </c>
    </row>
    <row r="198" ht="12.75" customHeight="1">
      <c r="A198" s="123">
        <f t="shared" si="112"/>
        <v>44022</v>
      </c>
      <c r="B198" s="112">
        <v>180.0</v>
      </c>
      <c r="C198" s="124">
        <v>123.38</v>
      </c>
      <c r="D198" s="124">
        <v>660.0</v>
      </c>
      <c r="E198" s="124">
        <v>140.0</v>
      </c>
      <c r="F198" s="158">
        <f t="shared" si="111"/>
        <v>1103.38</v>
      </c>
      <c r="G198" s="124">
        <v>17.0</v>
      </c>
      <c r="H198" s="124">
        <v>3.0</v>
      </c>
      <c r="I198" s="124">
        <v>120.0</v>
      </c>
    </row>
    <row r="199" ht="12.75" customHeight="1">
      <c r="A199" s="381"/>
      <c r="B199" s="121">
        <f t="shared" ref="B199:I199" si="113">SUM(B194:B198)</f>
        <v>760</v>
      </c>
      <c r="C199" s="121">
        <f t="shared" si="113"/>
        <v>1145.45</v>
      </c>
      <c r="D199" s="121">
        <f t="shared" si="113"/>
        <v>4710</v>
      </c>
      <c r="E199" s="121">
        <f t="shared" si="113"/>
        <v>480</v>
      </c>
      <c r="F199" s="160">
        <f t="shared" si="113"/>
        <v>7095.45</v>
      </c>
      <c r="G199" s="70">
        <f t="shared" si="113"/>
        <v>129</v>
      </c>
      <c r="H199" s="70">
        <f t="shared" si="113"/>
        <v>26</v>
      </c>
      <c r="I199" s="91">
        <f t="shared" si="113"/>
        <v>470</v>
      </c>
    </row>
    <row r="200" ht="12.75" customHeight="1">
      <c r="A200" s="137"/>
      <c r="B200" s="75"/>
      <c r="C200" s="75"/>
      <c r="D200" s="75"/>
      <c r="E200" s="75"/>
      <c r="F200" s="75"/>
      <c r="G200" s="76"/>
      <c r="H200" s="76"/>
      <c r="I200" s="74"/>
    </row>
    <row r="201" ht="12.75" customHeight="1">
      <c r="A201" s="403">
        <f>A198+3</f>
        <v>44025</v>
      </c>
      <c r="B201" s="150"/>
      <c r="C201" s="150"/>
      <c r="D201" s="150"/>
      <c r="E201" s="150"/>
      <c r="F201" s="159"/>
      <c r="G201" s="150"/>
      <c r="H201" s="150"/>
      <c r="I201" s="150"/>
    </row>
    <row r="202" ht="12.75" customHeight="1">
      <c r="A202" s="404">
        <f t="shared" ref="A202:A205" si="114">A201+1</f>
        <v>44026</v>
      </c>
      <c r="B202" s="150"/>
      <c r="C202" s="150"/>
      <c r="D202" s="150"/>
      <c r="E202" s="150"/>
      <c r="F202" s="159"/>
      <c r="G202" s="150"/>
      <c r="H202" s="150"/>
      <c r="I202" s="150"/>
    </row>
    <row r="203" ht="12.75" customHeight="1">
      <c r="A203" s="404">
        <f t="shared" si="114"/>
        <v>44027</v>
      </c>
      <c r="B203" s="66">
        <v>0.0</v>
      </c>
      <c r="C203" s="112">
        <v>155.6</v>
      </c>
      <c r="D203" s="112">
        <v>850.0</v>
      </c>
      <c r="E203" s="112">
        <v>0.0</v>
      </c>
      <c r="F203" s="158">
        <f t="shared" ref="F203:F205" si="115">SUM(B203:E203)</f>
        <v>1005.6</v>
      </c>
      <c r="G203" s="112">
        <v>19.0</v>
      </c>
      <c r="H203" s="112">
        <v>4.0</v>
      </c>
      <c r="I203" s="112">
        <v>0.0</v>
      </c>
    </row>
    <row r="204" ht="12.75" customHeight="1">
      <c r="A204" s="404">
        <f t="shared" si="114"/>
        <v>44028</v>
      </c>
      <c r="B204" s="112">
        <v>280.0</v>
      </c>
      <c r="C204" s="112">
        <v>342.92</v>
      </c>
      <c r="D204" s="112">
        <v>910.0</v>
      </c>
      <c r="E204" s="112">
        <v>230.0</v>
      </c>
      <c r="F204" s="158">
        <f t="shared" si="115"/>
        <v>1762.92</v>
      </c>
      <c r="G204" s="112">
        <v>30.0</v>
      </c>
      <c r="H204" s="112">
        <v>7.0</v>
      </c>
      <c r="I204" s="112">
        <v>220.0</v>
      </c>
    </row>
    <row r="205" ht="12.75" customHeight="1">
      <c r="A205" s="405">
        <f t="shared" si="114"/>
        <v>44029</v>
      </c>
      <c r="B205" s="112">
        <v>50.0</v>
      </c>
      <c r="C205" s="112">
        <v>182.01</v>
      </c>
      <c r="D205" s="112">
        <v>760.0</v>
      </c>
      <c r="E205" s="112">
        <v>100.0</v>
      </c>
      <c r="F205" s="158">
        <f t="shared" si="115"/>
        <v>1092.01</v>
      </c>
      <c r="G205" s="112">
        <v>20.0</v>
      </c>
      <c r="H205" s="112">
        <v>5.0</v>
      </c>
      <c r="I205" s="112">
        <v>100.0</v>
      </c>
    </row>
    <row r="206" ht="12.75" customHeight="1">
      <c r="A206" s="381"/>
      <c r="B206" s="68">
        <f t="shared" ref="B206:I206" si="116">SUM(B201:B205)</f>
        <v>330</v>
      </c>
      <c r="C206" s="68">
        <f t="shared" si="116"/>
        <v>680.53</v>
      </c>
      <c r="D206" s="68">
        <f t="shared" si="116"/>
        <v>2520</v>
      </c>
      <c r="E206" s="68">
        <f t="shared" si="116"/>
        <v>330</v>
      </c>
      <c r="F206" s="157">
        <f t="shared" si="116"/>
        <v>3860.53</v>
      </c>
      <c r="G206" s="70">
        <f t="shared" si="116"/>
        <v>69</v>
      </c>
      <c r="H206" s="70">
        <f t="shared" si="116"/>
        <v>16</v>
      </c>
      <c r="I206" s="71">
        <f t="shared" si="116"/>
        <v>320</v>
      </c>
    </row>
    <row r="207" ht="12.75" customHeight="1">
      <c r="A207" s="137"/>
      <c r="B207" s="75"/>
      <c r="C207" s="75"/>
      <c r="D207" s="75"/>
      <c r="E207" s="75"/>
      <c r="F207" s="75"/>
      <c r="G207" s="76"/>
      <c r="H207" s="76"/>
      <c r="I207" s="77"/>
    </row>
    <row r="208" ht="12.75" customHeight="1">
      <c r="A208" s="404">
        <f>A205+3</f>
        <v>44032</v>
      </c>
      <c r="B208" s="112">
        <v>100.0</v>
      </c>
      <c r="C208" s="112">
        <v>152.01</v>
      </c>
      <c r="D208" s="112">
        <v>1200.0</v>
      </c>
      <c r="E208" s="112">
        <v>240.0</v>
      </c>
      <c r="F208" s="164">
        <f t="shared" ref="F208:F212" si="117">SUM(B208:E208)</f>
        <v>1692.01</v>
      </c>
      <c r="G208" s="124">
        <v>31.0</v>
      </c>
      <c r="H208" s="124">
        <v>3.0</v>
      </c>
      <c r="I208" s="112">
        <v>220.0</v>
      </c>
    </row>
    <row r="209" ht="12.75" customHeight="1">
      <c r="A209" s="404">
        <f t="shared" ref="A209:A212" si="118">A208+1</f>
        <v>44033</v>
      </c>
      <c r="B209" s="112">
        <v>150.0</v>
      </c>
      <c r="C209" s="112">
        <v>81.32</v>
      </c>
      <c r="D209" s="112">
        <v>580.0</v>
      </c>
      <c r="E209" s="112">
        <v>200.0</v>
      </c>
      <c r="F209" s="164">
        <f t="shared" si="117"/>
        <v>1011.32</v>
      </c>
      <c r="G209" s="124">
        <v>19.0</v>
      </c>
      <c r="H209" s="124">
        <v>2.0</v>
      </c>
      <c r="I209" s="112">
        <v>200.0</v>
      </c>
    </row>
    <row r="210" ht="12.75" customHeight="1">
      <c r="A210" s="404">
        <f t="shared" si="118"/>
        <v>44034</v>
      </c>
      <c r="B210" s="112">
        <v>390.0</v>
      </c>
      <c r="C210" s="112">
        <v>119.86</v>
      </c>
      <c r="D210" s="112">
        <v>270.0</v>
      </c>
      <c r="E210" s="112">
        <v>200.0</v>
      </c>
      <c r="F210" s="164">
        <f t="shared" si="117"/>
        <v>979.86</v>
      </c>
      <c r="G210" s="124">
        <v>19.0</v>
      </c>
      <c r="H210" s="124">
        <v>3.0</v>
      </c>
      <c r="I210" s="112">
        <v>220.0</v>
      </c>
    </row>
    <row r="211" ht="12.75" customHeight="1">
      <c r="A211" s="404">
        <f t="shared" si="118"/>
        <v>44035</v>
      </c>
      <c r="B211" s="112">
        <v>180.0</v>
      </c>
      <c r="C211" s="112">
        <v>152.01</v>
      </c>
      <c r="D211" s="112">
        <v>1020.0</v>
      </c>
      <c r="E211" s="112">
        <v>230.0</v>
      </c>
      <c r="F211" s="164">
        <f t="shared" si="117"/>
        <v>1582.01</v>
      </c>
      <c r="G211" s="124">
        <v>32.0</v>
      </c>
      <c r="H211" s="124">
        <v>3.0</v>
      </c>
      <c r="I211" s="112">
        <v>240.0</v>
      </c>
    </row>
    <row r="212" ht="12.75" customHeight="1">
      <c r="A212" s="404">
        <f t="shared" si="118"/>
        <v>44036</v>
      </c>
      <c r="B212" s="112">
        <v>140.0</v>
      </c>
      <c r="C212" s="112">
        <v>61.66</v>
      </c>
      <c r="D212" s="112">
        <v>1110.0</v>
      </c>
      <c r="E212" s="112">
        <v>140.0</v>
      </c>
      <c r="F212" s="164">
        <f t="shared" si="117"/>
        <v>1451.66</v>
      </c>
      <c r="G212" s="124">
        <v>25.0</v>
      </c>
      <c r="H212" s="124">
        <v>2.0</v>
      </c>
      <c r="I212" s="112">
        <v>150.0</v>
      </c>
    </row>
    <row r="213" ht="12.75" customHeight="1">
      <c r="A213" s="381"/>
      <c r="B213" s="68">
        <f t="shared" ref="B213:I213" si="119">SUM(B208:B212)</f>
        <v>960</v>
      </c>
      <c r="C213" s="68">
        <f t="shared" si="119"/>
        <v>566.86</v>
      </c>
      <c r="D213" s="68">
        <f t="shared" si="119"/>
        <v>4180</v>
      </c>
      <c r="E213" s="68">
        <f t="shared" si="119"/>
        <v>1010</v>
      </c>
      <c r="F213" s="157">
        <f t="shared" si="119"/>
        <v>6716.86</v>
      </c>
      <c r="G213" s="70">
        <f t="shared" si="119"/>
        <v>126</v>
      </c>
      <c r="H213" s="70">
        <f t="shared" si="119"/>
        <v>13</v>
      </c>
      <c r="I213" s="91">
        <f t="shared" si="119"/>
        <v>1030</v>
      </c>
    </row>
    <row r="214" ht="12.75" customHeight="1">
      <c r="A214" s="137"/>
      <c r="B214" s="75"/>
      <c r="C214" s="75"/>
      <c r="D214" s="75"/>
      <c r="E214" s="75"/>
      <c r="F214" s="75"/>
      <c r="G214" s="76"/>
      <c r="H214" s="76"/>
      <c r="I214" s="74"/>
    </row>
    <row r="215" ht="12.75" customHeight="1">
      <c r="A215" s="404">
        <f>A212+3</f>
        <v>44039</v>
      </c>
      <c r="B215" s="112">
        <v>190.0</v>
      </c>
      <c r="C215" s="112">
        <v>312.89</v>
      </c>
      <c r="D215" s="112">
        <v>1210.0</v>
      </c>
      <c r="E215" s="112">
        <v>190.0</v>
      </c>
      <c r="F215" s="164">
        <f t="shared" ref="F215:F219" si="120">SUM(B215:E215)</f>
        <v>1902.89</v>
      </c>
      <c r="G215" s="124">
        <v>33.0</v>
      </c>
      <c r="H215" s="124">
        <v>7.0</v>
      </c>
      <c r="I215" s="112">
        <v>200.0</v>
      </c>
    </row>
    <row r="216" ht="12.75" customHeight="1">
      <c r="A216" s="404">
        <f t="shared" ref="A216:A219" si="121">A215+1</f>
        <v>44040</v>
      </c>
      <c r="B216" s="112">
        <v>140.0</v>
      </c>
      <c r="C216" s="112">
        <v>233.33</v>
      </c>
      <c r="D216" s="112">
        <v>930.0</v>
      </c>
      <c r="E216" s="112">
        <v>150.0</v>
      </c>
      <c r="F216" s="164">
        <f t="shared" si="120"/>
        <v>1453.33</v>
      </c>
      <c r="G216" s="124">
        <v>27.0</v>
      </c>
      <c r="H216" s="124">
        <v>5.0</v>
      </c>
      <c r="I216" s="112">
        <v>150.0</v>
      </c>
    </row>
    <row r="217" ht="12.75" customHeight="1">
      <c r="A217" s="404">
        <f t="shared" si="121"/>
        <v>44041</v>
      </c>
      <c r="B217" s="112">
        <v>190.0</v>
      </c>
      <c r="C217" s="112">
        <v>166.84</v>
      </c>
      <c r="D217" s="112">
        <v>690.0</v>
      </c>
      <c r="E217" s="112">
        <v>80.0</v>
      </c>
      <c r="F217" s="164">
        <f t="shared" si="120"/>
        <v>1126.84</v>
      </c>
      <c r="G217" s="124">
        <v>23.0</v>
      </c>
      <c r="H217" s="124">
        <v>4.0</v>
      </c>
      <c r="I217" s="112">
        <v>60.0</v>
      </c>
    </row>
    <row r="218" ht="12.75" customHeight="1">
      <c r="A218" s="404">
        <f t="shared" si="121"/>
        <v>44042</v>
      </c>
      <c r="B218" s="112">
        <v>150.0</v>
      </c>
      <c r="C218" s="112">
        <v>192.67</v>
      </c>
      <c r="D218" s="112">
        <v>1370.0</v>
      </c>
      <c r="E218" s="112">
        <v>50.0</v>
      </c>
      <c r="F218" s="164">
        <f t="shared" si="120"/>
        <v>1762.67</v>
      </c>
      <c r="G218" s="124">
        <v>31.0</v>
      </c>
      <c r="H218" s="124">
        <v>4.0</v>
      </c>
      <c r="I218" s="112">
        <v>50.0</v>
      </c>
    </row>
    <row r="219" ht="12.75" customHeight="1">
      <c r="A219" s="404">
        <f t="shared" si="121"/>
        <v>44043</v>
      </c>
      <c r="B219" s="112">
        <v>90.0</v>
      </c>
      <c r="C219" s="112">
        <v>81.32</v>
      </c>
      <c r="D219" s="112">
        <v>620.0</v>
      </c>
      <c r="E219" s="112">
        <v>50.0</v>
      </c>
      <c r="F219" s="164">
        <f t="shared" si="120"/>
        <v>841.32</v>
      </c>
      <c r="G219" s="124">
        <v>14.0</v>
      </c>
      <c r="H219" s="124">
        <v>2.0</v>
      </c>
      <c r="I219" s="112">
        <v>50.0</v>
      </c>
    </row>
    <row r="220" ht="12.75" customHeight="1">
      <c r="A220" s="381"/>
      <c r="B220" s="68">
        <f t="shared" ref="B220:I220" si="122">SUM(B215:B219)</f>
        <v>760</v>
      </c>
      <c r="C220" s="68">
        <f t="shared" si="122"/>
        <v>987.05</v>
      </c>
      <c r="D220" s="68">
        <f t="shared" si="122"/>
        <v>4820</v>
      </c>
      <c r="E220" s="68">
        <f t="shared" si="122"/>
        <v>520</v>
      </c>
      <c r="F220" s="157">
        <f t="shared" si="122"/>
        <v>7087.05</v>
      </c>
      <c r="G220" s="70">
        <f t="shared" si="122"/>
        <v>128</v>
      </c>
      <c r="H220" s="70">
        <f t="shared" si="122"/>
        <v>22</v>
      </c>
      <c r="I220" s="69">
        <f t="shared" si="122"/>
        <v>510</v>
      </c>
    </row>
    <row r="221" ht="12.75" customHeight="1">
      <c r="A221" s="137"/>
      <c r="B221" s="92"/>
      <c r="C221" s="92"/>
      <c r="D221" s="92"/>
      <c r="E221" s="92"/>
      <c r="F221" s="92"/>
      <c r="G221" s="76"/>
      <c r="H221" s="76"/>
      <c r="I221" s="76"/>
    </row>
    <row r="222" ht="12.75" customHeight="1">
      <c r="A222" s="123">
        <v>44046.0</v>
      </c>
      <c r="B222" s="81">
        <v>220.0</v>
      </c>
      <c r="C222" s="81">
        <v>273.99</v>
      </c>
      <c r="D222" s="81">
        <v>720.0</v>
      </c>
      <c r="E222" s="81">
        <v>200.0</v>
      </c>
      <c r="F222" s="406">
        <f t="shared" ref="F222:F226" si="123">SUM(B222:E222)</f>
        <v>1413.99</v>
      </c>
      <c r="G222" s="81">
        <v>29.0</v>
      </c>
      <c r="H222" s="81">
        <v>6.0</v>
      </c>
      <c r="I222" s="81">
        <v>200.0</v>
      </c>
    </row>
    <row r="223" ht="12.75" customHeight="1">
      <c r="A223" s="123">
        <f t="shared" ref="A223:A226" si="124">A222+1</f>
        <v>44047</v>
      </c>
      <c r="B223" s="81">
        <v>0.0</v>
      </c>
      <c r="C223" s="81">
        <v>141.38</v>
      </c>
      <c r="D223" s="81">
        <v>1220.0</v>
      </c>
      <c r="E223" s="81">
        <v>240.0</v>
      </c>
      <c r="F223" s="406">
        <f t="shared" si="123"/>
        <v>1601.38</v>
      </c>
      <c r="G223" s="81">
        <v>27.0</v>
      </c>
      <c r="H223" s="81">
        <v>2.0</v>
      </c>
      <c r="I223" s="81">
        <v>260.0</v>
      </c>
    </row>
    <row r="224" ht="12.75" customHeight="1">
      <c r="A224" s="123">
        <f t="shared" si="124"/>
        <v>44048</v>
      </c>
      <c r="B224" s="81">
        <v>50.0</v>
      </c>
      <c r="C224" s="81">
        <v>123.38</v>
      </c>
      <c r="D224" s="81">
        <v>450.0</v>
      </c>
      <c r="E224" s="81">
        <v>100.0</v>
      </c>
      <c r="F224" s="406">
        <f t="shared" si="123"/>
        <v>723.38</v>
      </c>
      <c r="G224" s="81">
        <v>14.0</v>
      </c>
      <c r="H224" s="81">
        <v>3.0</v>
      </c>
      <c r="I224" s="81">
        <v>100.0</v>
      </c>
    </row>
    <row r="225" ht="12.75" customHeight="1">
      <c r="A225" s="123">
        <f t="shared" si="124"/>
        <v>44049</v>
      </c>
      <c r="B225" s="81">
        <v>320.0</v>
      </c>
      <c r="C225" s="81">
        <v>164.04</v>
      </c>
      <c r="D225" s="81">
        <v>1030.0</v>
      </c>
      <c r="E225" s="81">
        <v>50.0</v>
      </c>
      <c r="F225" s="406">
        <f t="shared" si="123"/>
        <v>1564.04</v>
      </c>
      <c r="G225" s="81">
        <v>24.0</v>
      </c>
      <c r="H225" s="81">
        <v>4.0</v>
      </c>
      <c r="I225" s="81">
        <v>50.0</v>
      </c>
    </row>
    <row r="226" ht="12.75" customHeight="1">
      <c r="A226" s="123">
        <f t="shared" si="124"/>
        <v>44050</v>
      </c>
      <c r="B226" s="81">
        <v>140.0</v>
      </c>
      <c r="C226" s="81">
        <v>111.35</v>
      </c>
      <c r="D226" s="81">
        <v>450.0</v>
      </c>
      <c r="E226" s="81">
        <v>50.0</v>
      </c>
      <c r="F226" s="406">
        <f t="shared" si="123"/>
        <v>751.35</v>
      </c>
      <c r="G226" s="81">
        <v>12.0</v>
      </c>
      <c r="H226" s="81">
        <v>2.0</v>
      </c>
      <c r="I226" s="81">
        <v>50.0</v>
      </c>
    </row>
    <row r="227" ht="12.75" customHeight="1">
      <c r="A227" s="381"/>
      <c r="B227" s="145">
        <f t="shared" ref="B227:I227" si="125">SUM(B222:B226)</f>
        <v>730</v>
      </c>
      <c r="C227" s="145">
        <f t="shared" si="125"/>
        <v>814.14</v>
      </c>
      <c r="D227" s="145">
        <f t="shared" si="125"/>
        <v>3870</v>
      </c>
      <c r="E227" s="145">
        <f t="shared" si="125"/>
        <v>640</v>
      </c>
      <c r="F227" s="160">
        <f t="shared" si="125"/>
        <v>6054.14</v>
      </c>
      <c r="G227" s="407">
        <f t="shared" si="125"/>
        <v>106</v>
      </c>
      <c r="H227" s="407">
        <f t="shared" si="125"/>
        <v>17</v>
      </c>
      <c r="I227" s="186">
        <f t="shared" si="125"/>
        <v>660</v>
      </c>
    </row>
    <row r="228" ht="12.75" customHeight="1">
      <c r="A228" s="137"/>
      <c r="B228" s="74"/>
      <c r="C228" s="74"/>
      <c r="D228" s="74"/>
      <c r="E228" s="74"/>
      <c r="F228" s="75"/>
      <c r="G228" s="76"/>
      <c r="H228" s="76"/>
      <c r="I228" s="74"/>
    </row>
    <row r="229" ht="12.75" customHeight="1">
      <c r="A229" s="403">
        <f>A226+3</f>
        <v>44053</v>
      </c>
      <c r="B229" s="175"/>
      <c r="C229" s="176"/>
      <c r="D229" s="176"/>
      <c r="E229" s="176"/>
      <c r="F229" s="177"/>
      <c r="G229" s="176"/>
      <c r="H229" s="176"/>
      <c r="I229" s="178"/>
    </row>
    <row r="230" ht="12.75" customHeight="1">
      <c r="A230" s="404">
        <f t="shared" ref="A230:A233" si="126">A229+1</f>
        <v>44054</v>
      </c>
      <c r="B230" s="150"/>
      <c r="C230" s="119"/>
      <c r="D230" s="119"/>
      <c r="E230" s="119"/>
      <c r="F230" s="196"/>
      <c r="G230" s="84"/>
      <c r="H230" s="84"/>
      <c r="I230" s="86"/>
    </row>
    <row r="231" ht="12.75" customHeight="1">
      <c r="A231" s="404">
        <f t="shared" si="126"/>
        <v>44055</v>
      </c>
      <c r="B231" s="150"/>
      <c r="C231" s="119"/>
      <c r="D231" s="119"/>
      <c r="E231" s="119"/>
      <c r="F231" s="196"/>
      <c r="G231" s="84"/>
      <c r="H231" s="84"/>
      <c r="I231" s="86"/>
    </row>
    <row r="232" ht="12.75" customHeight="1">
      <c r="A232" s="404">
        <f t="shared" si="126"/>
        <v>44056</v>
      </c>
      <c r="B232" s="150"/>
      <c r="C232" s="119"/>
      <c r="D232" s="119"/>
      <c r="E232" s="119"/>
      <c r="F232" s="196"/>
      <c r="G232" s="84"/>
      <c r="H232" s="84"/>
      <c r="I232" s="86"/>
    </row>
    <row r="233" ht="12.75" customHeight="1">
      <c r="A233" s="405">
        <f t="shared" si="126"/>
        <v>44057</v>
      </c>
      <c r="B233" s="169"/>
      <c r="C233" s="170"/>
      <c r="D233" s="170"/>
      <c r="E233" s="170"/>
      <c r="F233" s="196"/>
      <c r="G233" s="172"/>
      <c r="H233" s="172"/>
      <c r="I233" s="173"/>
    </row>
    <row r="234" ht="12.75" customHeight="1">
      <c r="A234" s="381"/>
      <c r="B234" s="179">
        <f t="shared" ref="B234:I234" si="127">SUM(B229:B233)</f>
        <v>0</v>
      </c>
      <c r="C234" s="179">
        <f t="shared" si="127"/>
        <v>0</v>
      </c>
      <c r="D234" s="179">
        <f t="shared" si="127"/>
        <v>0</v>
      </c>
      <c r="E234" s="179">
        <f t="shared" si="127"/>
        <v>0</v>
      </c>
      <c r="F234" s="157">
        <f t="shared" si="127"/>
        <v>0</v>
      </c>
      <c r="G234" s="180">
        <f t="shared" si="127"/>
        <v>0</v>
      </c>
      <c r="H234" s="180">
        <f t="shared" si="127"/>
        <v>0</v>
      </c>
      <c r="I234" s="179">
        <f t="shared" si="127"/>
        <v>0</v>
      </c>
    </row>
    <row r="235" ht="12.75" customHeight="1">
      <c r="A235" s="137"/>
      <c r="B235" s="74"/>
      <c r="C235" s="74"/>
      <c r="D235" s="74"/>
      <c r="E235" s="74"/>
      <c r="F235" s="75"/>
      <c r="G235" s="74"/>
      <c r="H235" s="74"/>
      <c r="I235" s="74"/>
    </row>
    <row r="236" ht="12.75" customHeight="1">
      <c r="A236" s="123">
        <f>A233+3</f>
        <v>44060</v>
      </c>
      <c r="B236" s="175"/>
      <c r="C236" s="176"/>
      <c r="D236" s="176"/>
      <c r="E236" s="176"/>
      <c r="F236" s="177"/>
      <c r="G236" s="176"/>
      <c r="H236" s="176"/>
      <c r="I236" s="178"/>
    </row>
    <row r="237" ht="12.75" customHeight="1">
      <c r="A237" s="404">
        <f t="shared" ref="A237:A240" si="128">A236+1</f>
        <v>44061</v>
      </c>
      <c r="B237" s="150"/>
      <c r="C237" s="119"/>
      <c r="D237" s="119"/>
      <c r="E237" s="119"/>
      <c r="F237" s="196"/>
      <c r="G237" s="84"/>
      <c r="H237" s="84"/>
      <c r="I237" s="86"/>
    </row>
    <row r="238" ht="12.75" customHeight="1">
      <c r="A238" s="123">
        <f t="shared" si="128"/>
        <v>44062</v>
      </c>
      <c r="B238" s="150"/>
      <c r="C238" s="119"/>
      <c r="D238" s="119"/>
      <c r="E238" s="119"/>
      <c r="F238" s="196"/>
      <c r="G238" s="84"/>
      <c r="H238" s="84"/>
      <c r="I238" s="86"/>
    </row>
    <row r="239" ht="12.75" customHeight="1">
      <c r="A239" s="404">
        <f t="shared" si="128"/>
        <v>44063</v>
      </c>
      <c r="B239" s="150"/>
      <c r="C239" s="119"/>
      <c r="D239" s="119"/>
      <c r="E239" s="119"/>
      <c r="F239" s="196"/>
      <c r="G239" s="84"/>
      <c r="H239" s="84"/>
      <c r="I239" s="86"/>
    </row>
    <row r="240" ht="12.75" customHeight="1">
      <c r="A240" s="123">
        <f t="shared" si="128"/>
        <v>44064</v>
      </c>
      <c r="B240" s="169"/>
      <c r="C240" s="170"/>
      <c r="D240" s="170"/>
      <c r="E240" s="170"/>
      <c r="F240" s="196"/>
      <c r="G240" s="172"/>
      <c r="H240" s="172"/>
      <c r="I240" s="173"/>
    </row>
    <row r="241" ht="12.75" customHeight="1">
      <c r="A241" s="381"/>
      <c r="B241" s="179">
        <f t="shared" ref="B241:I241" si="129">SUM(B233:B240)</f>
        <v>0</v>
      </c>
      <c r="C241" s="179">
        <f t="shared" si="129"/>
        <v>0</v>
      </c>
      <c r="D241" s="179">
        <f t="shared" si="129"/>
        <v>0</v>
      </c>
      <c r="E241" s="179">
        <f t="shared" si="129"/>
        <v>0</v>
      </c>
      <c r="F241" s="157">
        <f t="shared" si="129"/>
        <v>0</v>
      </c>
      <c r="G241" s="180">
        <f t="shared" si="129"/>
        <v>0</v>
      </c>
      <c r="H241" s="180">
        <f t="shared" si="129"/>
        <v>0</v>
      </c>
      <c r="I241" s="179">
        <f t="shared" si="129"/>
        <v>0</v>
      </c>
    </row>
    <row r="242" ht="12.75" customHeight="1">
      <c r="A242" s="137"/>
      <c r="B242" s="94"/>
      <c r="C242" s="94"/>
      <c r="D242" s="94"/>
      <c r="E242" s="94"/>
      <c r="F242" s="75"/>
      <c r="G242" s="94"/>
      <c r="H242" s="94"/>
      <c r="I242" s="94"/>
    </row>
    <row r="243" ht="12.75" customHeight="1">
      <c r="A243" s="123">
        <f>A240+3</f>
        <v>44067</v>
      </c>
      <c r="B243" s="98">
        <v>140.0</v>
      </c>
      <c r="C243" s="99">
        <v>363.99</v>
      </c>
      <c r="D243" s="99">
        <v>940.0</v>
      </c>
      <c r="E243" s="99">
        <v>130.0</v>
      </c>
      <c r="F243" s="258">
        <f t="shared" ref="F243:F247" si="130">SUM(B243:E243)</f>
        <v>1573.99</v>
      </c>
      <c r="G243" s="99">
        <v>27.0</v>
      </c>
      <c r="H243" s="99">
        <v>8.0</v>
      </c>
      <c r="I243" s="101">
        <v>140.0</v>
      </c>
    </row>
    <row r="244" ht="12.75" customHeight="1">
      <c r="A244" s="123">
        <f t="shared" ref="A244:A247" si="131">A243+1</f>
        <v>44068</v>
      </c>
      <c r="B244" s="98">
        <v>240.0</v>
      </c>
      <c r="C244" s="99">
        <v>81.32</v>
      </c>
      <c r="D244" s="99">
        <v>1000.0</v>
      </c>
      <c r="E244" s="99">
        <v>250.0</v>
      </c>
      <c r="F244" s="258">
        <f t="shared" si="130"/>
        <v>1571.32</v>
      </c>
      <c r="G244" s="99">
        <v>27.0</v>
      </c>
      <c r="H244" s="99">
        <v>2.0</v>
      </c>
      <c r="I244" s="101">
        <v>250.0</v>
      </c>
    </row>
    <row r="245" ht="12.75" customHeight="1">
      <c r="A245" s="123">
        <f t="shared" si="131"/>
        <v>44069</v>
      </c>
      <c r="B245" s="98">
        <v>50.0</v>
      </c>
      <c r="C245" s="99">
        <v>154.81</v>
      </c>
      <c r="D245" s="99">
        <v>520.0</v>
      </c>
      <c r="E245" s="99">
        <v>0.0</v>
      </c>
      <c r="F245" s="258">
        <f t="shared" si="130"/>
        <v>724.81</v>
      </c>
      <c r="G245" s="99">
        <v>14.0</v>
      </c>
      <c r="H245" s="99">
        <v>3.0</v>
      </c>
      <c r="I245" s="101">
        <v>0.0</v>
      </c>
    </row>
    <row r="246" ht="12.75" customHeight="1">
      <c r="A246" s="123">
        <f t="shared" si="131"/>
        <v>44070</v>
      </c>
      <c r="B246" s="98">
        <v>250.0</v>
      </c>
      <c r="C246" s="99">
        <v>353.42</v>
      </c>
      <c r="D246" s="99">
        <v>807.93</v>
      </c>
      <c r="E246" s="99">
        <v>50.0</v>
      </c>
      <c r="F246" s="258">
        <f t="shared" si="130"/>
        <v>1461.35</v>
      </c>
      <c r="G246" s="99">
        <v>25.0</v>
      </c>
      <c r="H246" s="99">
        <v>6.0</v>
      </c>
      <c r="I246" s="101">
        <v>50.0</v>
      </c>
    </row>
    <row r="247" ht="12.75" customHeight="1">
      <c r="A247" s="123">
        <f t="shared" si="131"/>
        <v>44071</v>
      </c>
      <c r="B247" s="98">
        <v>160.0</v>
      </c>
      <c r="C247" s="99">
        <v>81.32</v>
      </c>
      <c r="D247" s="99">
        <v>810.0</v>
      </c>
      <c r="E247" s="99">
        <v>50.0</v>
      </c>
      <c r="F247" s="258">
        <f t="shared" si="130"/>
        <v>1101.32</v>
      </c>
      <c r="G247" s="99">
        <v>19.0</v>
      </c>
      <c r="H247" s="99">
        <v>2.0</v>
      </c>
      <c r="I247" s="101">
        <v>50.0</v>
      </c>
    </row>
    <row r="248" ht="12.75" customHeight="1">
      <c r="A248" s="381"/>
      <c r="B248" s="145">
        <f t="shared" ref="B248:I248" si="132">SUM(B243:B247)</f>
        <v>840</v>
      </c>
      <c r="C248" s="145">
        <f t="shared" si="132"/>
        <v>1034.86</v>
      </c>
      <c r="D248" s="145">
        <f t="shared" si="132"/>
        <v>4077.93</v>
      </c>
      <c r="E248" s="145">
        <f t="shared" si="132"/>
        <v>480</v>
      </c>
      <c r="F248" s="157">
        <f t="shared" si="132"/>
        <v>6432.79</v>
      </c>
      <c r="G248" s="174">
        <f t="shared" si="132"/>
        <v>112</v>
      </c>
      <c r="H248" s="174">
        <f t="shared" si="132"/>
        <v>21</v>
      </c>
      <c r="I248" s="186">
        <f t="shared" si="132"/>
        <v>490</v>
      </c>
    </row>
    <row r="249" ht="12.75" customHeight="1">
      <c r="A249" s="137"/>
      <c r="B249" s="74"/>
      <c r="C249" s="74"/>
      <c r="D249" s="74"/>
      <c r="E249" s="74"/>
      <c r="F249" s="75"/>
      <c r="G249" s="74"/>
      <c r="H249" s="74"/>
      <c r="I249" s="74"/>
    </row>
    <row r="250" ht="12.75" customHeight="1">
      <c r="A250" s="123">
        <v>44074.0</v>
      </c>
      <c r="B250" s="189">
        <v>360.0</v>
      </c>
      <c r="C250" s="189">
        <v>160.88</v>
      </c>
      <c r="D250" s="189">
        <v>720.0</v>
      </c>
      <c r="E250" s="189">
        <v>250.0</v>
      </c>
      <c r="F250" s="156">
        <f>SUM(B250:E250)</f>
        <v>1490.88</v>
      </c>
      <c r="G250" s="59">
        <v>27.0</v>
      </c>
      <c r="H250" s="59">
        <v>4.0</v>
      </c>
      <c r="I250" s="189">
        <v>240.0</v>
      </c>
    </row>
    <row r="251" ht="12.75" customHeight="1">
      <c r="A251" s="381"/>
      <c r="B251" s="145">
        <f t="shared" ref="B251:I251" si="133">SUM(B250)</f>
        <v>360</v>
      </c>
      <c r="C251" s="145">
        <f t="shared" si="133"/>
        <v>160.88</v>
      </c>
      <c r="D251" s="145">
        <f t="shared" si="133"/>
        <v>720</v>
      </c>
      <c r="E251" s="145">
        <f t="shared" si="133"/>
        <v>250</v>
      </c>
      <c r="F251" s="145">
        <f t="shared" si="133"/>
        <v>1490.88</v>
      </c>
      <c r="G251" s="407">
        <f t="shared" si="133"/>
        <v>27</v>
      </c>
      <c r="H251" s="407">
        <f t="shared" si="133"/>
        <v>4</v>
      </c>
      <c r="I251" s="145">
        <f t="shared" si="133"/>
        <v>240</v>
      </c>
    </row>
    <row r="252" ht="12.75" customHeight="1">
      <c r="A252" s="137"/>
      <c r="B252" s="74"/>
      <c r="C252" s="74"/>
      <c r="D252" s="74"/>
      <c r="E252" s="74"/>
      <c r="F252" s="74"/>
      <c r="G252" s="76"/>
      <c r="H252" s="76"/>
      <c r="I252" s="74"/>
    </row>
    <row r="253" ht="12.75" customHeight="1">
      <c r="A253" s="129">
        <v>44075.0</v>
      </c>
      <c r="B253" s="189">
        <v>280.0</v>
      </c>
      <c r="C253" s="189">
        <v>81.32</v>
      </c>
      <c r="D253" s="189">
        <v>520.0</v>
      </c>
      <c r="E253" s="189">
        <v>40.0</v>
      </c>
      <c r="F253" s="156">
        <f t="shared" ref="F253:F256" si="134">SUM(B253:E253)</f>
        <v>921.32</v>
      </c>
      <c r="G253" s="59">
        <v>16.0</v>
      </c>
      <c r="H253" s="59">
        <v>2.0</v>
      </c>
      <c r="I253" s="189">
        <v>40.0</v>
      </c>
    </row>
    <row r="254" ht="12.75" customHeight="1">
      <c r="A254" s="129">
        <f t="shared" ref="A254:A256" si="135">A253+1</f>
        <v>44076</v>
      </c>
      <c r="B254" s="189">
        <v>150.0</v>
      </c>
      <c r="C254" s="189">
        <v>165.08</v>
      </c>
      <c r="D254" s="189">
        <v>600.0</v>
      </c>
      <c r="E254" s="189">
        <v>0.0</v>
      </c>
      <c r="F254" s="156">
        <f t="shared" si="134"/>
        <v>915.08</v>
      </c>
      <c r="G254" s="59">
        <v>17.0</v>
      </c>
      <c r="H254" s="59">
        <v>4.0</v>
      </c>
      <c r="I254" s="189">
        <v>0.0</v>
      </c>
    </row>
    <row r="255" ht="12.75" customHeight="1">
      <c r="A255" s="129">
        <f t="shared" si="135"/>
        <v>44077</v>
      </c>
      <c r="B255" s="189">
        <v>299.31</v>
      </c>
      <c r="C255" s="189">
        <v>152.01</v>
      </c>
      <c r="D255" s="189">
        <v>1020.0</v>
      </c>
      <c r="E255" s="189">
        <v>0.0</v>
      </c>
      <c r="F255" s="156">
        <f t="shared" si="134"/>
        <v>1471.32</v>
      </c>
      <c r="G255" s="59">
        <v>26.0</v>
      </c>
      <c r="H255" s="59">
        <v>3.0</v>
      </c>
      <c r="I255" s="189">
        <v>0.0</v>
      </c>
    </row>
    <row r="256" ht="12.75" customHeight="1">
      <c r="A256" s="129">
        <f t="shared" si="135"/>
        <v>44078</v>
      </c>
      <c r="B256" s="189">
        <v>410.0</v>
      </c>
      <c r="C256" s="189">
        <v>182.04</v>
      </c>
      <c r="D256" s="189">
        <v>460.0</v>
      </c>
      <c r="E256" s="189">
        <v>0.0</v>
      </c>
      <c r="F256" s="156">
        <f t="shared" si="134"/>
        <v>1052.04</v>
      </c>
      <c r="G256" s="59">
        <v>16.0</v>
      </c>
      <c r="H256" s="59">
        <v>3.0</v>
      </c>
      <c r="I256" s="189">
        <v>0.0</v>
      </c>
    </row>
    <row r="257" ht="12.75" customHeight="1">
      <c r="A257" s="395"/>
      <c r="B257" s="157">
        <f t="shared" ref="B257:I257" si="136">SUM(B253:B256)</f>
        <v>1139.31</v>
      </c>
      <c r="C257" s="190">
        <f t="shared" si="136"/>
        <v>580.45</v>
      </c>
      <c r="D257" s="190">
        <f t="shared" si="136"/>
        <v>2600</v>
      </c>
      <c r="E257" s="190">
        <f t="shared" si="136"/>
        <v>40</v>
      </c>
      <c r="F257" s="190">
        <f t="shared" si="136"/>
        <v>4359.76</v>
      </c>
      <c r="G257" s="133">
        <f t="shared" si="136"/>
        <v>75</v>
      </c>
      <c r="H257" s="133">
        <f t="shared" si="136"/>
        <v>12</v>
      </c>
      <c r="I257" s="157">
        <f t="shared" si="136"/>
        <v>40</v>
      </c>
    </row>
    <row r="258" ht="12.75" customHeight="1">
      <c r="A258" s="401"/>
      <c r="B258" s="75"/>
      <c r="C258" s="136"/>
      <c r="D258" s="136"/>
      <c r="E258" s="136"/>
      <c r="F258" s="136"/>
      <c r="G258" s="136"/>
      <c r="H258" s="136"/>
      <c r="I258" s="75"/>
    </row>
    <row r="259" ht="12.75" customHeight="1">
      <c r="A259" s="123">
        <f>A256+3</f>
        <v>44081</v>
      </c>
      <c r="B259" s="189">
        <v>240.0</v>
      </c>
      <c r="C259" s="189">
        <v>178.49</v>
      </c>
      <c r="D259" s="189">
        <v>400.0</v>
      </c>
      <c r="E259" s="189">
        <v>0.0</v>
      </c>
      <c r="F259" s="156">
        <f t="shared" ref="F259:F263" si="137">SUM(B259:E259)</f>
        <v>818.49</v>
      </c>
      <c r="G259" s="59">
        <v>16.0</v>
      </c>
      <c r="H259" s="59">
        <v>4.0</v>
      </c>
      <c r="I259" s="189">
        <v>0.0</v>
      </c>
    </row>
    <row r="260" ht="12.75" customHeight="1">
      <c r="A260" s="123">
        <f t="shared" ref="A260:A263" si="138">A259+1</f>
        <v>44082</v>
      </c>
      <c r="B260" s="192">
        <v>0.0</v>
      </c>
      <c r="C260" s="192">
        <v>148.49</v>
      </c>
      <c r="D260" s="192">
        <v>660.0</v>
      </c>
      <c r="E260" s="192">
        <v>0.0</v>
      </c>
      <c r="F260" s="193">
        <f t="shared" si="137"/>
        <v>808.49</v>
      </c>
      <c r="G260" s="81">
        <v>16.0</v>
      </c>
      <c r="H260" s="81">
        <v>3.0</v>
      </c>
      <c r="I260" s="192">
        <v>0.0</v>
      </c>
    </row>
    <row r="261" ht="12.75" customHeight="1">
      <c r="A261" s="123">
        <f t="shared" si="138"/>
        <v>44083</v>
      </c>
      <c r="B261" s="192">
        <v>190.0</v>
      </c>
      <c r="C261" s="192">
        <v>38.9</v>
      </c>
      <c r="D261" s="192">
        <v>730.0</v>
      </c>
      <c r="E261" s="192">
        <v>0.0</v>
      </c>
      <c r="F261" s="193">
        <f t="shared" si="137"/>
        <v>958.9</v>
      </c>
      <c r="G261" s="81">
        <v>17.0</v>
      </c>
      <c r="H261" s="81">
        <v>1.0</v>
      </c>
      <c r="I261" s="192">
        <v>0.0</v>
      </c>
    </row>
    <row r="262" ht="12.75" customHeight="1">
      <c r="A262" s="123">
        <f t="shared" si="138"/>
        <v>44084</v>
      </c>
      <c r="B262" s="192">
        <v>240.0</v>
      </c>
      <c r="C262" s="192">
        <v>158.11</v>
      </c>
      <c r="D262" s="192">
        <v>850.0</v>
      </c>
      <c r="E262" s="192">
        <v>210.0</v>
      </c>
      <c r="F262" s="193">
        <f t="shared" si="137"/>
        <v>1458.11</v>
      </c>
      <c r="G262" s="81">
        <v>27.0</v>
      </c>
      <c r="H262" s="81">
        <v>4.0</v>
      </c>
      <c r="I262" s="192">
        <v>220.0</v>
      </c>
    </row>
    <row r="263" ht="12.75" customHeight="1">
      <c r="A263" s="123">
        <f t="shared" si="138"/>
        <v>44085</v>
      </c>
      <c r="B263" s="194">
        <v>90.0</v>
      </c>
      <c r="C263" s="194">
        <v>98.9</v>
      </c>
      <c r="D263" s="194">
        <v>910.0</v>
      </c>
      <c r="E263" s="194">
        <v>0.0</v>
      </c>
      <c r="F263" s="195">
        <f t="shared" si="137"/>
        <v>1098.9</v>
      </c>
      <c r="G263" s="89">
        <v>20.0</v>
      </c>
      <c r="H263" s="89">
        <v>3.0</v>
      </c>
      <c r="I263" s="194">
        <v>0.0</v>
      </c>
    </row>
    <row r="264" ht="12.75" customHeight="1">
      <c r="A264" s="395"/>
      <c r="B264" s="157">
        <f t="shared" ref="B264:I264" si="139">SUM(B259:B263)</f>
        <v>760</v>
      </c>
      <c r="C264" s="190">
        <f t="shared" si="139"/>
        <v>622.89</v>
      </c>
      <c r="D264" s="190">
        <f t="shared" si="139"/>
        <v>3550</v>
      </c>
      <c r="E264" s="190">
        <f t="shared" si="139"/>
        <v>210</v>
      </c>
      <c r="F264" s="190">
        <f t="shared" si="139"/>
        <v>5142.89</v>
      </c>
      <c r="G264" s="133">
        <f t="shared" si="139"/>
        <v>96</v>
      </c>
      <c r="H264" s="133">
        <f t="shared" si="139"/>
        <v>15</v>
      </c>
      <c r="I264" s="157">
        <f t="shared" si="139"/>
        <v>220</v>
      </c>
    </row>
    <row r="265" ht="12.75" customHeight="1">
      <c r="A265" s="401"/>
      <c r="B265" s="75"/>
      <c r="C265" s="136"/>
      <c r="D265" s="136"/>
      <c r="E265" s="136"/>
      <c r="F265" s="136"/>
      <c r="G265" s="136"/>
      <c r="H265" s="136"/>
      <c r="I265" s="75"/>
    </row>
    <row r="266" ht="12.75" customHeight="1">
      <c r="A266" s="123">
        <f>A263+3</f>
        <v>44088</v>
      </c>
      <c r="B266" s="189">
        <v>170.0</v>
      </c>
      <c r="C266" s="189">
        <v>181.0</v>
      </c>
      <c r="D266" s="189">
        <v>960.0</v>
      </c>
      <c r="E266" s="189">
        <v>50.0</v>
      </c>
      <c r="F266" s="156">
        <f t="shared" ref="F266:F270" si="140">SUM(B266:E266)</f>
        <v>1361</v>
      </c>
      <c r="G266" s="59">
        <v>26.0</v>
      </c>
      <c r="H266" s="59">
        <v>4.0</v>
      </c>
      <c r="I266" s="189">
        <v>50.0</v>
      </c>
    </row>
    <row r="267" ht="12.75" customHeight="1">
      <c r="A267" s="123">
        <f t="shared" ref="A267:A270" si="141">A266+1</f>
        <v>44089</v>
      </c>
      <c r="B267" s="192">
        <v>190.0</v>
      </c>
      <c r="C267" s="192">
        <v>0.0</v>
      </c>
      <c r="D267" s="192">
        <v>680.0</v>
      </c>
      <c r="E267" s="192">
        <v>70.0</v>
      </c>
      <c r="F267" s="193">
        <f t="shared" si="140"/>
        <v>940</v>
      </c>
      <c r="G267" s="81">
        <v>15.0</v>
      </c>
      <c r="H267" s="81">
        <v>0.0</v>
      </c>
      <c r="I267" s="192">
        <v>70.0</v>
      </c>
    </row>
    <row r="268" ht="12.75" customHeight="1">
      <c r="A268" s="123">
        <f t="shared" si="141"/>
        <v>44090</v>
      </c>
      <c r="B268" s="192">
        <v>200.0</v>
      </c>
      <c r="C268" s="192">
        <v>116.7</v>
      </c>
      <c r="D268" s="192">
        <v>420.0</v>
      </c>
      <c r="E268" s="192">
        <v>70.0</v>
      </c>
      <c r="F268" s="193">
        <f t="shared" si="140"/>
        <v>806.7</v>
      </c>
      <c r="G268" s="81">
        <v>16.0</v>
      </c>
      <c r="H268" s="81">
        <v>3.0</v>
      </c>
      <c r="I268" s="192">
        <v>70.0</v>
      </c>
    </row>
    <row r="269" ht="12.75" customHeight="1">
      <c r="A269" s="123">
        <f t="shared" si="141"/>
        <v>44091</v>
      </c>
      <c r="B269" s="192">
        <v>370.0</v>
      </c>
      <c r="C269" s="192">
        <v>80.31</v>
      </c>
      <c r="D269" s="192">
        <v>950.0</v>
      </c>
      <c r="E269" s="192">
        <v>50.0</v>
      </c>
      <c r="F269" s="193">
        <f t="shared" si="140"/>
        <v>1450.31</v>
      </c>
      <c r="G269" s="81">
        <v>27.0</v>
      </c>
      <c r="H269" s="81">
        <v>2.0</v>
      </c>
      <c r="I269" s="192">
        <v>50.0</v>
      </c>
    </row>
    <row r="270" ht="12.75" customHeight="1">
      <c r="A270" s="123">
        <f t="shared" si="141"/>
        <v>44092</v>
      </c>
      <c r="B270" s="408"/>
      <c r="C270" s="408"/>
      <c r="D270" s="408"/>
      <c r="E270" s="408"/>
      <c r="F270" s="408">
        <f t="shared" si="140"/>
        <v>0</v>
      </c>
      <c r="G270" s="409"/>
      <c r="H270" s="409"/>
      <c r="I270" s="408"/>
    </row>
    <row r="271" ht="12.75" customHeight="1">
      <c r="A271" s="395"/>
      <c r="B271" s="157">
        <f t="shared" ref="B271:I271" si="142">SUM(B266:B270)</f>
        <v>930</v>
      </c>
      <c r="C271" s="190">
        <f t="shared" si="142"/>
        <v>378.01</v>
      </c>
      <c r="D271" s="190">
        <f t="shared" si="142"/>
        <v>3010</v>
      </c>
      <c r="E271" s="190">
        <f t="shared" si="142"/>
        <v>240</v>
      </c>
      <c r="F271" s="190">
        <f t="shared" si="142"/>
        <v>4558.01</v>
      </c>
      <c r="G271" s="133">
        <f t="shared" si="142"/>
        <v>84</v>
      </c>
      <c r="H271" s="133">
        <f t="shared" si="142"/>
        <v>9</v>
      </c>
      <c r="I271" s="157">
        <f t="shared" si="142"/>
        <v>240</v>
      </c>
    </row>
    <row r="272" ht="12.75" customHeight="1">
      <c r="A272" s="396"/>
      <c r="B272" s="75"/>
      <c r="C272" s="136"/>
      <c r="D272" s="136"/>
      <c r="E272" s="136"/>
      <c r="F272" s="136"/>
      <c r="G272" s="136"/>
      <c r="H272" s="136"/>
      <c r="I272" s="75"/>
    </row>
    <row r="273" ht="12.75" customHeight="1">
      <c r="A273" s="410">
        <f>A270+3</f>
        <v>44095</v>
      </c>
      <c r="B273" s="126">
        <v>100.0</v>
      </c>
      <c r="C273" s="126">
        <v>185.6</v>
      </c>
      <c r="D273" s="126">
        <v>600.0</v>
      </c>
      <c r="E273" s="199">
        <v>50.0</v>
      </c>
      <c r="F273" s="156">
        <f t="shared" ref="F273:F277" si="143">SUM(B273:E273)</f>
        <v>935.6</v>
      </c>
      <c r="G273" s="59">
        <v>19.0</v>
      </c>
      <c r="H273" s="59">
        <v>5.0</v>
      </c>
      <c r="I273" s="189">
        <v>50.0</v>
      </c>
    </row>
    <row r="274" ht="12.75" customHeight="1">
      <c r="A274" s="411">
        <f t="shared" ref="A274:A276" si="144">A273+1</f>
        <v>44096</v>
      </c>
      <c r="B274" s="106">
        <v>240.0</v>
      </c>
      <c r="C274" s="106">
        <v>155.6</v>
      </c>
      <c r="D274" s="106">
        <v>540.0</v>
      </c>
      <c r="E274" s="201">
        <v>100.0</v>
      </c>
      <c r="F274" s="193">
        <f t="shared" si="143"/>
        <v>1035.6</v>
      </c>
      <c r="G274" s="202">
        <v>20.0</v>
      </c>
      <c r="H274" s="99">
        <v>4.0</v>
      </c>
      <c r="I274" s="101">
        <v>100.0</v>
      </c>
    </row>
    <row r="275" ht="12.75" customHeight="1">
      <c r="A275" s="410">
        <f t="shared" si="144"/>
        <v>44097</v>
      </c>
      <c r="B275" s="106">
        <v>170.0</v>
      </c>
      <c r="C275" s="106">
        <v>116.7</v>
      </c>
      <c r="D275" s="106">
        <v>540.0</v>
      </c>
      <c r="E275" s="201">
        <v>0.0</v>
      </c>
      <c r="F275" s="193">
        <f t="shared" si="143"/>
        <v>826.7</v>
      </c>
      <c r="G275" s="203">
        <v>19.0</v>
      </c>
      <c r="H275" s="106">
        <v>3.0</v>
      </c>
      <c r="I275" s="108">
        <v>0.0</v>
      </c>
    </row>
    <row r="276" ht="12.75" customHeight="1">
      <c r="A276" s="411">
        <f t="shared" si="144"/>
        <v>44098</v>
      </c>
      <c r="B276" s="106">
        <v>190.0</v>
      </c>
      <c r="C276" s="106">
        <v>231.31</v>
      </c>
      <c r="D276" s="106">
        <v>970.0</v>
      </c>
      <c r="E276" s="201">
        <v>50.0</v>
      </c>
      <c r="F276" s="193">
        <f t="shared" si="143"/>
        <v>1441.31</v>
      </c>
      <c r="G276" s="203">
        <v>25.0</v>
      </c>
      <c r="H276" s="106">
        <v>5.0</v>
      </c>
      <c r="I276" s="108">
        <v>40.0</v>
      </c>
    </row>
    <row r="277" ht="12.75" customHeight="1">
      <c r="A277" s="410">
        <f>A274+3</f>
        <v>44099</v>
      </c>
      <c r="B277" s="89">
        <v>289.31</v>
      </c>
      <c r="C277" s="89">
        <v>151.0</v>
      </c>
      <c r="D277" s="89">
        <v>750.0</v>
      </c>
      <c r="E277" s="412">
        <v>320.0</v>
      </c>
      <c r="F277" s="195">
        <f t="shared" si="143"/>
        <v>1510.31</v>
      </c>
      <c r="G277" s="413">
        <v>22.0</v>
      </c>
      <c r="H277" s="89">
        <v>3.0</v>
      </c>
      <c r="I277" s="90">
        <v>320.0</v>
      </c>
    </row>
    <row r="278" ht="12.75" customHeight="1">
      <c r="A278" s="414"/>
      <c r="B278" s="157">
        <f t="shared" ref="B278:I278" si="145">SUM(B273:B277)</f>
        <v>989.31</v>
      </c>
      <c r="C278" s="190">
        <f t="shared" si="145"/>
        <v>840.21</v>
      </c>
      <c r="D278" s="190">
        <f t="shared" si="145"/>
        <v>3400</v>
      </c>
      <c r="E278" s="190">
        <f t="shared" si="145"/>
        <v>520</v>
      </c>
      <c r="F278" s="190">
        <f t="shared" si="145"/>
        <v>5749.52</v>
      </c>
      <c r="G278" s="133">
        <f t="shared" si="145"/>
        <v>105</v>
      </c>
      <c r="H278" s="133">
        <f t="shared" si="145"/>
        <v>20</v>
      </c>
      <c r="I278" s="191">
        <f t="shared" si="145"/>
        <v>510</v>
      </c>
    </row>
    <row r="279" ht="12.75" customHeight="1">
      <c r="A279" s="401"/>
      <c r="B279" s="92"/>
      <c r="C279" s="415"/>
      <c r="D279" s="415"/>
      <c r="E279" s="415"/>
      <c r="F279" s="136"/>
      <c r="G279" s="415"/>
      <c r="H279" s="415"/>
      <c r="I279" s="207"/>
    </row>
    <row r="280" ht="12.75" customHeight="1">
      <c r="A280" s="411">
        <f>A277+3</f>
        <v>44102</v>
      </c>
      <c r="B280" s="81">
        <v>0.0</v>
      </c>
      <c r="C280" s="81">
        <v>272.29</v>
      </c>
      <c r="D280" s="81">
        <v>1350.0</v>
      </c>
      <c r="E280" s="81">
        <v>180.0</v>
      </c>
      <c r="F280" s="156">
        <f t="shared" ref="F280:F282" si="146">SUM(B280:E280)</f>
        <v>1802.29</v>
      </c>
      <c r="G280" s="81">
        <v>29.0</v>
      </c>
      <c r="H280" s="81">
        <v>6.0</v>
      </c>
      <c r="I280" s="81">
        <v>170.0</v>
      </c>
    </row>
    <row r="281" ht="12.75" customHeight="1">
      <c r="A281" s="411">
        <f t="shared" ref="A281:A282" si="147">A280+1</f>
        <v>44103</v>
      </c>
      <c r="B281" s="81">
        <v>50.0</v>
      </c>
      <c r="C281" s="81">
        <v>178.49</v>
      </c>
      <c r="D281" s="81">
        <v>420.0</v>
      </c>
      <c r="E281" s="81">
        <v>270.0</v>
      </c>
      <c r="F281" s="193">
        <f t="shared" si="146"/>
        <v>918.49</v>
      </c>
      <c r="G281" s="81">
        <v>16.0</v>
      </c>
      <c r="H281" s="81">
        <v>4.0</v>
      </c>
      <c r="I281" s="81">
        <v>270.0</v>
      </c>
    </row>
    <row r="282" ht="12.75" customHeight="1">
      <c r="A282" s="411">
        <f t="shared" si="147"/>
        <v>44104</v>
      </c>
      <c r="B282" s="81">
        <v>170.0</v>
      </c>
      <c r="C282" s="81">
        <v>303.19</v>
      </c>
      <c r="D282" s="81">
        <v>428.84</v>
      </c>
      <c r="E282" s="81">
        <v>0.0</v>
      </c>
      <c r="F282" s="193">
        <f t="shared" si="146"/>
        <v>902.03</v>
      </c>
      <c r="G282" s="81"/>
      <c r="H282" s="81"/>
      <c r="I282" s="81"/>
    </row>
    <row r="283" ht="12.75" customHeight="1">
      <c r="A283" s="414" t="s">
        <v>87</v>
      </c>
      <c r="B283" s="160">
        <f t="shared" ref="B283:I283" si="148">SUM(B280:B282)</f>
        <v>220</v>
      </c>
      <c r="C283" s="160">
        <f t="shared" si="148"/>
        <v>753.97</v>
      </c>
      <c r="D283" s="160">
        <f t="shared" si="148"/>
        <v>2198.84</v>
      </c>
      <c r="E283" s="160">
        <f t="shared" si="148"/>
        <v>450</v>
      </c>
      <c r="F283" s="205">
        <f t="shared" si="148"/>
        <v>3622.81</v>
      </c>
      <c r="G283" s="206">
        <f t="shared" si="148"/>
        <v>45</v>
      </c>
      <c r="H283" s="206">
        <f t="shared" si="148"/>
        <v>10</v>
      </c>
      <c r="I283" s="160">
        <f t="shared" si="148"/>
        <v>440</v>
      </c>
    </row>
    <row r="284" ht="12.75" customHeight="1">
      <c r="A284" s="401"/>
      <c r="B284" s="75"/>
      <c r="C284" s="75"/>
      <c r="D284" s="75"/>
      <c r="E284" s="75"/>
      <c r="F284" s="136"/>
      <c r="G284" s="136"/>
      <c r="H284" s="136"/>
      <c r="I284" s="75"/>
    </row>
    <row r="285" ht="12.75" customHeight="1">
      <c r="A285" s="129">
        <v>44105.0</v>
      </c>
      <c r="B285" s="59">
        <v>320.0</v>
      </c>
      <c r="C285" s="59">
        <v>80.31</v>
      </c>
      <c r="D285" s="66">
        <v>810.0</v>
      </c>
      <c r="E285" s="59">
        <v>190.0</v>
      </c>
      <c r="F285" s="60">
        <f t="shared" ref="F285:F286" si="149">SUM(B285:E285)</f>
        <v>1400.31</v>
      </c>
      <c r="G285" s="59">
        <v>24.0</v>
      </c>
      <c r="H285" s="59">
        <v>2.0</v>
      </c>
      <c r="I285" s="59">
        <v>200.0</v>
      </c>
    </row>
    <row r="286" ht="12.75" customHeight="1">
      <c r="A286" s="129">
        <f>A285+1</f>
        <v>44106</v>
      </c>
      <c r="B286" s="59">
        <v>19.31</v>
      </c>
      <c r="C286" s="59">
        <v>151.0</v>
      </c>
      <c r="D286" s="59">
        <v>850.0</v>
      </c>
      <c r="E286" s="59">
        <v>90.0</v>
      </c>
      <c r="F286" s="60">
        <f t="shared" si="149"/>
        <v>1110.31</v>
      </c>
      <c r="G286" s="59">
        <v>17.0</v>
      </c>
      <c r="H286" s="59">
        <v>3.0</v>
      </c>
      <c r="I286" s="59">
        <v>90.0</v>
      </c>
    </row>
    <row r="287" ht="12.75" customHeight="1">
      <c r="A287" s="381"/>
      <c r="B287" s="68">
        <f t="shared" ref="B287:I287" si="150">SUM(B285:B286)</f>
        <v>339.31</v>
      </c>
      <c r="C287" s="68">
        <f t="shared" si="150"/>
        <v>231.31</v>
      </c>
      <c r="D287" s="68">
        <f t="shared" si="150"/>
        <v>1660</v>
      </c>
      <c r="E287" s="68">
        <f t="shared" si="150"/>
        <v>280</v>
      </c>
      <c r="F287" s="416">
        <f t="shared" si="150"/>
        <v>2510.62</v>
      </c>
      <c r="G287" s="70">
        <f t="shared" si="150"/>
        <v>41</v>
      </c>
      <c r="H287" s="70">
        <f t="shared" si="150"/>
        <v>5</v>
      </c>
      <c r="I287" s="91">
        <f t="shared" si="150"/>
        <v>290</v>
      </c>
    </row>
    <row r="288" ht="12.75" customHeight="1">
      <c r="A288" s="137"/>
      <c r="B288" s="92"/>
      <c r="C288" s="92"/>
      <c r="D288" s="92"/>
      <c r="E288" s="92"/>
      <c r="F288" s="75"/>
      <c r="G288" s="93"/>
      <c r="H288" s="93"/>
      <c r="I288" s="74"/>
    </row>
    <row r="289" ht="12.75" customHeight="1">
      <c r="A289" s="123">
        <f>A286+3</f>
        <v>44109</v>
      </c>
      <c r="B289" s="98">
        <v>0.0</v>
      </c>
      <c r="C289" s="99">
        <v>0.0</v>
      </c>
      <c r="D289" s="99">
        <v>570.0</v>
      </c>
      <c r="E289" s="99">
        <v>150.0</v>
      </c>
      <c r="F289" s="141">
        <f t="shared" ref="F289:F293" si="151">SUM(B289:E289)</f>
        <v>720</v>
      </c>
      <c r="G289" s="99">
        <v>14.0</v>
      </c>
      <c r="H289" s="99">
        <v>0.0</v>
      </c>
      <c r="I289" s="101">
        <v>150.0</v>
      </c>
    </row>
    <row r="290" ht="12.75" customHeight="1">
      <c r="A290" s="123">
        <f t="shared" ref="A290:A293" si="152">A289+1</f>
        <v>44110</v>
      </c>
      <c r="B290" s="112">
        <v>50.0</v>
      </c>
      <c r="C290" s="124">
        <v>194.5</v>
      </c>
      <c r="D290" s="124">
        <v>530.0</v>
      </c>
      <c r="E290" s="124">
        <v>0.0</v>
      </c>
      <c r="F290" s="141">
        <f t="shared" si="151"/>
        <v>774.5</v>
      </c>
      <c r="G290" s="124">
        <v>15.0</v>
      </c>
      <c r="H290" s="124">
        <v>5.0</v>
      </c>
      <c r="I290" s="208">
        <v>0.0</v>
      </c>
    </row>
    <row r="291" ht="12.75" customHeight="1">
      <c r="A291" s="123">
        <f t="shared" si="152"/>
        <v>44111</v>
      </c>
      <c r="B291" s="112">
        <v>300.0</v>
      </c>
      <c r="C291" s="124">
        <v>0.0</v>
      </c>
      <c r="D291" s="124">
        <v>360.0</v>
      </c>
      <c r="E291" s="124">
        <v>120.0</v>
      </c>
      <c r="F291" s="141">
        <f t="shared" si="151"/>
        <v>780</v>
      </c>
      <c r="G291" s="124">
        <v>14.0</v>
      </c>
      <c r="H291" s="124">
        <v>0.0</v>
      </c>
      <c r="I291" s="208">
        <v>120.0</v>
      </c>
    </row>
    <row r="292" ht="12.75" customHeight="1">
      <c r="A292" s="123">
        <f t="shared" si="152"/>
        <v>44112</v>
      </c>
      <c r="B292" s="112">
        <v>150.0</v>
      </c>
      <c r="C292" s="124">
        <v>219.9</v>
      </c>
      <c r="D292" s="124">
        <v>930.0</v>
      </c>
      <c r="E292" s="124">
        <v>270.0</v>
      </c>
      <c r="F292" s="141">
        <f t="shared" si="151"/>
        <v>1569.9</v>
      </c>
      <c r="G292" s="124">
        <v>26.0</v>
      </c>
      <c r="H292" s="124">
        <v>5.0</v>
      </c>
      <c r="I292" s="208">
        <v>270.0</v>
      </c>
    </row>
    <row r="293" ht="12.75" customHeight="1">
      <c r="A293" s="123">
        <f t="shared" si="152"/>
        <v>44113</v>
      </c>
      <c r="B293" s="166">
        <v>230.0</v>
      </c>
      <c r="C293" s="124">
        <v>267.7</v>
      </c>
      <c r="D293" s="124">
        <v>560.0</v>
      </c>
      <c r="E293" s="124">
        <v>140.0</v>
      </c>
      <c r="F293" s="141">
        <f t="shared" si="151"/>
        <v>1197.7</v>
      </c>
      <c r="G293" s="124">
        <v>19.0</v>
      </c>
      <c r="H293" s="124">
        <v>6.0</v>
      </c>
      <c r="I293" s="208">
        <v>140.0</v>
      </c>
    </row>
    <row r="294" ht="12.75" customHeight="1">
      <c r="A294" s="381"/>
      <c r="B294" s="91">
        <f t="shared" ref="B294:I294" si="153">SUM(B289:B293)</f>
        <v>730</v>
      </c>
      <c r="C294" s="91">
        <f t="shared" si="153"/>
        <v>682.1</v>
      </c>
      <c r="D294" s="91">
        <f t="shared" si="153"/>
        <v>2950</v>
      </c>
      <c r="E294" s="91">
        <f t="shared" si="153"/>
        <v>680</v>
      </c>
      <c r="F294" s="91">
        <f t="shared" si="153"/>
        <v>5042.1</v>
      </c>
      <c r="G294" s="70">
        <f t="shared" si="153"/>
        <v>88</v>
      </c>
      <c r="H294" s="70">
        <f t="shared" si="153"/>
        <v>16</v>
      </c>
      <c r="I294" s="91">
        <f t="shared" si="153"/>
        <v>680</v>
      </c>
    </row>
    <row r="295" ht="12.75" customHeight="1">
      <c r="A295" s="137"/>
      <c r="B295" s="74"/>
      <c r="C295" s="74"/>
      <c r="D295" s="74"/>
      <c r="E295" s="74"/>
      <c r="F295" s="74"/>
      <c r="G295" s="93"/>
      <c r="H295" s="93"/>
      <c r="I295" s="74"/>
    </row>
    <row r="296" ht="12.75" customHeight="1">
      <c r="A296" s="399">
        <f>A293+3</f>
        <v>44116</v>
      </c>
      <c r="B296" s="124">
        <v>240.0</v>
      </c>
      <c r="C296" s="124">
        <v>141.38</v>
      </c>
      <c r="D296" s="124">
        <v>1050.0</v>
      </c>
      <c r="E296" s="124">
        <v>0.0</v>
      </c>
      <c r="F296" s="141">
        <f t="shared" ref="F296:F300" si="154">SUM(B296:E296)</f>
        <v>1431.38</v>
      </c>
      <c r="G296" s="99">
        <v>24.0</v>
      </c>
      <c r="H296" s="99">
        <v>2.0</v>
      </c>
      <c r="I296" s="59">
        <v>0.0</v>
      </c>
    </row>
    <row r="297" ht="12.75" customHeight="1">
      <c r="A297" s="399">
        <f t="shared" ref="A297:A300" si="155">A296+1</f>
        <v>44117</v>
      </c>
      <c r="B297" s="112">
        <v>0.0</v>
      </c>
      <c r="C297" s="124">
        <v>70.69</v>
      </c>
      <c r="D297" s="124">
        <v>630.0</v>
      </c>
      <c r="E297" s="124">
        <v>140.0</v>
      </c>
      <c r="F297" s="141">
        <f t="shared" si="154"/>
        <v>840.69</v>
      </c>
      <c r="G297" s="99">
        <v>14.0</v>
      </c>
      <c r="H297" s="99">
        <v>1.0</v>
      </c>
      <c r="I297" s="59">
        <v>140.0</v>
      </c>
    </row>
    <row r="298" ht="12.75" customHeight="1">
      <c r="A298" s="399">
        <f t="shared" si="155"/>
        <v>44118</v>
      </c>
      <c r="B298" s="112">
        <v>0.0</v>
      </c>
      <c r="C298" s="124">
        <v>0.0</v>
      </c>
      <c r="D298" s="124">
        <v>900.0</v>
      </c>
      <c r="E298" s="124">
        <v>50.0</v>
      </c>
      <c r="F298" s="141">
        <f t="shared" si="154"/>
        <v>950</v>
      </c>
      <c r="G298" s="99">
        <v>17.0</v>
      </c>
      <c r="H298" s="99">
        <v>0.0</v>
      </c>
      <c r="I298" s="59">
        <v>50.0</v>
      </c>
    </row>
    <row r="299" ht="12.75" customHeight="1">
      <c r="A299" s="399">
        <f t="shared" si="155"/>
        <v>44119</v>
      </c>
      <c r="B299" s="112">
        <v>170.0</v>
      </c>
      <c r="C299" s="124">
        <v>38.9</v>
      </c>
      <c r="D299" s="124">
        <v>1150.0</v>
      </c>
      <c r="E299" s="124">
        <v>120.0</v>
      </c>
      <c r="F299" s="141">
        <f t="shared" si="154"/>
        <v>1478.9</v>
      </c>
      <c r="G299" s="99">
        <v>26.0</v>
      </c>
      <c r="H299" s="99">
        <v>1.0</v>
      </c>
      <c r="I299" s="59">
        <v>130.0</v>
      </c>
    </row>
    <row r="300" ht="12.75" customHeight="1">
      <c r="A300" s="399">
        <f t="shared" si="155"/>
        <v>44120</v>
      </c>
      <c r="B300" s="112">
        <v>90.0</v>
      </c>
      <c r="C300" s="124">
        <v>280.97</v>
      </c>
      <c r="D300" s="124">
        <v>650.0</v>
      </c>
      <c r="E300" s="124">
        <v>50.0</v>
      </c>
      <c r="F300" s="141">
        <f t="shared" si="154"/>
        <v>1070.97</v>
      </c>
      <c r="G300" s="99">
        <v>16.0</v>
      </c>
      <c r="H300" s="99">
        <v>5.0</v>
      </c>
      <c r="I300" s="59">
        <v>50.0</v>
      </c>
    </row>
    <row r="301" ht="12.75" customHeight="1">
      <c r="A301" s="381"/>
      <c r="B301" s="68">
        <f t="shared" ref="B301:I301" si="156">SUM(B296:B300)</f>
        <v>500</v>
      </c>
      <c r="C301" s="68">
        <f t="shared" si="156"/>
        <v>531.94</v>
      </c>
      <c r="D301" s="68">
        <f t="shared" si="156"/>
        <v>4380</v>
      </c>
      <c r="E301" s="68">
        <f t="shared" si="156"/>
        <v>360</v>
      </c>
      <c r="F301" s="68">
        <f t="shared" si="156"/>
        <v>5771.94</v>
      </c>
      <c r="G301" s="140">
        <f t="shared" si="156"/>
        <v>97</v>
      </c>
      <c r="H301" s="140">
        <f t="shared" si="156"/>
        <v>9</v>
      </c>
      <c r="I301" s="91">
        <f t="shared" si="156"/>
        <v>370</v>
      </c>
    </row>
    <row r="302" ht="12.75" customHeight="1">
      <c r="A302" s="137"/>
      <c r="B302" s="75"/>
      <c r="C302" s="75"/>
      <c r="D302" s="75"/>
      <c r="E302" s="75"/>
      <c r="F302" s="75"/>
      <c r="G302" s="92"/>
      <c r="H302" s="92"/>
      <c r="I302" s="74"/>
    </row>
    <row r="303" ht="12.75" customHeight="1">
      <c r="A303" s="403">
        <f>A300+3</f>
        <v>44123</v>
      </c>
      <c r="B303" s="112">
        <v>240.0</v>
      </c>
      <c r="C303" s="112">
        <v>227.01</v>
      </c>
      <c r="D303" s="112">
        <v>1160.0</v>
      </c>
      <c r="E303" s="112">
        <v>150.0</v>
      </c>
      <c r="F303" s="209">
        <f t="shared" ref="F303:F307" si="157">SUM(B303:E303)</f>
        <v>1777.01</v>
      </c>
      <c r="G303" s="98">
        <v>33.0</v>
      </c>
      <c r="H303" s="101">
        <v>6.0</v>
      </c>
      <c r="I303" s="59">
        <v>140.0</v>
      </c>
    </row>
    <row r="304" ht="12.75" customHeight="1">
      <c r="A304" s="404">
        <f t="shared" ref="A304:A307" si="158">A303+1</f>
        <v>44124</v>
      </c>
      <c r="B304" s="112">
        <v>120.0</v>
      </c>
      <c r="C304" s="112">
        <v>187.39</v>
      </c>
      <c r="D304" s="112">
        <v>860.0</v>
      </c>
      <c r="E304" s="112">
        <v>50.0</v>
      </c>
      <c r="F304" s="209">
        <f t="shared" si="157"/>
        <v>1217.39</v>
      </c>
      <c r="G304" s="112">
        <v>21.0</v>
      </c>
      <c r="H304" s="112">
        <v>4.0</v>
      </c>
      <c r="I304" s="59">
        <v>50.0</v>
      </c>
    </row>
    <row r="305" ht="12.75" customHeight="1">
      <c r="A305" s="404">
        <f t="shared" si="158"/>
        <v>44125</v>
      </c>
      <c r="B305" s="150"/>
      <c r="C305" s="150"/>
      <c r="D305" s="150"/>
      <c r="E305" s="150"/>
      <c r="F305" s="261">
        <f t="shared" si="157"/>
        <v>0</v>
      </c>
      <c r="G305" s="150"/>
      <c r="H305" s="150"/>
      <c r="I305" s="138"/>
    </row>
    <row r="306" ht="12.75" customHeight="1">
      <c r="A306" s="404">
        <f t="shared" si="158"/>
        <v>44126</v>
      </c>
      <c r="B306" s="150"/>
      <c r="C306" s="150"/>
      <c r="D306" s="150"/>
      <c r="E306" s="150"/>
      <c r="F306" s="261">
        <f t="shared" si="157"/>
        <v>0</v>
      </c>
      <c r="G306" s="150"/>
      <c r="H306" s="150"/>
      <c r="I306" s="138"/>
    </row>
    <row r="307" ht="12.75" customHeight="1">
      <c r="A307" s="404">
        <f t="shared" si="158"/>
        <v>44127</v>
      </c>
      <c r="B307" s="260"/>
      <c r="C307" s="260"/>
      <c r="D307" s="260"/>
      <c r="E307" s="260"/>
      <c r="F307" s="262">
        <f t="shared" si="157"/>
        <v>0</v>
      </c>
      <c r="G307" s="260"/>
      <c r="H307" s="260"/>
      <c r="I307" s="417"/>
    </row>
    <row r="308" ht="12.75" customHeight="1">
      <c r="A308" s="381"/>
      <c r="B308" s="68">
        <f t="shared" ref="B308:I308" si="159">SUM(B303:B307)</f>
        <v>360</v>
      </c>
      <c r="C308" s="68">
        <f t="shared" si="159"/>
        <v>414.4</v>
      </c>
      <c r="D308" s="68">
        <f t="shared" si="159"/>
        <v>2020</v>
      </c>
      <c r="E308" s="68">
        <f t="shared" si="159"/>
        <v>200</v>
      </c>
      <c r="F308" s="68">
        <f t="shared" si="159"/>
        <v>2994.4</v>
      </c>
      <c r="G308" s="140">
        <f t="shared" si="159"/>
        <v>54</v>
      </c>
      <c r="H308" s="140">
        <f t="shared" si="159"/>
        <v>10</v>
      </c>
      <c r="I308" s="91">
        <f t="shared" si="159"/>
        <v>190</v>
      </c>
    </row>
    <row r="309" ht="12.75" customHeight="1">
      <c r="A309" s="137"/>
      <c r="B309" s="75"/>
      <c r="C309" s="75"/>
      <c r="D309" s="75"/>
      <c r="E309" s="75"/>
      <c r="F309" s="75"/>
      <c r="G309" s="92"/>
      <c r="H309" s="92"/>
      <c r="I309" s="74"/>
    </row>
    <row r="310" ht="12.75" customHeight="1">
      <c r="A310" s="404">
        <f>A307+3</f>
        <v>44130</v>
      </c>
      <c r="B310" s="112">
        <v>140.0</v>
      </c>
      <c r="C310" s="112">
        <v>116.7</v>
      </c>
      <c r="D310" s="112">
        <v>740.0</v>
      </c>
      <c r="E310" s="112">
        <v>200.0</v>
      </c>
      <c r="F310" s="209">
        <f t="shared" ref="F310:F314" si="160">SUM(B310:E310)</f>
        <v>1196.7</v>
      </c>
      <c r="G310" s="98">
        <v>25.0</v>
      </c>
      <c r="H310" s="101">
        <v>3.0</v>
      </c>
      <c r="I310" s="59">
        <v>200.0</v>
      </c>
    </row>
    <row r="311" ht="12.75" customHeight="1">
      <c r="A311" s="404">
        <f t="shared" ref="A311:A314" si="161">A310+1</f>
        <v>44131</v>
      </c>
      <c r="B311" s="112">
        <v>140.0</v>
      </c>
      <c r="C311" s="112">
        <v>219.18</v>
      </c>
      <c r="D311" s="112">
        <v>1029.31</v>
      </c>
      <c r="E311" s="112">
        <v>50.0</v>
      </c>
      <c r="F311" s="209">
        <f t="shared" si="160"/>
        <v>1438.49</v>
      </c>
      <c r="G311" s="112">
        <v>25.0</v>
      </c>
      <c r="H311" s="112">
        <v>4.0</v>
      </c>
      <c r="I311" s="59">
        <v>50.0</v>
      </c>
    </row>
    <row r="312" ht="12.75" customHeight="1">
      <c r="A312" s="404">
        <f t="shared" si="161"/>
        <v>44132</v>
      </c>
      <c r="B312" s="112">
        <v>240.0</v>
      </c>
      <c r="C312" s="112">
        <v>181.47</v>
      </c>
      <c r="D312" s="112">
        <v>540.0</v>
      </c>
      <c r="E312" s="112">
        <v>18.84</v>
      </c>
      <c r="F312" s="209">
        <f t="shared" si="160"/>
        <v>980.31</v>
      </c>
      <c r="G312" s="112">
        <v>18.0</v>
      </c>
      <c r="H312" s="112">
        <v>3.0</v>
      </c>
      <c r="I312" s="59">
        <v>20.0</v>
      </c>
    </row>
    <row r="313" ht="12.75" customHeight="1">
      <c r="A313" s="404">
        <f t="shared" si="161"/>
        <v>44133</v>
      </c>
      <c r="B313" s="112">
        <v>119.31</v>
      </c>
      <c r="C313" s="112">
        <v>258.08</v>
      </c>
      <c r="D313" s="112">
        <v>830.0</v>
      </c>
      <c r="E313" s="112">
        <v>100.0</v>
      </c>
      <c r="F313" s="209">
        <f t="shared" si="160"/>
        <v>1307.39</v>
      </c>
      <c r="G313" s="112">
        <v>26.0</v>
      </c>
      <c r="H313" s="112">
        <v>5.0</v>
      </c>
      <c r="I313" s="59">
        <v>110.0</v>
      </c>
    </row>
    <row r="314" ht="12.75" customHeight="1">
      <c r="A314" s="404">
        <f t="shared" si="161"/>
        <v>44134</v>
      </c>
      <c r="B314" s="112">
        <v>190.0</v>
      </c>
      <c r="C314" s="112">
        <v>68.9</v>
      </c>
      <c r="D314" s="112">
        <v>1120.0</v>
      </c>
      <c r="E314" s="112">
        <v>140.0</v>
      </c>
      <c r="F314" s="209">
        <f t="shared" si="160"/>
        <v>1518.9</v>
      </c>
      <c r="G314" s="112">
        <v>24.0</v>
      </c>
      <c r="H314" s="112">
        <v>2.0</v>
      </c>
      <c r="I314" s="59">
        <v>130.0</v>
      </c>
    </row>
    <row r="315" ht="12.75" customHeight="1">
      <c r="A315" s="381"/>
      <c r="B315" s="68">
        <f t="shared" ref="B315:I315" si="162">SUM(B310:B314)</f>
        <v>829.31</v>
      </c>
      <c r="C315" s="68">
        <f t="shared" si="162"/>
        <v>844.33</v>
      </c>
      <c r="D315" s="68">
        <f t="shared" si="162"/>
        <v>4259.31</v>
      </c>
      <c r="E315" s="68">
        <f t="shared" si="162"/>
        <v>508.84</v>
      </c>
      <c r="F315" s="68">
        <f t="shared" si="162"/>
        <v>6441.79</v>
      </c>
      <c r="G315" s="128">
        <f t="shared" si="162"/>
        <v>118</v>
      </c>
      <c r="H315" s="128">
        <f t="shared" si="162"/>
        <v>17</v>
      </c>
      <c r="I315" s="145">
        <f t="shared" si="162"/>
        <v>510</v>
      </c>
    </row>
    <row r="316" ht="12.75" customHeight="1">
      <c r="A316" s="137"/>
      <c r="B316" s="75"/>
      <c r="C316" s="75"/>
      <c r="D316" s="75"/>
      <c r="E316" s="75"/>
      <c r="F316" s="75"/>
      <c r="G316" s="75"/>
      <c r="H316" s="75"/>
      <c r="I316" s="74"/>
    </row>
    <row r="317" ht="12.75" customHeight="1">
      <c r="A317" s="123">
        <v>44137.0</v>
      </c>
      <c r="B317" s="220">
        <v>50.0</v>
      </c>
      <c r="C317" s="221">
        <v>158.11</v>
      </c>
      <c r="D317" s="221">
        <v>310.0</v>
      </c>
      <c r="E317" s="221">
        <v>90.0</v>
      </c>
      <c r="F317" s="222">
        <f t="shared" ref="F317:F321" si="163">SUM(B317:E317)</f>
        <v>608.11</v>
      </c>
      <c r="G317" s="99">
        <v>12.0</v>
      </c>
      <c r="H317" s="99">
        <v>4.0</v>
      </c>
      <c r="I317" s="223">
        <v>90.0</v>
      </c>
    </row>
    <row r="318" ht="12.75" customHeight="1">
      <c r="A318" s="123">
        <f t="shared" ref="A318:A321" si="164">A317+1</f>
        <v>44138</v>
      </c>
      <c r="B318" s="224">
        <v>100.0</v>
      </c>
      <c r="C318" s="225">
        <v>180.28</v>
      </c>
      <c r="D318" s="225">
        <v>750.0</v>
      </c>
      <c r="E318" s="225">
        <v>50.0</v>
      </c>
      <c r="F318" s="222">
        <f t="shared" si="163"/>
        <v>1080.28</v>
      </c>
      <c r="G318" s="81">
        <v>17.0</v>
      </c>
      <c r="H318" s="81">
        <v>3.0</v>
      </c>
      <c r="I318" s="226">
        <v>50.0</v>
      </c>
    </row>
    <row r="319" ht="12.75" customHeight="1">
      <c r="A319" s="123">
        <f t="shared" si="164"/>
        <v>44139</v>
      </c>
      <c r="B319" s="224">
        <v>50.0</v>
      </c>
      <c r="C319" s="225">
        <v>155.6</v>
      </c>
      <c r="D319" s="225">
        <v>270.0</v>
      </c>
      <c r="E319" s="225">
        <v>50.0</v>
      </c>
      <c r="F319" s="222">
        <f t="shared" si="163"/>
        <v>525.6</v>
      </c>
      <c r="G319" s="81">
        <v>11.0</v>
      </c>
      <c r="H319" s="81">
        <v>4.0</v>
      </c>
      <c r="I319" s="226">
        <v>50.0</v>
      </c>
    </row>
    <row r="320" ht="12.75" customHeight="1">
      <c r="A320" s="123">
        <f t="shared" si="164"/>
        <v>44140</v>
      </c>
      <c r="B320" s="418"/>
      <c r="C320" s="212"/>
      <c r="D320" s="212"/>
      <c r="E320" s="212"/>
      <c r="F320" s="212">
        <f t="shared" si="163"/>
        <v>0</v>
      </c>
      <c r="G320" s="84"/>
      <c r="H320" s="84"/>
      <c r="I320" s="214"/>
    </row>
    <row r="321" ht="12.75" customHeight="1">
      <c r="A321" s="123">
        <f t="shared" si="164"/>
        <v>44141</v>
      </c>
      <c r="B321" s="224">
        <v>240.0</v>
      </c>
      <c r="C321" s="225">
        <v>190.62</v>
      </c>
      <c r="D321" s="225">
        <v>800.0</v>
      </c>
      <c r="E321" s="225">
        <v>0.0</v>
      </c>
      <c r="F321" s="222">
        <f t="shared" si="163"/>
        <v>1230.62</v>
      </c>
      <c r="G321" s="81">
        <v>24.0</v>
      </c>
      <c r="H321" s="81">
        <v>5.0</v>
      </c>
      <c r="I321" s="226">
        <v>0.0</v>
      </c>
    </row>
    <row r="322" ht="12.75" customHeight="1">
      <c r="A322" s="395"/>
      <c r="B322" s="217">
        <f t="shared" ref="B322:I322" si="165">SUM(B317:B321)</f>
        <v>440</v>
      </c>
      <c r="C322" s="217">
        <f t="shared" si="165"/>
        <v>684.61</v>
      </c>
      <c r="D322" s="217">
        <f t="shared" si="165"/>
        <v>2130</v>
      </c>
      <c r="E322" s="217">
        <f t="shared" si="165"/>
        <v>190</v>
      </c>
      <c r="F322" s="217">
        <f t="shared" si="165"/>
        <v>3444.61</v>
      </c>
      <c r="G322" s="218">
        <f t="shared" si="165"/>
        <v>64</v>
      </c>
      <c r="H322" s="218">
        <f t="shared" si="165"/>
        <v>16</v>
      </c>
      <c r="I322" s="217">
        <f t="shared" si="165"/>
        <v>190</v>
      </c>
    </row>
    <row r="323" ht="12.75" customHeight="1">
      <c r="A323" s="401"/>
      <c r="B323" s="74"/>
      <c r="C323" s="74"/>
      <c r="D323" s="74"/>
      <c r="E323" s="74"/>
      <c r="F323" s="74"/>
      <c r="G323" s="74"/>
      <c r="H323" s="74"/>
      <c r="I323" s="74"/>
    </row>
    <row r="324" ht="12.75" customHeight="1">
      <c r="A324" s="129">
        <f>A321+3</f>
        <v>44144</v>
      </c>
      <c r="B324" s="227">
        <v>210.0</v>
      </c>
      <c r="C324" s="228">
        <v>468.36</v>
      </c>
      <c r="D324" s="228">
        <v>840.0</v>
      </c>
      <c r="E324" s="228">
        <v>150.0</v>
      </c>
      <c r="F324" s="213">
        <f t="shared" ref="F324:F328" si="166">SUM(B324:E324)</f>
        <v>1668.36</v>
      </c>
      <c r="G324" s="81">
        <v>23.0</v>
      </c>
      <c r="H324" s="81">
        <v>9.0</v>
      </c>
      <c r="I324" s="229">
        <v>150.0</v>
      </c>
    </row>
    <row r="325" ht="12.75" customHeight="1">
      <c r="A325" s="129">
        <f t="shared" ref="A325:A328" si="167">A324+1</f>
        <v>44145</v>
      </c>
      <c r="B325" s="227">
        <v>50.0</v>
      </c>
      <c r="C325" s="228">
        <v>155.6</v>
      </c>
      <c r="D325" s="228">
        <v>750.0</v>
      </c>
      <c r="E325" s="228">
        <v>70.0</v>
      </c>
      <c r="F325" s="213">
        <f t="shared" si="166"/>
        <v>1025.6</v>
      </c>
      <c r="G325" s="81">
        <v>17.0</v>
      </c>
      <c r="H325" s="81">
        <v>4.0</v>
      </c>
      <c r="I325" s="229">
        <v>70.0</v>
      </c>
    </row>
    <row r="326" ht="12.75" customHeight="1">
      <c r="A326" s="129">
        <f t="shared" si="167"/>
        <v>44146</v>
      </c>
      <c r="B326" s="230"/>
      <c r="C326" s="231"/>
      <c r="D326" s="231"/>
      <c r="E326" s="231"/>
      <c r="F326" s="233">
        <f t="shared" si="166"/>
        <v>0</v>
      </c>
      <c r="G326" s="84"/>
      <c r="H326" s="84"/>
      <c r="I326" s="232"/>
    </row>
    <row r="327" ht="12.75" customHeight="1">
      <c r="A327" s="129">
        <f t="shared" si="167"/>
        <v>44147</v>
      </c>
      <c r="B327" s="227">
        <v>360.0</v>
      </c>
      <c r="C327" s="228">
        <v>189.9</v>
      </c>
      <c r="D327" s="228">
        <v>1319.31</v>
      </c>
      <c r="E327" s="228">
        <v>50.0</v>
      </c>
      <c r="F327" s="213">
        <f t="shared" si="166"/>
        <v>1919.21</v>
      </c>
      <c r="G327" s="81">
        <v>29.0</v>
      </c>
      <c r="H327" s="81">
        <v>4.0</v>
      </c>
      <c r="I327" s="229">
        <v>50.0</v>
      </c>
    </row>
    <row r="328" ht="12.75" customHeight="1">
      <c r="A328" s="129">
        <f t="shared" si="167"/>
        <v>44148</v>
      </c>
      <c r="B328" s="227">
        <v>220.0</v>
      </c>
      <c r="C328" s="228">
        <v>187.39</v>
      </c>
      <c r="D328" s="228">
        <v>980.0</v>
      </c>
      <c r="E328" s="228">
        <v>50.0</v>
      </c>
      <c r="F328" s="213">
        <f t="shared" si="166"/>
        <v>1437.39</v>
      </c>
      <c r="G328" s="81">
        <v>25.0</v>
      </c>
      <c r="H328" s="81">
        <v>4.0</v>
      </c>
      <c r="I328" s="229">
        <v>50.0</v>
      </c>
    </row>
    <row r="329" ht="12.75" customHeight="1">
      <c r="A329" s="381"/>
      <c r="B329" s="215">
        <f t="shared" ref="B329:I329" si="168">SUM(B324:B328)</f>
        <v>840</v>
      </c>
      <c r="C329" s="215">
        <f t="shared" si="168"/>
        <v>1001.25</v>
      </c>
      <c r="D329" s="215">
        <f t="shared" si="168"/>
        <v>3889.31</v>
      </c>
      <c r="E329" s="215">
        <f t="shared" si="168"/>
        <v>320</v>
      </c>
      <c r="F329" s="216">
        <f t="shared" si="168"/>
        <v>6050.56</v>
      </c>
      <c r="G329" s="218">
        <f t="shared" si="168"/>
        <v>94</v>
      </c>
      <c r="H329" s="218">
        <f t="shared" si="168"/>
        <v>21</v>
      </c>
      <c r="I329" s="217">
        <f t="shared" si="168"/>
        <v>320</v>
      </c>
    </row>
    <row r="330" ht="12.75" customHeight="1">
      <c r="A330" s="137"/>
      <c r="B330" s="92"/>
      <c r="C330" s="92"/>
      <c r="D330" s="92"/>
      <c r="E330" s="92"/>
      <c r="F330" s="234"/>
      <c r="G330" s="74"/>
      <c r="H330" s="74"/>
      <c r="I330" s="94"/>
    </row>
    <row r="331" ht="12.75" customHeight="1">
      <c r="A331" s="123">
        <f>A328+3</f>
        <v>44151</v>
      </c>
      <c r="B331" s="220">
        <v>190.0</v>
      </c>
      <c r="C331" s="221">
        <v>0.0</v>
      </c>
      <c r="D331" s="221">
        <v>670.0</v>
      </c>
      <c r="E331" s="221">
        <v>0.0</v>
      </c>
      <c r="F331" s="235">
        <f t="shared" ref="F331:F335" si="169">SUM(B331:E331)</f>
        <v>860</v>
      </c>
      <c r="G331" s="59">
        <v>12.0</v>
      </c>
      <c r="H331" s="59">
        <v>0.0</v>
      </c>
      <c r="I331" s="223">
        <v>0.0</v>
      </c>
    </row>
    <row r="332" ht="12.75" customHeight="1">
      <c r="A332" s="123">
        <f t="shared" ref="A332:A335" si="170">A331+1</f>
        <v>44152</v>
      </c>
      <c r="B332" s="227">
        <v>240.0</v>
      </c>
      <c r="C332" s="228">
        <v>258.08</v>
      </c>
      <c r="D332" s="228">
        <v>870.0</v>
      </c>
      <c r="E332" s="228">
        <v>50.0</v>
      </c>
      <c r="F332" s="235">
        <f t="shared" si="169"/>
        <v>1418.08</v>
      </c>
      <c r="G332" s="81">
        <v>25.0</v>
      </c>
      <c r="H332" s="81">
        <v>5.0</v>
      </c>
      <c r="I332" s="236">
        <v>50.0</v>
      </c>
    </row>
    <row r="333" ht="12.75" customHeight="1">
      <c r="A333" s="123">
        <f t="shared" si="170"/>
        <v>44153</v>
      </c>
      <c r="B333" s="227">
        <v>140.0</v>
      </c>
      <c r="C333" s="228">
        <v>77.8</v>
      </c>
      <c r="D333" s="228">
        <v>420.0</v>
      </c>
      <c r="E333" s="228">
        <v>0.0</v>
      </c>
      <c r="F333" s="235">
        <f t="shared" si="169"/>
        <v>637.8</v>
      </c>
      <c r="G333" s="81">
        <v>13.0</v>
      </c>
      <c r="H333" s="81">
        <v>2.0</v>
      </c>
      <c r="I333" s="236">
        <v>0.0</v>
      </c>
    </row>
    <row r="334" ht="12.75" customHeight="1">
      <c r="A334" s="123">
        <f t="shared" si="170"/>
        <v>44154</v>
      </c>
      <c r="B334" s="227">
        <v>140.0</v>
      </c>
      <c r="C334" s="228">
        <v>267.7</v>
      </c>
      <c r="D334" s="228">
        <v>870.0</v>
      </c>
      <c r="E334" s="228">
        <v>249.31</v>
      </c>
      <c r="F334" s="235">
        <f t="shared" si="169"/>
        <v>1527.01</v>
      </c>
      <c r="G334" s="81">
        <v>29.0</v>
      </c>
      <c r="H334" s="81">
        <v>6.0</v>
      </c>
      <c r="I334" s="236">
        <v>250.0</v>
      </c>
    </row>
    <row r="335" ht="12.75" customHeight="1">
      <c r="A335" s="123">
        <f t="shared" si="170"/>
        <v>44155</v>
      </c>
      <c r="B335" s="227">
        <v>0.0</v>
      </c>
      <c r="C335" s="228">
        <v>438.36</v>
      </c>
      <c r="D335" s="228">
        <v>590.0</v>
      </c>
      <c r="E335" s="228">
        <v>210.0</v>
      </c>
      <c r="F335" s="235">
        <f t="shared" si="169"/>
        <v>1238.36</v>
      </c>
      <c r="G335" s="81">
        <v>24.0</v>
      </c>
      <c r="H335" s="81">
        <v>8.0</v>
      </c>
      <c r="I335" s="237">
        <v>210.0</v>
      </c>
    </row>
    <row r="336" ht="12.75" customHeight="1">
      <c r="A336" s="381"/>
      <c r="B336" s="215">
        <f t="shared" ref="B336:I336" si="171">SUM(B331:B335)</f>
        <v>710</v>
      </c>
      <c r="C336" s="215">
        <f t="shared" si="171"/>
        <v>1041.94</v>
      </c>
      <c r="D336" s="215">
        <f t="shared" si="171"/>
        <v>3420</v>
      </c>
      <c r="E336" s="215">
        <f t="shared" si="171"/>
        <v>509.31</v>
      </c>
      <c r="F336" s="216">
        <f t="shared" si="171"/>
        <v>5681.25</v>
      </c>
      <c r="G336" s="218">
        <f t="shared" si="171"/>
        <v>103</v>
      </c>
      <c r="H336" s="218">
        <f t="shared" si="171"/>
        <v>21</v>
      </c>
      <c r="I336" s="217">
        <f t="shared" si="171"/>
        <v>510</v>
      </c>
    </row>
    <row r="337" ht="12.75" customHeight="1">
      <c r="A337" s="137"/>
      <c r="B337" s="92"/>
      <c r="C337" s="92"/>
      <c r="D337" s="92"/>
      <c r="E337" s="92"/>
      <c r="F337" s="234"/>
      <c r="G337" s="94"/>
      <c r="H337" s="94"/>
      <c r="I337" s="94"/>
    </row>
    <row r="338" ht="12.75" customHeight="1">
      <c r="A338" s="123">
        <f>A335+3</f>
        <v>44158</v>
      </c>
      <c r="B338" s="220">
        <v>90.0</v>
      </c>
      <c r="C338" s="221">
        <v>109.59</v>
      </c>
      <c r="D338" s="221">
        <v>1120.0</v>
      </c>
      <c r="E338" s="223">
        <v>120.0</v>
      </c>
      <c r="F338" s="238">
        <f t="shared" ref="F338:F342" si="172">SUM(B338:E338)</f>
        <v>1439.59</v>
      </c>
      <c r="G338" s="98">
        <v>25.0</v>
      </c>
      <c r="H338" s="99">
        <v>2.0</v>
      </c>
      <c r="I338" s="223">
        <v>120.0</v>
      </c>
    </row>
    <row r="339" ht="12.75" customHeight="1">
      <c r="A339" s="123">
        <f t="shared" ref="A339:A342" si="173">A338+1</f>
        <v>44159</v>
      </c>
      <c r="B339" s="224">
        <v>0.0</v>
      </c>
      <c r="C339" s="225">
        <v>155.6</v>
      </c>
      <c r="D339" s="225">
        <v>610.0</v>
      </c>
      <c r="E339" s="226">
        <v>50.0</v>
      </c>
      <c r="F339" s="238">
        <f t="shared" si="172"/>
        <v>815.6</v>
      </c>
      <c r="G339" s="103">
        <v>14.0</v>
      </c>
      <c r="H339" s="81">
        <v>4.0</v>
      </c>
      <c r="I339" s="226">
        <v>60.0</v>
      </c>
    </row>
    <row r="340" ht="12.75" customHeight="1">
      <c r="A340" s="123">
        <f t="shared" si="173"/>
        <v>44160</v>
      </c>
      <c r="B340" s="239">
        <v>50.0</v>
      </c>
      <c r="C340" s="240">
        <v>327.45</v>
      </c>
      <c r="D340" s="240">
        <v>748.84</v>
      </c>
      <c r="E340" s="241">
        <v>70.0</v>
      </c>
      <c r="F340" s="238">
        <f t="shared" si="172"/>
        <v>1196.29</v>
      </c>
      <c r="G340" s="242">
        <v>21.0</v>
      </c>
      <c r="H340" s="89">
        <v>6.0</v>
      </c>
      <c r="I340" s="241">
        <v>80.0</v>
      </c>
    </row>
    <row r="341" ht="12.75" customHeight="1">
      <c r="A341" s="123">
        <f t="shared" si="173"/>
        <v>44161</v>
      </c>
      <c r="B341" s="239">
        <v>410.0</v>
      </c>
      <c r="C341" s="240">
        <v>268.67</v>
      </c>
      <c r="D341" s="240">
        <v>680.0</v>
      </c>
      <c r="E341" s="241">
        <v>270.51</v>
      </c>
      <c r="F341" s="238">
        <f t="shared" si="172"/>
        <v>1629.18</v>
      </c>
      <c r="G341" s="242">
        <v>25.0</v>
      </c>
      <c r="H341" s="89">
        <v>5.0</v>
      </c>
      <c r="I341" s="241">
        <v>290.0</v>
      </c>
    </row>
    <row r="342" ht="12.75" customHeight="1">
      <c r="A342" s="123">
        <f t="shared" si="173"/>
        <v>44162</v>
      </c>
      <c r="B342" s="239">
        <v>230.0</v>
      </c>
      <c r="C342" s="240">
        <v>296.98</v>
      </c>
      <c r="D342" s="240">
        <v>530.0</v>
      </c>
      <c r="E342" s="241">
        <v>170.0</v>
      </c>
      <c r="F342" s="238">
        <f t="shared" si="172"/>
        <v>1226.98</v>
      </c>
      <c r="G342" s="242">
        <v>21.0</v>
      </c>
      <c r="H342" s="89">
        <v>6.0</v>
      </c>
      <c r="I342" s="241">
        <v>170.0</v>
      </c>
    </row>
    <row r="343" ht="12.75" customHeight="1">
      <c r="A343" s="381"/>
      <c r="B343" s="246">
        <f t="shared" ref="B343:E343" si="174">SUM(B338:B342)</f>
        <v>780</v>
      </c>
      <c r="C343" s="246">
        <f t="shared" si="174"/>
        <v>1158.29</v>
      </c>
      <c r="D343" s="246">
        <f t="shared" si="174"/>
        <v>3688.84</v>
      </c>
      <c r="E343" s="246">
        <f t="shared" si="174"/>
        <v>680.51</v>
      </c>
      <c r="F343" s="216">
        <f>SUM(F337:F342)</f>
        <v>6307.64</v>
      </c>
      <c r="G343" s="174">
        <f t="shared" ref="G343:I343" si="175">SUM(G338:G342)</f>
        <v>106</v>
      </c>
      <c r="H343" s="174">
        <f t="shared" si="175"/>
        <v>23</v>
      </c>
      <c r="I343" s="246">
        <f t="shared" si="175"/>
        <v>720</v>
      </c>
    </row>
    <row r="344" ht="12.75" customHeight="1">
      <c r="A344" s="137"/>
      <c r="B344" s="74"/>
      <c r="C344" s="74"/>
      <c r="D344" s="74"/>
      <c r="E344" s="74"/>
      <c r="F344" s="234"/>
      <c r="G344" s="74"/>
      <c r="H344" s="74"/>
      <c r="I344" s="74"/>
    </row>
    <row r="345" ht="12.75" customHeight="1">
      <c r="A345" s="123">
        <f>A342+3</f>
        <v>44165</v>
      </c>
      <c r="B345" s="59">
        <v>0.0</v>
      </c>
      <c r="C345" s="59">
        <v>70.69</v>
      </c>
      <c r="D345" s="59">
        <v>610.0</v>
      </c>
      <c r="E345" s="59">
        <v>150.0</v>
      </c>
      <c r="F345" s="60">
        <f t="shared" ref="F345:F349" si="176">SUM(B345:E345)</f>
        <v>830.69</v>
      </c>
      <c r="G345" s="59">
        <v>14.0</v>
      </c>
      <c r="H345" s="59">
        <v>1.0</v>
      </c>
      <c r="I345" s="61">
        <v>150.0</v>
      </c>
    </row>
    <row r="346" ht="12.75" customHeight="1">
      <c r="A346" s="129">
        <v>44166.0</v>
      </c>
      <c r="B346" s="247">
        <v>50.0</v>
      </c>
      <c r="C346" s="81">
        <v>272.29</v>
      </c>
      <c r="D346" s="81">
        <v>670.0</v>
      </c>
      <c r="E346" s="81">
        <v>50.0</v>
      </c>
      <c r="F346" s="60">
        <f t="shared" si="176"/>
        <v>1042.29</v>
      </c>
      <c r="G346" s="81">
        <v>17.0</v>
      </c>
      <c r="H346" s="81">
        <v>6.0</v>
      </c>
      <c r="I346" s="83">
        <v>50.0</v>
      </c>
    </row>
    <row r="347" ht="12.75" customHeight="1">
      <c r="A347" s="129">
        <f t="shared" ref="A347:A349" si="177">A346+1</f>
        <v>44167</v>
      </c>
      <c r="B347" s="247">
        <v>120.0</v>
      </c>
      <c r="C347" s="81">
        <v>116.7</v>
      </c>
      <c r="D347" s="81">
        <v>270.0</v>
      </c>
      <c r="E347" s="81">
        <v>50.0</v>
      </c>
      <c r="F347" s="60">
        <f t="shared" si="176"/>
        <v>556.7</v>
      </c>
      <c r="G347" s="81">
        <v>11.0</v>
      </c>
      <c r="H347" s="81">
        <v>3.0</v>
      </c>
      <c r="I347" s="83">
        <v>50.0</v>
      </c>
    </row>
    <row r="348" ht="12.75" customHeight="1">
      <c r="A348" s="129">
        <f t="shared" si="177"/>
        <v>44168</v>
      </c>
      <c r="B348" s="81">
        <v>100.0</v>
      </c>
      <c r="C348" s="81">
        <v>445.47</v>
      </c>
      <c r="D348" s="81">
        <v>669.31</v>
      </c>
      <c r="E348" s="81">
        <v>240.0</v>
      </c>
      <c r="F348" s="60">
        <f t="shared" si="176"/>
        <v>1454.78</v>
      </c>
      <c r="G348" s="81">
        <v>26.0</v>
      </c>
      <c r="H348" s="81">
        <v>9.0</v>
      </c>
      <c r="I348" s="83">
        <v>240.0</v>
      </c>
    </row>
    <row r="349" ht="12.75" customHeight="1">
      <c r="A349" s="129">
        <f t="shared" si="177"/>
        <v>44169</v>
      </c>
      <c r="B349" s="81">
        <v>270.0</v>
      </c>
      <c r="C349" s="81">
        <v>141.38</v>
      </c>
      <c r="D349" s="81">
        <v>950.0</v>
      </c>
      <c r="E349" s="81">
        <v>50.0</v>
      </c>
      <c r="F349" s="60">
        <f t="shared" si="176"/>
        <v>1411.38</v>
      </c>
      <c r="G349" s="81">
        <v>21.0</v>
      </c>
      <c r="H349" s="81">
        <v>2.0</v>
      </c>
      <c r="I349" s="83">
        <v>50.0</v>
      </c>
    </row>
    <row r="350" ht="12.75" customHeight="1">
      <c r="A350" s="381"/>
      <c r="B350" s="68">
        <f t="shared" ref="B350:I350" si="178">SUM(B346:B349)</f>
        <v>540</v>
      </c>
      <c r="C350" s="68">
        <f t="shared" si="178"/>
        <v>975.84</v>
      </c>
      <c r="D350" s="68">
        <f t="shared" si="178"/>
        <v>2559.31</v>
      </c>
      <c r="E350" s="68">
        <f t="shared" si="178"/>
        <v>390</v>
      </c>
      <c r="F350" s="68">
        <f t="shared" si="178"/>
        <v>4465.15</v>
      </c>
      <c r="G350" s="70">
        <f t="shared" si="178"/>
        <v>75</v>
      </c>
      <c r="H350" s="70">
        <f t="shared" si="178"/>
        <v>20</v>
      </c>
      <c r="I350" s="91">
        <f t="shared" si="178"/>
        <v>390</v>
      </c>
    </row>
    <row r="351" ht="12.75" customHeight="1">
      <c r="A351" s="137"/>
      <c r="B351" s="75"/>
      <c r="C351" s="75"/>
      <c r="D351" s="75"/>
      <c r="E351" s="75"/>
      <c r="F351" s="75"/>
      <c r="G351" s="76"/>
      <c r="H351" s="76"/>
      <c r="I351" s="74"/>
    </row>
    <row r="352" ht="12.75" customHeight="1">
      <c r="A352" s="419">
        <f>A349+3</f>
        <v>44172</v>
      </c>
      <c r="B352" s="59">
        <v>100.0</v>
      </c>
      <c r="C352" s="59">
        <v>148.49</v>
      </c>
      <c r="D352" s="59">
        <v>1109.31</v>
      </c>
      <c r="E352" s="59">
        <v>120.0</v>
      </c>
      <c r="F352" s="60">
        <f t="shared" ref="F352:F356" si="179">SUM(B352:E352)</f>
        <v>1477.8</v>
      </c>
      <c r="G352" s="59">
        <v>27.0</v>
      </c>
      <c r="H352" s="59">
        <v>3.0</v>
      </c>
      <c r="I352" s="61">
        <v>120.0</v>
      </c>
    </row>
    <row r="353" ht="12.75" customHeight="1">
      <c r="A353" s="123">
        <f t="shared" ref="A353:A356" si="180">A352+1</f>
        <v>44173</v>
      </c>
      <c r="B353" s="59">
        <v>109.31</v>
      </c>
      <c r="C353" s="59">
        <v>141.38</v>
      </c>
      <c r="D353" s="59">
        <v>559.31</v>
      </c>
      <c r="E353" s="59">
        <v>0.0</v>
      </c>
      <c r="F353" s="141">
        <f t="shared" si="179"/>
        <v>810</v>
      </c>
      <c r="G353" s="124">
        <v>13.0</v>
      </c>
      <c r="H353" s="124">
        <v>2.0</v>
      </c>
      <c r="I353" s="61">
        <v>0.0</v>
      </c>
    </row>
    <row r="354" ht="12.75" customHeight="1">
      <c r="A354" s="123">
        <f t="shared" si="180"/>
        <v>44174</v>
      </c>
      <c r="B354" s="59">
        <v>50.0</v>
      </c>
      <c r="C354" s="59">
        <v>77.8</v>
      </c>
      <c r="D354" s="59">
        <v>490.0</v>
      </c>
      <c r="E354" s="59">
        <v>150.0</v>
      </c>
      <c r="F354" s="141">
        <f t="shared" si="179"/>
        <v>767.8</v>
      </c>
      <c r="G354" s="124">
        <v>16.0</v>
      </c>
      <c r="H354" s="124">
        <v>2.0</v>
      </c>
      <c r="I354" s="61">
        <v>150.0</v>
      </c>
    </row>
    <row r="355" ht="12.75" customHeight="1">
      <c r="A355" s="123">
        <f t="shared" si="180"/>
        <v>44175</v>
      </c>
      <c r="B355" s="59">
        <v>140.0</v>
      </c>
      <c r="C355" s="59">
        <v>231.31</v>
      </c>
      <c r="D355" s="59">
        <v>820.0</v>
      </c>
      <c r="E355" s="59">
        <v>50.0</v>
      </c>
      <c r="F355" s="141">
        <f t="shared" si="179"/>
        <v>1241.31</v>
      </c>
      <c r="G355" s="59">
        <v>26.0</v>
      </c>
      <c r="H355" s="59">
        <v>5.0</v>
      </c>
      <c r="I355" s="61">
        <v>50.0</v>
      </c>
    </row>
    <row r="356" ht="12.75" customHeight="1">
      <c r="A356" s="123">
        <f t="shared" si="180"/>
        <v>44176</v>
      </c>
      <c r="B356" s="211">
        <v>50.0</v>
      </c>
      <c r="C356" s="211">
        <v>80.31</v>
      </c>
      <c r="D356" s="211">
        <v>880.0</v>
      </c>
      <c r="E356" s="211">
        <v>50.0</v>
      </c>
      <c r="F356" s="141">
        <f t="shared" si="179"/>
        <v>1060.31</v>
      </c>
      <c r="G356" s="211">
        <v>20.0</v>
      </c>
      <c r="H356" s="211">
        <v>2.0</v>
      </c>
      <c r="I356" s="211">
        <v>50.0</v>
      </c>
    </row>
    <row r="357" ht="12.75" customHeight="1">
      <c r="A357" s="381"/>
      <c r="B357" s="68">
        <f t="shared" ref="B357:I357" si="181">SUM(B352:B356)</f>
        <v>449.31</v>
      </c>
      <c r="C357" s="68">
        <f t="shared" si="181"/>
        <v>679.29</v>
      </c>
      <c r="D357" s="68">
        <f t="shared" si="181"/>
        <v>3858.62</v>
      </c>
      <c r="E357" s="68">
        <f t="shared" si="181"/>
        <v>370</v>
      </c>
      <c r="F357" s="249">
        <f t="shared" si="181"/>
        <v>5357.22</v>
      </c>
      <c r="G357" s="218">
        <f t="shared" si="181"/>
        <v>102</v>
      </c>
      <c r="H357" s="140">
        <f t="shared" si="181"/>
        <v>14</v>
      </c>
      <c r="I357" s="91">
        <f t="shared" si="181"/>
        <v>370</v>
      </c>
    </row>
    <row r="358" ht="12.75" customHeight="1">
      <c r="A358" s="137"/>
      <c r="B358" s="75"/>
      <c r="C358" s="75"/>
      <c r="D358" s="75"/>
      <c r="E358" s="75"/>
      <c r="F358" s="234"/>
      <c r="G358" s="74"/>
      <c r="H358" s="75"/>
      <c r="I358" s="74"/>
    </row>
    <row r="359" ht="12.75" customHeight="1">
      <c r="A359" s="399">
        <f>A356+3</f>
        <v>44179</v>
      </c>
      <c r="B359" s="59">
        <v>150.0</v>
      </c>
      <c r="C359" s="59">
        <v>77.8</v>
      </c>
      <c r="D359" s="59">
        <v>620.0</v>
      </c>
      <c r="E359" s="59">
        <v>90.0</v>
      </c>
      <c r="F359" s="141">
        <f t="shared" ref="F359:F363" si="182">SUM(B359:E359)</f>
        <v>937.8</v>
      </c>
      <c r="G359" s="59">
        <v>16.0</v>
      </c>
      <c r="H359" s="59">
        <v>2.0</v>
      </c>
      <c r="I359" s="61">
        <v>90.0</v>
      </c>
    </row>
    <row r="360" ht="12.75" customHeight="1">
      <c r="A360" s="399">
        <f t="shared" ref="A360:A363" si="183">A359+1</f>
        <v>44180</v>
      </c>
      <c r="B360" s="81">
        <v>90.0</v>
      </c>
      <c r="C360" s="81">
        <v>70.69</v>
      </c>
      <c r="D360" s="81">
        <v>830.0</v>
      </c>
      <c r="E360" s="81">
        <v>0.0</v>
      </c>
      <c r="F360" s="60">
        <f t="shared" si="182"/>
        <v>990.69</v>
      </c>
      <c r="G360" s="81">
        <v>15.0</v>
      </c>
      <c r="H360" s="81">
        <v>1.0</v>
      </c>
      <c r="I360" s="83">
        <v>0.0</v>
      </c>
    </row>
    <row r="361" ht="12.75" customHeight="1">
      <c r="A361" s="399">
        <f t="shared" si="183"/>
        <v>44181</v>
      </c>
      <c r="B361" s="81">
        <v>70.0</v>
      </c>
      <c r="C361" s="81">
        <v>375.97</v>
      </c>
      <c r="D361" s="81">
        <v>300.0</v>
      </c>
      <c r="E361" s="81">
        <v>50.0</v>
      </c>
      <c r="F361" s="60">
        <f t="shared" si="182"/>
        <v>795.97</v>
      </c>
      <c r="G361" s="81">
        <v>16.0</v>
      </c>
      <c r="H361" s="81">
        <v>8.0</v>
      </c>
      <c r="I361" s="83">
        <v>50.0</v>
      </c>
    </row>
    <row r="362" ht="12.75" customHeight="1">
      <c r="A362" s="399">
        <f t="shared" si="183"/>
        <v>44182</v>
      </c>
      <c r="B362" s="81">
        <v>150.0</v>
      </c>
      <c r="C362" s="81">
        <v>0.0</v>
      </c>
      <c r="D362" s="81">
        <v>890.0</v>
      </c>
      <c r="E362" s="81">
        <v>150.0</v>
      </c>
      <c r="F362" s="60">
        <f t="shared" si="182"/>
        <v>1190</v>
      </c>
      <c r="G362" s="81">
        <v>20.0</v>
      </c>
      <c r="H362" s="81">
        <v>0.0</v>
      </c>
      <c r="I362" s="83">
        <v>150.0</v>
      </c>
    </row>
    <row r="363" ht="12.75" customHeight="1">
      <c r="A363" s="399">
        <f t="shared" si="183"/>
        <v>44183</v>
      </c>
      <c r="B363" s="81">
        <v>430.0</v>
      </c>
      <c r="C363" s="81">
        <v>180.28</v>
      </c>
      <c r="D363" s="81">
        <v>579.31</v>
      </c>
      <c r="E363" s="81">
        <v>140.0</v>
      </c>
      <c r="F363" s="60">
        <f t="shared" si="182"/>
        <v>1329.59</v>
      </c>
      <c r="G363" s="81">
        <v>22.0</v>
      </c>
      <c r="H363" s="81">
        <v>3.0</v>
      </c>
      <c r="I363" s="83">
        <v>150.0</v>
      </c>
    </row>
    <row r="364" ht="12.75" customHeight="1">
      <c r="A364" s="395"/>
      <c r="B364" s="68">
        <f t="shared" ref="B364:I364" si="184">SUM(B359:B363)</f>
        <v>890</v>
      </c>
      <c r="C364" s="68">
        <f t="shared" si="184"/>
        <v>704.74</v>
      </c>
      <c r="D364" s="68">
        <f t="shared" si="184"/>
        <v>3219.31</v>
      </c>
      <c r="E364" s="68">
        <f t="shared" si="184"/>
        <v>430</v>
      </c>
      <c r="F364" s="68">
        <f t="shared" si="184"/>
        <v>5244.05</v>
      </c>
      <c r="G364" s="70">
        <f t="shared" si="184"/>
        <v>89</v>
      </c>
      <c r="H364" s="70">
        <f t="shared" si="184"/>
        <v>14</v>
      </c>
      <c r="I364" s="91">
        <f t="shared" si="184"/>
        <v>440</v>
      </c>
    </row>
    <row r="365" ht="12.75" customHeight="1">
      <c r="A365" s="401"/>
      <c r="B365" s="75"/>
      <c r="C365" s="75"/>
      <c r="D365" s="75"/>
      <c r="E365" s="75"/>
      <c r="F365" s="75"/>
      <c r="G365" s="76"/>
      <c r="H365" s="76"/>
      <c r="I365" s="74"/>
    </row>
    <row r="366" ht="12.75" customHeight="1">
      <c r="A366" s="399">
        <f>A363+3</f>
        <v>44186</v>
      </c>
      <c r="B366" s="81">
        <v>19.31</v>
      </c>
      <c r="C366" s="81">
        <v>219.9</v>
      </c>
      <c r="D366" s="81">
        <v>820.0</v>
      </c>
      <c r="E366" s="81">
        <v>150.0</v>
      </c>
      <c r="F366" s="60">
        <f t="shared" ref="F366:F370" si="185">SUM(B366:E366)</f>
        <v>1209.21</v>
      </c>
      <c r="G366" s="81">
        <v>22.0</v>
      </c>
      <c r="H366" s="81">
        <v>5.0</v>
      </c>
      <c r="I366" s="83">
        <v>150.0</v>
      </c>
    </row>
    <row r="367" ht="12.75" customHeight="1">
      <c r="A367" s="399">
        <f t="shared" ref="A367:A370" si="186">A366+1</f>
        <v>44187</v>
      </c>
      <c r="B367" s="81">
        <v>0.0</v>
      </c>
      <c r="C367" s="81">
        <v>158.11</v>
      </c>
      <c r="D367" s="81">
        <v>240.0</v>
      </c>
      <c r="E367" s="81">
        <v>50.0</v>
      </c>
      <c r="F367" s="141">
        <f t="shared" si="185"/>
        <v>448.11</v>
      </c>
      <c r="G367" s="81">
        <v>9.0</v>
      </c>
      <c r="H367" s="81">
        <v>4.0</v>
      </c>
      <c r="I367" s="83">
        <v>50.0</v>
      </c>
    </row>
    <row r="368" ht="12.75" customHeight="1">
      <c r="A368" s="399">
        <f t="shared" si="186"/>
        <v>44188</v>
      </c>
      <c r="B368" s="84"/>
      <c r="C368" s="84"/>
      <c r="D368" s="84"/>
      <c r="E368" s="84"/>
      <c r="F368" s="151">
        <f t="shared" si="185"/>
        <v>0</v>
      </c>
      <c r="G368" s="84"/>
      <c r="H368" s="84"/>
      <c r="I368" s="86"/>
    </row>
    <row r="369" ht="12.75" customHeight="1">
      <c r="A369" s="399">
        <f t="shared" si="186"/>
        <v>44189</v>
      </c>
      <c r="B369" s="84"/>
      <c r="C369" s="84"/>
      <c r="D369" s="84"/>
      <c r="E369" s="84"/>
      <c r="F369" s="151">
        <f t="shared" si="185"/>
        <v>0</v>
      </c>
      <c r="G369" s="84"/>
      <c r="H369" s="84"/>
      <c r="I369" s="86"/>
    </row>
    <row r="370" ht="12.75" customHeight="1">
      <c r="A370" s="399">
        <f t="shared" si="186"/>
        <v>44190</v>
      </c>
      <c r="B370" s="84"/>
      <c r="C370" s="84"/>
      <c r="D370" s="84"/>
      <c r="E370" s="84"/>
      <c r="F370" s="151">
        <f t="shared" si="185"/>
        <v>0</v>
      </c>
      <c r="G370" s="84"/>
      <c r="H370" s="84"/>
      <c r="I370" s="86"/>
    </row>
    <row r="371" ht="12.75" customHeight="1">
      <c r="A371" s="395"/>
      <c r="B371" s="68">
        <f t="shared" ref="B371:I371" si="187">SUM(B366:B370)</f>
        <v>19.31</v>
      </c>
      <c r="C371" s="68">
        <f t="shared" si="187"/>
        <v>378.01</v>
      </c>
      <c r="D371" s="68">
        <f t="shared" si="187"/>
        <v>1060</v>
      </c>
      <c r="E371" s="68">
        <f t="shared" si="187"/>
        <v>200</v>
      </c>
      <c r="F371" s="68">
        <f t="shared" si="187"/>
        <v>1657.32</v>
      </c>
      <c r="G371" s="70">
        <f t="shared" si="187"/>
        <v>31</v>
      </c>
      <c r="H371" s="70">
        <f t="shared" si="187"/>
        <v>9</v>
      </c>
      <c r="I371" s="68">
        <f t="shared" si="187"/>
        <v>200</v>
      </c>
    </row>
    <row r="372" ht="12.75" customHeight="1">
      <c r="A372" s="401"/>
      <c r="B372" s="75"/>
      <c r="C372" s="75"/>
      <c r="D372" s="75"/>
      <c r="E372" s="75"/>
      <c r="F372" s="75"/>
      <c r="G372" s="76"/>
      <c r="H372" s="76"/>
      <c r="I372" s="75"/>
    </row>
    <row r="373" ht="12.75" customHeight="1">
      <c r="A373" s="399">
        <f>A370+3</f>
        <v>44193</v>
      </c>
      <c r="B373" s="84"/>
      <c r="C373" s="84"/>
      <c r="D373" s="84"/>
      <c r="E373" s="84"/>
      <c r="F373" s="85">
        <f t="shared" ref="F373:F376" si="188">SUM(B373:E373)</f>
        <v>0</v>
      </c>
      <c r="G373" s="84"/>
      <c r="H373" s="84"/>
      <c r="I373" s="86"/>
    </row>
    <row r="374" ht="12.75" customHeight="1">
      <c r="A374" s="399">
        <f t="shared" ref="A374:A376" si="189">A373+1</f>
        <v>44194</v>
      </c>
      <c r="B374" s="84"/>
      <c r="C374" s="84"/>
      <c r="D374" s="84"/>
      <c r="E374" s="84"/>
      <c r="F374" s="85">
        <f t="shared" si="188"/>
        <v>0</v>
      </c>
      <c r="G374" s="84"/>
      <c r="H374" s="84"/>
      <c r="I374" s="86"/>
    </row>
    <row r="375" ht="12.75" customHeight="1">
      <c r="A375" s="399">
        <f t="shared" si="189"/>
        <v>44195</v>
      </c>
      <c r="B375" s="84"/>
      <c r="C375" s="84"/>
      <c r="D375" s="84"/>
      <c r="E375" s="84"/>
      <c r="F375" s="85">
        <f t="shared" si="188"/>
        <v>0</v>
      </c>
      <c r="G375" s="84"/>
      <c r="H375" s="84"/>
      <c r="I375" s="86"/>
    </row>
    <row r="376" ht="12.75" customHeight="1">
      <c r="A376" s="399">
        <f t="shared" si="189"/>
        <v>44196</v>
      </c>
      <c r="B376" s="84"/>
      <c r="C376" s="84"/>
      <c r="D376" s="84"/>
      <c r="E376" s="84"/>
      <c r="F376" s="85">
        <f t="shared" si="188"/>
        <v>0</v>
      </c>
      <c r="G376" s="84"/>
      <c r="H376" s="84"/>
      <c r="I376" s="86"/>
    </row>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08">
    <mergeCell ref="H27:H28"/>
    <mergeCell ref="I27:I28"/>
    <mergeCell ref="A27:A28"/>
    <mergeCell ref="B27:B28"/>
    <mergeCell ref="C27:C28"/>
    <mergeCell ref="D27:D28"/>
    <mergeCell ref="E27:E28"/>
    <mergeCell ref="F27:F28"/>
    <mergeCell ref="G27:G28"/>
    <mergeCell ref="H34:H35"/>
    <mergeCell ref="I34:I35"/>
    <mergeCell ref="A34:A35"/>
    <mergeCell ref="B34:B35"/>
    <mergeCell ref="C34:C35"/>
    <mergeCell ref="D34:D35"/>
    <mergeCell ref="E34:E35"/>
    <mergeCell ref="F34:F35"/>
    <mergeCell ref="G34:G35"/>
    <mergeCell ref="H41:H42"/>
    <mergeCell ref="I41:I42"/>
    <mergeCell ref="A41:A42"/>
    <mergeCell ref="B41:B42"/>
    <mergeCell ref="C41:C42"/>
    <mergeCell ref="D41:D42"/>
    <mergeCell ref="E41:E42"/>
    <mergeCell ref="F41:F42"/>
    <mergeCell ref="G41:G42"/>
    <mergeCell ref="H5:H6"/>
    <mergeCell ref="I5:I6"/>
    <mergeCell ref="L6:M6"/>
    <mergeCell ref="A5:A6"/>
    <mergeCell ref="B5:B6"/>
    <mergeCell ref="C5:C6"/>
    <mergeCell ref="D5:D6"/>
    <mergeCell ref="E5:E6"/>
    <mergeCell ref="F5:F6"/>
    <mergeCell ref="G5:G6"/>
    <mergeCell ref="H12:H13"/>
    <mergeCell ref="I12:I13"/>
    <mergeCell ref="L15:M15"/>
    <mergeCell ref="A12:A13"/>
    <mergeCell ref="B12:B13"/>
    <mergeCell ref="C12:C13"/>
    <mergeCell ref="D12:D13"/>
    <mergeCell ref="E12:E13"/>
    <mergeCell ref="F12:F13"/>
    <mergeCell ref="G12:G13"/>
    <mergeCell ref="H19:H20"/>
    <mergeCell ref="I19:I20"/>
    <mergeCell ref="L24:M24"/>
    <mergeCell ref="A19:A20"/>
    <mergeCell ref="B19:B20"/>
    <mergeCell ref="C19:C20"/>
    <mergeCell ref="D19:D20"/>
    <mergeCell ref="E19:E20"/>
    <mergeCell ref="F19:F20"/>
    <mergeCell ref="G19:G20"/>
    <mergeCell ref="H55:H56"/>
    <mergeCell ref="I55:I56"/>
    <mergeCell ref="C48:C49"/>
    <mergeCell ref="D48:D49"/>
    <mergeCell ref="E48:E49"/>
    <mergeCell ref="F48:F49"/>
    <mergeCell ref="G48:G49"/>
    <mergeCell ref="H48:H49"/>
    <mergeCell ref="I48:I49"/>
    <mergeCell ref="B48:B49"/>
    <mergeCell ref="B55:B56"/>
    <mergeCell ref="C55:C56"/>
    <mergeCell ref="D55:D56"/>
    <mergeCell ref="E55:E56"/>
    <mergeCell ref="F55:F56"/>
    <mergeCell ref="G55:G56"/>
    <mergeCell ref="H62:H63"/>
    <mergeCell ref="I62:I63"/>
    <mergeCell ref="A62:A63"/>
    <mergeCell ref="B62:B63"/>
    <mergeCell ref="C62:C63"/>
    <mergeCell ref="D62:D63"/>
    <mergeCell ref="E62:E63"/>
    <mergeCell ref="F62:F63"/>
    <mergeCell ref="G62:G63"/>
    <mergeCell ref="H69:H70"/>
    <mergeCell ref="I69:I70"/>
    <mergeCell ref="A69:A70"/>
    <mergeCell ref="B69:B70"/>
    <mergeCell ref="C69:C70"/>
    <mergeCell ref="D69:D70"/>
    <mergeCell ref="E69:E70"/>
    <mergeCell ref="F69:F70"/>
    <mergeCell ref="G69:G70"/>
    <mergeCell ref="H83:H84"/>
    <mergeCell ref="I83:I84"/>
    <mergeCell ref="A83:A84"/>
    <mergeCell ref="B83:B84"/>
    <mergeCell ref="C83:C84"/>
    <mergeCell ref="D83:D84"/>
    <mergeCell ref="E83:E84"/>
    <mergeCell ref="F83:F84"/>
    <mergeCell ref="G83:G84"/>
    <mergeCell ref="H111:H112"/>
    <mergeCell ref="I111:I112"/>
    <mergeCell ref="A111:A112"/>
    <mergeCell ref="B111:B112"/>
    <mergeCell ref="C111:C112"/>
    <mergeCell ref="D111:D112"/>
    <mergeCell ref="E111:E112"/>
    <mergeCell ref="F111:F112"/>
    <mergeCell ref="G111:G112"/>
    <mergeCell ref="H118:H119"/>
    <mergeCell ref="I118:I119"/>
    <mergeCell ref="A118:A119"/>
    <mergeCell ref="B118:B119"/>
    <mergeCell ref="C118:C119"/>
    <mergeCell ref="D118:D119"/>
    <mergeCell ref="E118:E119"/>
    <mergeCell ref="F118:F119"/>
    <mergeCell ref="G118:G119"/>
    <mergeCell ref="H104:H105"/>
    <mergeCell ref="I104:I105"/>
    <mergeCell ref="L107:M107"/>
    <mergeCell ref="A104:A105"/>
    <mergeCell ref="B104:B105"/>
    <mergeCell ref="C104:C105"/>
    <mergeCell ref="D104:D105"/>
    <mergeCell ref="E104:E105"/>
    <mergeCell ref="F104:F105"/>
    <mergeCell ref="G104:G105"/>
    <mergeCell ref="H76:H77"/>
    <mergeCell ref="I76:I77"/>
    <mergeCell ref="L80:M80"/>
    <mergeCell ref="L89:M89"/>
    <mergeCell ref="A76:A77"/>
    <mergeCell ref="B76:B77"/>
    <mergeCell ref="C76:C77"/>
    <mergeCell ref="D76:D77"/>
    <mergeCell ref="E76:E77"/>
    <mergeCell ref="F76:F77"/>
    <mergeCell ref="G76:G77"/>
    <mergeCell ref="H90:H91"/>
    <mergeCell ref="I90:I91"/>
    <mergeCell ref="A90:A91"/>
    <mergeCell ref="B90:B91"/>
    <mergeCell ref="C90:C91"/>
    <mergeCell ref="D90:D91"/>
    <mergeCell ref="E90:E91"/>
    <mergeCell ref="F90:F91"/>
    <mergeCell ref="G90:G91"/>
    <mergeCell ref="H97:H98"/>
    <mergeCell ref="I97:I98"/>
    <mergeCell ref="L98:M98"/>
    <mergeCell ref="A97:A98"/>
    <mergeCell ref="B97:B98"/>
    <mergeCell ref="C97:C98"/>
    <mergeCell ref="D97:D98"/>
    <mergeCell ref="E97:E98"/>
    <mergeCell ref="F97:F98"/>
    <mergeCell ref="G97:G98"/>
    <mergeCell ref="G127:G128"/>
    <mergeCell ref="H127:H128"/>
    <mergeCell ref="H148:H149"/>
    <mergeCell ref="I148:I149"/>
    <mergeCell ref="A148:A149"/>
    <mergeCell ref="B148:B149"/>
    <mergeCell ref="C148:C149"/>
    <mergeCell ref="D148:D149"/>
    <mergeCell ref="E148:E149"/>
    <mergeCell ref="F148:F149"/>
    <mergeCell ref="G148:G149"/>
    <mergeCell ref="H155:H156"/>
    <mergeCell ref="I155:I156"/>
    <mergeCell ref="A155:A156"/>
    <mergeCell ref="B155:B156"/>
    <mergeCell ref="C155:C156"/>
    <mergeCell ref="D155:D156"/>
    <mergeCell ref="E155:E156"/>
    <mergeCell ref="F155:F156"/>
    <mergeCell ref="G155:G156"/>
    <mergeCell ref="H162:H163"/>
    <mergeCell ref="I162:I163"/>
    <mergeCell ref="A162:A163"/>
    <mergeCell ref="B162:B163"/>
    <mergeCell ref="C162:C163"/>
    <mergeCell ref="D162:D163"/>
    <mergeCell ref="E162:E163"/>
    <mergeCell ref="F162:F163"/>
    <mergeCell ref="G162:G163"/>
    <mergeCell ref="H169:H170"/>
    <mergeCell ref="I169:I170"/>
    <mergeCell ref="A169:A170"/>
    <mergeCell ref="B169:B170"/>
    <mergeCell ref="C169:C170"/>
    <mergeCell ref="D169:D170"/>
    <mergeCell ref="E169:E170"/>
    <mergeCell ref="F169:F170"/>
    <mergeCell ref="G169:G170"/>
    <mergeCell ref="H176:H177"/>
    <mergeCell ref="I176:I177"/>
    <mergeCell ref="A176:A177"/>
    <mergeCell ref="B176:B177"/>
    <mergeCell ref="C176:C177"/>
    <mergeCell ref="D176:D177"/>
    <mergeCell ref="E176:E177"/>
    <mergeCell ref="F176:F177"/>
    <mergeCell ref="G176:G177"/>
    <mergeCell ref="H183:H184"/>
    <mergeCell ref="I183:I184"/>
    <mergeCell ref="A183:A184"/>
    <mergeCell ref="B183:B184"/>
    <mergeCell ref="C183:C184"/>
    <mergeCell ref="D183:D184"/>
    <mergeCell ref="E183:E184"/>
    <mergeCell ref="F183:F184"/>
    <mergeCell ref="G183:G184"/>
    <mergeCell ref="H187:H188"/>
    <mergeCell ref="I187:I188"/>
    <mergeCell ref="A187:A188"/>
    <mergeCell ref="B187:B188"/>
    <mergeCell ref="C187:C188"/>
    <mergeCell ref="D187:D188"/>
    <mergeCell ref="E187:E188"/>
    <mergeCell ref="F187:F188"/>
    <mergeCell ref="G187:G188"/>
    <mergeCell ref="H192:H193"/>
    <mergeCell ref="I192:I193"/>
    <mergeCell ref="A192:A193"/>
    <mergeCell ref="B192:B193"/>
    <mergeCell ref="C192:C193"/>
    <mergeCell ref="D192:D193"/>
    <mergeCell ref="E192:E193"/>
    <mergeCell ref="F192:F193"/>
    <mergeCell ref="G192:G193"/>
    <mergeCell ref="H199:H200"/>
    <mergeCell ref="I199:I200"/>
    <mergeCell ref="A199:A200"/>
    <mergeCell ref="B199:B200"/>
    <mergeCell ref="C199:C200"/>
    <mergeCell ref="D199:D200"/>
    <mergeCell ref="E199:E200"/>
    <mergeCell ref="F199:F200"/>
    <mergeCell ref="G199:G200"/>
    <mergeCell ref="H206:H207"/>
    <mergeCell ref="I206:I207"/>
    <mergeCell ref="A206:A207"/>
    <mergeCell ref="B206:B207"/>
    <mergeCell ref="C206:C207"/>
    <mergeCell ref="D206:D207"/>
    <mergeCell ref="E206:E207"/>
    <mergeCell ref="F206:F207"/>
    <mergeCell ref="G206:G207"/>
    <mergeCell ref="H213:H214"/>
    <mergeCell ref="I213:I214"/>
    <mergeCell ref="A213:A214"/>
    <mergeCell ref="B213:B214"/>
    <mergeCell ref="C213:C214"/>
    <mergeCell ref="D213:D214"/>
    <mergeCell ref="E213:E214"/>
    <mergeCell ref="F213:F214"/>
    <mergeCell ref="G213:G214"/>
    <mergeCell ref="H220:H221"/>
    <mergeCell ref="I220:I221"/>
    <mergeCell ref="A220:A221"/>
    <mergeCell ref="B220:B221"/>
    <mergeCell ref="C220:C221"/>
    <mergeCell ref="D220:D221"/>
    <mergeCell ref="E220:E221"/>
    <mergeCell ref="F220:F221"/>
    <mergeCell ref="G220:G221"/>
    <mergeCell ref="H227:H228"/>
    <mergeCell ref="I227:I228"/>
    <mergeCell ref="A227:A228"/>
    <mergeCell ref="B227:B228"/>
    <mergeCell ref="C227:C228"/>
    <mergeCell ref="D227:D228"/>
    <mergeCell ref="E227:E228"/>
    <mergeCell ref="F227:F228"/>
    <mergeCell ref="G227:G228"/>
    <mergeCell ref="H234:H235"/>
    <mergeCell ref="I234:I235"/>
    <mergeCell ref="A234:A235"/>
    <mergeCell ref="B234:B235"/>
    <mergeCell ref="C234:C235"/>
    <mergeCell ref="D234:D235"/>
    <mergeCell ref="E234:E235"/>
    <mergeCell ref="F234:F235"/>
    <mergeCell ref="G234:G235"/>
    <mergeCell ref="H241:H242"/>
    <mergeCell ref="I241:I242"/>
    <mergeCell ref="A241:A242"/>
    <mergeCell ref="B241:B242"/>
    <mergeCell ref="C241:C242"/>
    <mergeCell ref="D241:D242"/>
    <mergeCell ref="E241:E242"/>
    <mergeCell ref="F241:F242"/>
    <mergeCell ref="G241:G242"/>
    <mergeCell ref="H248:H249"/>
    <mergeCell ref="I248:I249"/>
    <mergeCell ref="A248:A249"/>
    <mergeCell ref="B248:B249"/>
    <mergeCell ref="C248:C249"/>
    <mergeCell ref="D248:D249"/>
    <mergeCell ref="E248:E249"/>
    <mergeCell ref="F248:F249"/>
    <mergeCell ref="G248:G249"/>
    <mergeCell ref="H251:H252"/>
    <mergeCell ref="I251:I252"/>
    <mergeCell ref="A251:A252"/>
    <mergeCell ref="B251:B252"/>
    <mergeCell ref="C251:C252"/>
    <mergeCell ref="D251:D252"/>
    <mergeCell ref="E251:E252"/>
    <mergeCell ref="F251:F252"/>
    <mergeCell ref="G251:G252"/>
    <mergeCell ref="H257:H258"/>
    <mergeCell ref="I257:I258"/>
    <mergeCell ref="A257:A258"/>
    <mergeCell ref="B257:B258"/>
    <mergeCell ref="C257:C258"/>
    <mergeCell ref="D257:D258"/>
    <mergeCell ref="E257:E258"/>
    <mergeCell ref="F257:F258"/>
    <mergeCell ref="G257:G258"/>
    <mergeCell ref="H264:H265"/>
    <mergeCell ref="I264:I265"/>
    <mergeCell ref="A264:A265"/>
    <mergeCell ref="B264:B265"/>
    <mergeCell ref="C264:C265"/>
    <mergeCell ref="D264:D265"/>
    <mergeCell ref="E264:E265"/>
    <mergeCell ref="F264:F265"/>
    <mergeCell ref="G264:G265"/>
    <mergeCell ref="H271:H272"/>
    <mergeCell ref="I271:I272"/>
    <mergeCell ref="A271:A272"/>
    <mergeCell ref="B271:B272"/>
    <mergeCell ref="C271:C272"/>
    <mergeCell ref="D271:D272"/>
    <mergeCell ref="E271:E272"/>
    <mergeCell ref="F271:F272"/>
    <mergeCell ref="G271:G272"/>
    <mergeCell ref="H278:H279"/>
    <mergeCell ref="I278:I279"/>
    <mergeCell ref="A278:A279"/>
    <mergeCell ref="B278:B279"/>
    <mergeCell ref="C278:C279"/>
    <mergeCell ref="D278:D279"/>
    <mergeCell ref="E278:E279"/>
    <mergeCell ref="F278:F279"/>
    <mergeCell ref="G278:G279"/>
    <mergeCell ref="H283:H284"/>
    <mergeCell ref="I283:I284"/>
    <mergeCell ref="A283:A284"/>
    <mergeCell ref="B283:B284"/>
    <mergeCell ref="C283:C284"/>
    <mergeCell ref="D283:D284"/>
    <mergeCell ref="E283:E284"/>
    <mergeCell ref="F283:F284"/>
    <mergeCell ref="G283:G284"/>
    <mergeCell ref="H287:H288"/>
    <mergeCell ref="I287:I288"/>
    <mergeCell ref="A287:A288"/>
    <mergeCell ref="B287:B288"/>
    <mergeCell ref="C287:C288"/>
    <mergeCell ref="D287:D288"/>
    <mergeCell ref="E287:E288"/>
    <mergeCell ref="F287:F288"/>
    <mergeCell ref="G287:G288"/>
    <mergeCell ref="H294:H295"/>
    <mergeCell ref="I294:I295"/>
    <mergeCell ref="A294:A295"/>
    <mergeCell ref="B294:B295"/>
    <mergeCell ref="C294:C295"/>
    <mergeCell ref="D294:D295"/>
    <mergeCell ref="E294:E295"/>
    <mergeCell ref="F294:F295"/>
    <mergeCell ref="G294:G295"/>
    <mergeCell ref="H301:H302"/>
    <mergeCell ref="I301:I302"/>
    <mergeCell ref="A301:A302"/>
    <mergeCell ref="B301:B302"/>
    <mergeCell ref="C301:C302"/>
    <mergeCell ref="D301:D302"/>
    <mergeCell ref="E301:E302"/>
    <mergeCell ref="F301:F302"/>
    <mergeCell ref="G301:G302"/>
    <mergeCell ref="H308:H309"/>
    <mergeCell ref="I308:I309"/>
    <mergeCell ref="A308:A309"/>
    <mergeCell ref="B308:B309"/>
    <mergeCell ref="C308:C309"/>
    <mergeCell ref="D308:D309"/>
    <mergeCell ref="E308:E309"/>
    <mergeCell ref="F308:F309"/>
    <mergeCell ref="G308:G309"/>
    <mergeCell ref="H364:H365"/>
    <mergeCell ref="I364:I365"/>
    <mergeCell ref="A364:A365"/>
    <mergeCell ref="B364:B365"/>
    <mergeCell ref="C364:C365"/>
    <mergeCell ref="D364:D365"/>
    <mergeCell ref="E364:E365"/>
    <mergeCell ref="F364:F365"/>
    <mergeCell ref="G364:G365"/>
    <mergeCell ref="C124:C125"/>
    <mergeCell ref="D124:D125"/>
    <mergeCell ref="E124:E125"/>
    <mergeCell ref="F124:F125"/>
    <mergeCell ref="G124:G125"/>
    <mergeCell ref="H124:H125"/>
    <mergeCell ref="I124:I125"/>
    <mergeCell ref="B124:B125"/>
    <mergeCell ref="B127:B128"/>
    <mergeCell ref="C127:C128"/>
    <mergeCell ref="D127:D128"/>
    <mergeCell ref="E127:E128"/>
    <mergeCell ref="F127:F128"/>
    <mergeCell ref="I127:I128"/>
    <mergeCell ref="G134:G135"/>
    <mergeCell ref="H134:H135"/>
    <mergeCell ref="I134:I135"/>
    <mergeCell ref="A127:A128"/>
    <mergeCell ref="A134:A135"/>
    <mergeCell ref="B134:B135"/>
    <mergeCell ref="C134:C135"/>
    <mergeCell ref="D134:D135"/>
    <mergeCell ref="E134:E135"/>
    <mergeCell ref="F134:F135"/>
    <mergeCell ref="H141:H142"/>
    <mergeCell ref="I141:I142"/>
    <mergeCell ref="A141:A142"/>
    <mergeCell ref="B141:B142"/>
    <mergeCell ref="C141:C142"/>
    <mergeCell ref="D141:D142"/>
    <mergeCell ref="E141:E142"/>
    <mergeCell ref="F141:F142"/>
    <mergeCell ref="G141:G142"/>
    <mergeCell ref="H371:H372"/>
    <mergeCell ref="I371:I372"/>
    <mergeCell ref="A371:A372"/>
    <mergeCell ref="B371:B372"/>
    <mergeCell ref="C371:C372"/>
    <mergeCell ref="D371:D372"/>
    <mergeCell ref="E371:E372"/>
    <mergeCell ref="F371:F372"/>
    <mergeCell ref="G371:G372"/>
    <mergeCell ref="H315:H316"/>
    <mergeCell ref="I315:I316"/>
    <mergeCell ref="A315:A316"/>
    <mergeCell ref="B315:B316"/>
    <mergeCell ref="C315:C316"/>
    <mergeCell ref="D315:D316"/>
    <mergeCell ref="E315:E316"/>
    <mergeCell ref="F315:F316"/>
    <mergeCell ref="G315:G316"/>
    <mergeCell ref="H322:H323"/>
    <mergeCell ref="I322:I323"/>
    <mergeCell ref="A322:A323"/>
    <mergeCell ref="B322:B323"/>
    <mergeCell ref="C322:C323"/>
    <mergeCell ref="D322:D323"/>
    <mergeCell ref="E322:E323"/>
    <mergeCell ref="F322:F323"/>
    <mergeCell ref="G322:G323"/>
    <mergeCell ref="H329:H330"/>
    <mergeCell ref="I329:I330"/>
    <mergeCell ref="A329:A330"/>
    <mergeCell ref="B329:B330"/>
    <mergeCell ref="C329:C330"/>
    <mergeCell ref="D329:D330"/>
    <mergeCell ref="E329:E330"/>
    <mergeCell ref="F329:F330"/>
    <mergeCell ref="G329:G330"/>
    <mergeCell ref="H336:H337"/>
    <mergeCell ref="I336:I337"/>
    <mergeCell ref="A336:A337"/>
    <mergeCell ref="B336:B337"/>
    <mergeCell ref="C336:C337"/>
    <mergeCell ref="D336:D337"/>
    <mergeCell ref="E336:E337"/>
    <mergeCell ref="F336:F337"/>
    <mergeCell ref="G336:G337"/>
    <mergeCell ref="H343:H344"/>
    <mergeCell ref="I343:I344"/>
    <mergeCell ref="A343:A344"/>
    <mergeCell ref="B343:B344"/>
    <mergeCell ref="C343:C344"/>
    <mergeCell ref="D343:D344"/>
    <mergeCell ref="E343:E344"/>
    <mergeCell ref="F343:F344"/>
    <mergeCell ref="G343:G344"/>
    <mergeCell ref="H350:H351"/>
    <mergeCell ref="I350:I351"/>
    <mergeCell ref="A350:A351"/>
    <mergeCell ref="B350:B351"/>
    <mergeCell ref="C350:C351"/>
    <mergeCell ref="D350:D351"/>
    <mergeCell ref="E350:E351"/>
    <mergeCell ref="F350:F351"/>
    <mergeCell ref="G350:G351"/>
    <mergeCell ref="H357:H358"/>
    <mergeCell ref="I357:I358"/>
    <mergeCell ref="A357:A358"/>
    <mergeCell ref="B357:B358"/>
    <mergeCell ref="C357:C358"/>
    <mergeCell ref="D357:D358"/>
    <mergeCell ref="E357:E358"/>
    <mergeCell ref="F357:F358"/>
    <mergeCell ref="G357:G358"/>
  </mergeCells>
  <printOptions/>
  <pageMargins bottom="0.75" footer="0.0" header="0.0" left="0.7" right="0.7" top="0.75"/>
  <pageSetup paperSize="9" orientation="portrait"/>
  <drawing r:id="rId1"/>
</worksheet>
</file>

<file path=xl/worksheets/sheet1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50"/>
    <pageSetUpPr/>
  </sheetPr>
  <sheetViews>
    <sheetView workbookViewId="0"/>
  </sheetViews>
  <sheetFormatPr customHeight="1" defaultColWidth="12.63" defaultRowHeight="15.0"/>
  <cols>
    <col customWidth="1" min="1" max="1" width="23.88"/>
    <col customWidth="1" min="2" max="10" width="10.63"/>
    <col customWidth="1" min="11" max="11" width="13.88"/>
    <col customWidth="1" min="12" max="13" width="10.63"/>
    <col customWidth="1" min="14" max="14" width="15.88"/>
    <col customWidth="1" min="15" max="25" width="10.63"/>
  </cols>
  <sheetData>
    <row r="1" ht="12.75" customHeight="1">
      <c r="A1" s="420" t="s">
        <v>61</v>
      </c>
      <c r="B1" s="55" t="s">
        <v>62</v>
      </c>
      <c r="C1" s="55" t="s">
        <v>63</v>
      </c>
      <c r="D1" s="55" t="s">
        <v>45</v>
      </c>
      <c r="E1" s="55" t="s">
        <v>46</v>
      </c>
      <c r="F1" s="55" t="s">
        <v>64</v>
      </c>
      <c r="G1" s="56" t="s">
        <v>65</v>
      </c>
      <c r="H1" s="55" t="s">
        <v>66</v>
      </c>
      <c r="I1" s="57" t="s">
        <v>67</v>
      </c>
    </row>
    <row r="2" ht="12.75" customHeight="1">
      <c r="A2" s="421"/>
      <c r="B2" s="422"/>
      <c r="C2" s="422"/>
      <c r="D2" s="422"/>
      <c r="E2" s="422"/>
      <c r="F2" s="423"/>
      <c r="G2" s="422"/>
      <c r="H2" s="422"/>
      <c r="I2" s="424"/>
    </row>
    <row r="3" ht="12.75" customHeight="1">
      <c r="A3" s="67" t="s">
        <v>87</v>
      </c>
      <c r="B3" s="68">
        <f t="shared" ref="B3:I3" si="1">SUM(B2)</f>
        <v>0</v>
      </c>
      <c r="C3" s="68">
        <f t="shared" si="1"/>
        <v>0</v>
      </c>
      <c r="D3" s="68">
        <f t="shared" si="1"/>
        <v>0</v>
      </c>
      <c r="E3" s="68">
        <f t="shared" si="1"/>
        <v>0</v>
      </c>
      <c r="F3" s="69">
        <f t="shared" si="1"/>
        <v>0</v>
      </c>
      <c r="G3" s="70">
        <f t="shared" si="1"/>
        <v>0</v>
      </c>
      <c r="H3" s="70">
        <f t="shared" si="1"/>
        <v>0</v>
      </c>
      <c r="I3" s="71">
        <f t="shared" si="1"/>
        <v>0</v>
      </c>
      <c r="K3" s="63" t="s">
        <v>188</v>
      </c>
      <c r="L3" s="66"/>
      <c r="M3" s="66"/>
      <c r="N3" s="66"/>
    </row>
    <row r="4" ht="12.75" customHeight="1">
      <c r="A4" s="74"/>
      <c r="B4" s="75"/>
      <c r="C4" s="75"/>
      <c r="D4" s="75"/>
      <c r="E4" s="75"/>
      <c r="F4" s="76"/>
      <c r="G4" s="76"/>
      <c r="H4" s="76"/>
      <c r="I4" s="77"/>
      <c r="K4" s="64"/>
      <c r="L4" s="66"/>
      <c r="M4" s="66"/>
      <c r="N4" s="66"/>
    </row>
    <row r="5" ht="12.75" customHeight="1">
      <c r="A5" s="425">
        <v>44200.0</v>
      </c>
      <c r="B5" s="59">
        <v>0.0</v>
      </c>
      <c r="C5" s="59">
        <v>431.25</v>
      </c>
      <c r="D5" s="59">
        <v>988.62</v>
      </c>
      <c r="E5" s="59">
        <v>240.0</v>
      </c>
      <c r="F5" s="60">
        <f t="shared" ref="F5:F9" si="2">SUM(B5:E5)</f>
        <v>1659.87</v>
      </c>
      <c r="G5" s="59">
        <v>27.0</v>
      </c>
      <c r="H5" s="59">
        <v>7.0</v>
      </c>
      <c r="I5" s="61">
        <v>240.0</v>
      </c>
      <c r="K5" s="64"/>
      <c r="L5" s="65">
        <f>L6+M6</f>
        <v>64</v>
      </c>
      <c r="N5" s="66"/>
    </row>
    <row r="6" ht="12.75" customHeight="1">
      <c r="A6" s="421">
        <f t="shared" ref="A6:A9" si="4">A5+1</f>
        <v>44201</v>
      </c>
      <c r="B6" s="59">
        <v>90.0</v>
      </c>
      <c r="C6" s="59">
        <v>59.9</v>
      </c>
      <c r="D6" s="59">
        <v>630.0</v>
      </c>
      <c r="E6" s="59">
        <v>140.0</v>
      </c>
      <c r="F6" s="60">
        <f t="shared" si="2"/>
        <v>919.9</v>
      </c>
      <c r="G6" s="59">
        <v>16.0</v>
      </c>
      <c r="H6" s="59">
        <v>2.0</v>
      </c>
      <c r="I6" s="61">
        <v>150.0</v>
      </c>
      <c r="K6" s="64"/>
      <c r="L6" s="72">
        <f t="shared" ref="L6:N6" si="3">SUM(L8:L12)</f>
        <v>48</v>
      </c>
      <c r="M6" s="72">
        <f t="shared" si="3"/>
        <v>16</v>
      </c>
      <c r="N6" s="336">
        <f t="shared" si="3"/>
        <v>5451.04</v>
      </c>
    </row>
    <row r="7" ht="12.75" customHeight="1">
      <c r="A7" s="421">
        <f t="shared" si="4"/>
        <v>44202</v>
      </c>
      <c r="B7" s="59">
        <v>70.0</v>
      </c>
      <c r="C7" s="59">
        <v>38.9</v>
      </c>
      <c r="D7" s="59">
        <v>850.0</v>
      </c>
      <c r="E7" s="59">
        <v>100.0</v>
      </c>
      <c r="F7" s="60">
        <f t="shared" si="2"/>
        <v>1058.9</v>
      </c>
      <c r="G7" s="59">
        <v>21.0</v>
      </c>
      <c r="H7" s="59">
        <v>1.0</v>
      </c>
      <c r="I7" s="61">
        <v>100.0</v>
      </c>
      <c r="K7" s="78" t="s">
        <v>69</v>
      </c>
      <c r="L7" s="426">
        <v>90.0</v>
      </c>
      <c r="M7" s="426">
        <v>70.69</v>
      </c>
      <c r="N7" s="81"/>
    </row>
    <row r="8" ht="12.75" customHeight="1">
      <c r="A8" s="421">
        <f t="shared" si="4"/>
        <v>44203</v>
      </c>
      <c r="B8" s="59">
        <v>90.0</v>
      </c>
      <c r="C8" s="59">
        <v>253.48</v>
      </c>
      <c r="D8" s="59">
        <v>1389.31</v>
      </c>
      <c r="E8" s="59">
        <v>209.31</v>
      </c>
      <c r="F8" s="60">
        <f t="shared" si="2"/>
        <v>1942.1</v>
      </c>
      <c r="G8" s="59">
        <v>29.0</v>
      </c>
      <c r="H8" s="59">
        <v>4.0</v>
      </c>
      <c r="I8" s="61">
        <v>210.0</v>
      </c>
      <c r="K8" s="81" t="s">
        <v>70</v>
      </c>
      <c r="L8" s="81">
        <v>27.0</v>
      </c>
      <c r="M8" s="81">
        <v>10.0</v>
      </c>
      <c r="N8" s="82">
        <f t="shared" ref="N8:N9" si="5">L8*$L$7+M8*$M$7</f>
        <v>3136.9</v>
      </c>
    </row>
    <row r="9" ht="12.75" customHeight="1">
      <c r="A9" s="421">
        <f t="shared" si="4"/>
        <v>44204</v>
      </c>
      <c r="B9" s="59">
        <v>90.0</v>
      </c>
      <c r="C9" s="59">
        <v>141.38</v>
      </c>
      <c r="D9" s="59">
        <v>1170.0</v>
      </c>
      <c r="E9" s="59">
        <v>100.0</v>
      </c>
      <c r="F9" s="60">
        <f t="shared" si="2"/>
        <v>1501.38</v>
      </c>
      <c r="G9" s="59">
        <v>23.0</v>
      </c>
      <c r="H9" s="59">
        <v>2.0</v>
      </c>
      <c r="I9" s="61">
        <v>100.0</v>
      </c>
      <c r="K9" s="81" t="s">
        <v>71</v>
      </c>
      <c r="L9" s="81">
        <v>21.0</v>
      </c>
      <c r="M9" s="81">
        <v>6.0</v>
      </c>
      <c r="N9" s="82">
        <f t="shared" si="5"/>
        <v>2314.14</v>
      </c>
    </row>
    <row r="10" ht="12.75" customHeight="1">
      <c r="A10" s="67"/>
      <c r="B10" s="68">
        <f t="shared" ref="B10:I10" si="6">SUM(B5:B9)</f>
        <v>340</v>
      </c>
      <c r="C10" s="68">
        <f t="shared" si="6"/>
        <v>924.91</v>
      </c>
      <c r="D10" s="68">
        <f t="shared" si="6"/>
        <v>5027.93</v>
      </c>
      <c r="E10" s="68">
        <f t="shared" si="6"/>
        <v>789.31</v>
      </c>
      <c r="F10" s="69">
        <f t="shared" si="6"/>
        <v>7082.15</v>
      </c>
      <c r="G10" s="70">
        <f t="shared" si="6"/>
        <v>116</v>
      </c>
      <c r="H10" s="70">
        <f t="shared" si="6"/>
        <v>16</v>
      </c>
      <c r="I10" s="71">
        <f t="shared" si="6"/>
        <v>800</v>
      </c>
      <c r="K10" s="81" t="s">
        <v>72</v>
      </c>
      <c r="L10" s="81"/>
      <c r="M10" s="81"/>
      <c r="N10" s="82">
        <f t="shared" ref="N10:N12" si="7">L10*$C$48+M10*$D$48</f>
        <v>0</v>
      </c>
    </row>
    <row r="11" ht="12.75" customHeight="1">
      <c r="A11" s="74"/>
      <c r="B11" s="75"/>
      <c r="C11" s="75"/>
      <c r="D11" s="75"/>
      <c r="E11" s="75"/>
      <c r="F11" s="76"/>
      <c r="G11" s="76"/>
      <c r="H11" s="76"/>
      <c r="I11" s="77"/>
      <c r="K11" s="81" t="s">
        <v>73</v>
      </c>
      <c r="L11" s="81"/>
      <c r="M11" s="81"/>
      <c r="N11" s="82">
        <f t="shared" si="7"/>
        <v>0</v>
      </c>
    </row>
    <row r="12" ht="12.75" customHeight="1">
      <c r="A12" s="421">
        <f>A9+3</f>
        <v>44207</v>
      </c>
      <c r="B12" s="59">
        <v>0.0</v>
      </c>
      <c r="C12" s="59">
        <v>180.28</v>
      </c>
      <c r="D12" s="59">
        <v>548.62</v>
      </c>
      <c r="E12" s="59">
        <v>250.0</v>
      </c>
      <c r="F12" s="60">
        <f t="shared" ref="F12:F16" si="8">SUM(B12:E12)</f>
        <v>978.9</v>
      </c>
      <c r="G12" s="59">
        <v>17.0</v>
      </c>
      <c r="H12" s="59">
        <v>3.0</v>
      </c>
      <c r="I12" s="61">
        <v>240.0</v>
      </c>
      <c r="K12" s="81" t="s">
        <v>74</v>
      </c>
      <c r="L12" s="81"/>
      <c r="M12" s="81"/>
      <c r="N12" s="82">
        <f t="shared" si="7"/>
        <v>0</v>
      </c>
    </row>
    <row r="13" ht="12.75" customHeight="1">
      <c r="A13" s="421">
        <f t="shared" ref="A13:A16" si="9">A12+1</f>
        <v>44208</v>
      </c>
      <c r="B13" s="81">
        <v>0.0</v>
      </c>
      <c r="C13" s="81">
        <v>77.8</v>
      </c>
      <c r="D13" s="81">
        <v>880.0</v>
      </c>
      <c r="E13" s="81">
        <v>50.0</v>
      </c>
      <c r="F13" s="60">
        <f t="shared" si="8"/>
        <v>1007.8</v>
      </c>
      <c r="G13" s="81">
        <v>17.0</v>
      </c>
      <c r="H13" s="81">
        <v>2.0</v>
      </c>
      <c r="I13" s="83">
        <v>50.0</v>
      </c>
    </row>
    <row r="14" ht="12.75" customHeight="1">
      <c r="A14" s="421">
        <f t="shared" si="9"/>
        <v>44209</v>
      </c>
      <c r="B14" s="81">
        <v>50.0</v>
      </c>
      <c r="C14" s="81">
        <v>259.27</v>
      </c>
      <c r="D14" s="81">
        <v>460.0</v>
      </c>
      <c r="E14" s="81">
        <v>120.0</v>
      </c>
      <c r="F14" s="60">
        <f t="shared" si="8"/>
        <v>889.27</v>
      </c>
      <c r="G14" s="81">
        <v>16.0</v>
      </c>
      <c r="H14" s="81">
        <v>5.0</v>
      </c>
      <c r="I14" s="83">
        <v>120.0</v>
      </c>
      <c r="L14" s="65">
        <v>93.0</v>
      </c>
    </row>
    <row r="15" ht="12.75" customHeight="1">
      <c r="A15" s="421">
        <f t="shared" si="9"/>
        <v>44210</v>
      </c>
      <c r="B15" s="81">
        <v>330.0</v>
      </c>
      <c r="C15" s="81">
        <v>414.39</v>
      </c>
      <c r="D15" s="81">
        <v>870.0</v>
      </c>
      <c r="E15" s="81">
        <v>160.0</v>
      </c>
      <c r="F15" s="60">
        <f t="shared" si="8"/>
        <v>1774.39</v>
      </c>
      <c r="G15" s="81">
        <v>31.0</v>
      </c>
      <c r="H15" s="81">
        <v>9.0</v>
      </c>
      <c r="I15" s="83">
        <v>170.0</v>
      </c>
      <c r="K15" s="64"/>
      <c r="L15" s="72">
        <v>67.0</v>
      </c>
      <c r="M15" s="72">
        <v>26.0</v>
      </c>
      <c r="N15" s="427">
        <v>7867.94</v>
      </c>
    </row>
    <row r="16" ht="12.75" customHeight="1">
      <c r="A16" s="421">
        <f t="shared" si="9"/>
        <v>44211</v>
      </c>
      <c r="B16" s="81">
        <v>340.0</v>
      </c>
      <c r="C16" s="81">
        <v>281.59</v>
      </c>
      <c r="D16" s="81">
        <v>750.0</v>
      </c>
      <c r="E16" s="81">
        <v>139.31</v>
      </c>
      <c r="F16" s="60">
        <f t="shared" si="8"/>
        <v>1510.9</v>
      </c>
      <c r="G16" s="81">
        <v>23.0</v>
      </c>
      <c r="H16" s="81">
        <v>6.0</v>
      </c>
      <c r="I16" s="83">
        <v>140.0</v>
      </c>
      <c r="K16" s="78" t="s">
        <v>75</v>
      </c>
      <c r="L16" s="428">
        <v>90.0</v>
      </c>
      <c r="M16" s="428">
        <v>70.69</v>
      </c>
      <c r="N16" s="429"/>
    </row>
    <row r="17" ht="12.75" customHeight="1">
      <c r="A17" s="67"/>
      <c r="B17" s="68">
        <f t="shared" ref="B17:I17" si="10">SUM(B12:B16)</f>
        <v>720</v>
      </c>
      <c r="C17" s="68">
        <f t="shared" si="10"/>
        <v>1213.33</v>
      </c>
      <c r="D17" s="68">
        <f t="shared" si="10"/>
        <v>3508.62</v>
      </c>
      <c r="E17" s="68">
        <f t="shared" si="10"/>
        <v>719.31</v>
      </c>
      <c r="F17" s="68">
        <f t="shared" si="10"/>
        <v>6161.26</v>
      </c>
      <c r="G17" s="70">
        <f t="shared" si="10"/>
        <v>104</v>
      </c>
      <c r="H17" s="70">
        <f t="shared" si="10"/>
        <v>25</v>
      </c>
      <c r="I17" s="71">
        <f t="shared" si="10"/>
        <v>720</v>
      </c>
      <c r="K17" s="81" t="s">
        <v>70</v>
      </c>
      <c r="L17" s="429">
        <v>22.0</v>
      </c>
      <c r="M17" s="429">
        <v>6.0</v>
      </c>
      <c r="N17" s="428">
        <v>2404.14</v>
      </c>
    </row>
    <row r="18" ht="12.75" customHeight="1">
      <c r="A18" s="74"/>
      <c r="B18" s="92"/>
      <c r="C18" s="92"/>
      <c r="D18" s="92"/>
      <c r="E18" s="92"/>
      <c r="F18" s="75"/>
      <c r="G18" s="93"/>
      <c r="H18" s="93"/>
      <c r="I18" s="77"/>
      <c r="K18" s="81" t="s">
        <v>71</v>
      </c>
      <c r="L18" s="429">
        <v>20.0</v>
      </c>
      <c r="M18" s="429">
        <v>3.0</v>
      </c>
      <c r="N18" s="428">
        <v>2012.07</v>
      </c>
    </row>
    <row r="19" ht="12.75" customHeight="1">
      <c r="A19" s="421">
        <f>A16+3</f>
        <v>44214</v>
      </c>
      <c r="B19" s="81">
        <v>140.0</v>
      </c>
      <c r="C19" s="81">
        <v>346.98</v>
      </c>
      <c r="D19" s="81">
        <v>1079.31</v>
      </c>
      <c r="E19" s="81">
        <v>50.0</v>
      </c>
      <c r="F19" s="60">
        <f t="shared" ref="F19:F23" si="11">SUM(B19:E19)</f>
        <v>1616.29</v>
      </c>
      <c r="G19" s="81">
        <v>26.0</v>
      </c>
      <c r="H19" s="81">
        <v>7.0</v>
      </c>
      <c r="I19" s="83">
        <v>50.0</v>
      </c>
      <c r="K19" s="81" t="s">
        <v>72</v>
      </c>
      <c r="L19" s="429">
        <v>15.0</v>
      </c>
      <c r="M19" s="429">
        <v>7.0</v>
      </c>
      <c r="N19" s="428">
        <v>1844.83</v>
      </c>
    </row>
    <row r="20" ht="12.75" customHeight="1">
      <c r="A20" s="421">
        <f t="shared" ref="A20:A23" si="12">A19+1</f>
        <v>44215</v>
      </c>
      <c r="B20" s="59">
        <v>50.0</v>
      </c>
      <c r="C20" s="59">
        <v>123.8</v>
      </c>
      <c r="D20" s="59">
        <v>590.0</v>
      </c>
      <c r="E20" s="59">
        <v>0.0</v>
      </c>
      <c r="F20" s="60">
        <f t="shared" si="11"/>
        <v>763.8</v>
      </c>
      <c r="G20" s="59">
        <v>16.0</v>
      </c>
      <c r="H20" s="59">
        <v>3.0</v>
      </c>
      <c r="I20" s="61">
        <v>0.0</v>
      </c>
      <c r="K20" s="81" t="s">
        <v>73</v>
      </c>
      <c r="L20" s="429">
        <v>10.0</v>
      </c>
      <c r="M20" s="429">
        <v>10.0</v>
      </c>
      <c r="N20" s="428">
        <v>1606.9</v>
      </c>
    </row>
    <row r="21" ht="12.75" customHeight="1">
      <c r="A21" s="421">
        <f t="shared" si="12"/>
        <v>44216</v>
      </c>
      <c r="B21" s="81">
        <v>100.0</v>
      </c>
      <c r="C21" s="81">
        <v>38.9</v>
      </c>
      <c r="D21" s="81">
        <v>710.0</v>
      </c>
      <c r="E21" s="81">
        <v>110.0</v>
      </c>
      <c r="F21" s="60">
        <f t="shared" si="11"/>
        <v>958.9</v>
      </c>
      <c r="G21" s="81">
        <v>19.0</v>
      </c>
      <c r="H21" s="81">
        <v>1.0</v>
      </c>
      <c r="I21" s="83">
        <v>100.0</v>
      </c>
    </row>
    <row r="22" ht="12.75" customHeight="1">
      <c r="A22" s="421">
        <f t="shared" si="12"/>
        <v>44217</v>
      </c>
      <c r="B22" s="81">
        <v>140.0</v>
      </c>
      <c r="C22" s="81">
        <v>223.29</v>
      </c>
      <c r="D22" s="81">
        <v>1100.0</v>
      </c>
      <c r="E22" s="81">
        <v>0.0</v>
      </c>
      <c r="F22" s="60">
        <f t="shared" si="11"/>
        <v>1463.29</v>
      </c>
      <c r="G22" s="81">
        <v>26.0</v>
      </c>
      <c r="H22" s="81">
        <v>5.0</v>
      </c>
      <c r="I22" s="83">
        <v>0.0</v>
      </c>
      <c r="L22" s="65">
        <v>91.0</v>
      </c>
    </row>
    <row r="23" ht="12.75" customHeight="1">
      <c r="A23" s="421">
        <f t="shared" si="12"/>
        <v>44218</v>
      </c>
      <c r="B23" s="81">
        <v>0.0</v>
      </c>
      <c r="C23" s="81">
        <v>431.97</v>
      </c>
      <c r="D23" s="81">
        <v>249.31</v>
      </c>
      <c r="E23" s="81">
        <v>70.0</v>
      </c>
      <c r="F23" s="60">
        <f t="shared" si="11"/>
        <v>751.28</v>
      </c>
      <c r="G23" s="81">
        <v>12.0</v>
      </c>
      <c r="H23" s="81">
        <v>8.0</v>
      </c>
      <c r="I23" s="83">
        <v>70.0</v>
      </c>
      <c r="K23" s="66"/>
      <c r="L23" s="72">
        <v>43.0</v>
      </c>
      <c r="M23" s="72">
        <v>48.0</v>
      </c>
      <c r="N23" s="427">
        <v>7263.12</v>
      </c>
    </row>
    <row r="24" ht="12.75" customHeight="1">
      <c r="A24" s="67"/>
      <c r="B24" s="68">
        <f t="shared" ref="B24:I24" si="13">SUM(B19:B23)</f>
        <v>430</v>
      </c>
      <c r="C24" s="68">
        <f t="shared" si="13"/>
        <v>1164.94</v>
      </c>
      <c r="D24" s="68">
        <f t="shared" si="13"/>
        <v>3728.62</v>
      </c>
      <c r="E24" s="68">
        <f t="shared" si="13"/>
        <v>230</v>
      </c>
      <c r="F24" s="68">
        <f t="shared" si="13"/>
        <v>5553.56</v>
      </c>
      <c r="G24" s="70">
        <f t="shared" si="13"/>
        <v>99</v>
      </c>
      <c r="H24" s="70">
        <f t="shared" si="13"/>
        <v>24</v>
      </c>
      <c r="I24" s="91">
        <f t="shared" si="13"/>
        <v>220</v>
      </c>
      <c r="K24" s="95" t="s">
        <v>76</v>
      </c>
      <c r="L24" s="430">
        <v>90.0</v>
      </c>
      <c r="M24" s="430">
        <v>70.69</v>
      </c>
      <c r="N24" s="429"/>
    </row>
    <row r="25" ht="12.75" customHeight="1">
      <c r="A25" s="74"/>
      <c r="B25" s="75"/>
      <c r="C25" s="75"/>
      <c r="D25" s="75"/>
      <c r="E25" s="75"/>
      <c r="F25" s="75"/>
      <c r="G25" s="76"/>
      <c r="H25" s="76"/>
      <c r="I25" s="74"/>
      <c r="K25" s="81" t="s">
        <v>70</v>
      </c>
      <c r="L25" s="429">
        <v>13.0</v>
      </c>
      <c r="M25" s="429">
        <v>11.0</v>
      </c>
      <c r="N25" s="428">
        <v>1947.59</v>
      </c>
    </row>
    <row r="26" ht="12.75" customHeight="1">
      <c r="A26" s="421">
        <f>A23+3</f>
        <v>44221</v>
      </c>
      <c r="B26" s="81">
        <v>50.0</v>
      </c>
      <c r="C26" s="81">
        <v>265.19</v>
      </c>
      <c r="D26" s="81">
        <v>639.31</v>
      </c>
      <c r="E26" s="81">
        <v>90.0</v>
      </c>
      <c r="F26" s="60">
        <f t="shared" ref="F26:F30" si="14">SUM(B26:E26)</f>
        <v>1044.5</v>
      </c>
      <c r="G26" s="81">
        <v>18.0</v>
      </c>
      <c r="H26" s="81">
        <v>6.0</v>
      </c>
      <c r="I26" s="83">
        <v>90.0</v>
      </c>
      <c r="K26" s="81" t="s">
        <v>71</v>
      </c>
      <c r="L26" s="429">
        <v>12.0</v>
      </c>
      <c r="M26" s="429">
        <v>13.0</v>
      </c>
      <c r="N26" s="428">
        <v>1998.97</v>
      </c>
    </row>
    <row r="27" ht="12.75" customHeight="1">
      <c r="A27" s="421">
        <f t="shared" ref="A27:A30" si="15">A26+1</f>
        <v>44222</v>
      </c>
      <c r="B27" s="81">
        <v>190.0</v>
      </c>
      <c r="C27" s="81">
        <v>130.59</v>
      </c>
      <c r="D27" s="81">
        <v>360.0</v>
      </c>
      <c r="E27" s="81">
        <v>100.0</v>
      </c>
      <c r="F27" s="60">
        <f t="shared" si="14"/>
        <v>780.59</v>
      </c>
      <c r="G27" s="81">
        <v>14.0</v>
      </c>
      <c r="H27" s="81">
        <v>3.0</v>
      </c>
      <c r="I27" s="83">
        <v>90.0</v>
      </c>
      <c r="K27" s="81" t="s">
        <v>72</v>
      </c>
      <c r="L27" s="429">
        <v>7.0</v>
      </c>
      <c r="M27" s="429">
        <v>14.0</v>
      </c>
      <c r="N27" s="428">
        <v>1619.66</v>
      </c>
    </row>
    <row r="28" ht="12.75" customHeight="1">
      <c r="A28" s="421">
        <f t="shared" si="15"/>
        <v>44223</v>
      </c>
      <c r="B28" s="81">
        <v>0.0</v>
      </c>
      <c r="C28" s="81">
        <v>101.16</v>
      </c>
      <c r="D28" s="81">
        <v>680.0</v>
      </c>
      <c r="E28" s="81">
        <v>150.0</v>
      </c>
      <c r="F28" s="60">
        <f t="shared" si="14"/>
        <v>931.16</v>
      </c>
      <c r="G28" s="81">
        <v>17.0</v>
      </c>
      <c r="H28" s="81">
        <v>1.0</v>
      </c>
      <c r="I28" s="83">
        <v>150.0</v>
      </c>
      <c r="K28" s="81" t="s">
        <v>73</v>
      </c>
      <c r="L28" s="429">
        <v>11.0</v>
      </c>
      <c r="M28" s="429">
        <v>10.0</v>
      </c>
      <c r="N28" s="428">
        <v>1696.9</v>
      </c>
    </row>
    <row r="29" ht="12.75" customHeight="1">
      <c r="A29" s="421">
        <f t="shared" si="15"/>
        <v>44224</v>
      </c>
      <c r="B29" s="81">
        <v>309.31</v>
      </c>
      <c r="C29" s="81">
        <v>342.98</v>
      </c>
      <c r="D29" s="81">
        <v>940.0</v>
      </c>
      <c r="E29" s="81">
        <v>140.0</v>
      </c>
      <c r="F29" s="60">
        <f t="shared" si="14"/>
        <v>1732.29</v>
      </c>
      <c r="G29" s="81">
        <v>29.0</v>
      </c>
      <c r="H29" s="81">
        <v>7.0</v>
      </c>
      <c r="I29" s="83">
        <v>140.0</v>
      </c>
      <c r="K29" s="81" t="s">
        <v>74</v>
      </c>
      <c r="L29" s="429"/>
      <c r="M29" s="429"/>
      <c r="N29" s="428">
        <v>0.0</v>
      </c>
    </row>
    <row r="30" ht="12.75" customHeight="1">
      <c r="A30" s="421">
        <f t="shared" si="15"/>
        <v>44225</v>
      </c>
      <c r="B30" s="81">
        <v>140.0</v>
      </c>
      <c r="C30" s="81">
        <v>309.11</v>
      </c>
      <c r="D30" s="81">
        <v>980.0</v>
      </c>
      <c r="E30" s="81">
        <v>230.0</v>
      </c>
      <c r="F30" s="60">
        <f t="shared" si="14"/>
        <v>1659.11</v>
      </c>
      <c r="G30" s="81">
        <v>29.0</v>
      </c>
      <c r="H30" s="81">
        <v>7.0</v>
      </c>
      <c r="I30" s="83">
        <v>230.0</v>
      </c>
    </row>
    <row r="31" ht="12.75" customHeight="1">
      <c r="A31" s="67"/>
      <c r="B31" s="68">
        <f t="shared" ref="B31:I31" si="16">SUM(B26:B30)</f>
        <v>689.31</v>
      </c>
      <c r="C31" s="68">
        <f t="shared" si="16"/>
        <v>1149.03</v>
      </c>
      <c r="D31" s="68">
        <f t="shared" si="16"/>
        <v>3599.31</v>
      </c>
      <c r="E31" s="68">
        <f t="shared" si="16"/>
        <v>710</v>
      </c>
      <c r="F31" s="68">
        <f t="shared" si="16"/>
        <v>6147.65</v>
      </c>
      <c r="G31" s="70">
        <f t="shared" si="16"/>
        <v>107</v>
      </c>
      <c r="H31" s="70">
        <f t="shared" si="16"/>
        <v>24</v>
      </c>
      <c r="I31" s="91">
        <f t="shared" si="16"/>
        <v>700</v>
      </c>
      <c r="L31" s="65">
        <f>L32+M32</f>
        <v>84</v>
      </c>
    </row>
    <row r="32" ht="12.75" customHeight="1">
      <c r="A32" s="74"/>
      <c r="B32" s="75"/>
      <c r="C32" s="75"/>
      <c r="D32" s="75"/>
      <c r="E32" s="75"/>
      <c r="F32" s="75"/>
      <c r="G32" s="76"/>
      <c r="H32" s="76"/>
      <c r="I32" s="74"/>
      <c r="L32" s="72">
        <v>53.0</v>
      </c>
      <c r="M32" s="72">
        <v>31.0</v>
      </c>
      <c r="N32" s="431">
        <v>6996.42</v>
      </c>
    </row>
    <row r="33" ht="12.75" customHeight="1">
      <c r="A33" s="421">
        <v>44228.0</v>
      </c>
      <c r="B33" s="59">
        <v>140.0</v>
      </c>
      <c r="C33" s="59">
        <v>377.29</v>
      </c>
      <c r="D33" s="59">
        <v>989.31</v>
      </c>
      <c r="E33" s="59">
        <v>150.0</v>
      </c>
      <c r="F33" s="60">
        <f t="shared" ref="F33:F37" si="17">SUM(B33:E33)</f>
        <v>1656.6</v>
      </c>
      <c r="G33" s="59">
        <v>29.0</v>
      </c>
      <c r="H33" s="59">
        <v>8.0</v>
      </c>
      <c r="I33" s="61">
        <v>150.0</v>
      </c>
      <c r="K33" s="78" t="s">
        <v>77</v>
      </c>
      <c r="L33" s="430">
        <v>90.0</v>
      </c>
      <c r="M33" s="430">
        <v>71.82</v>
      </c>
      <c r="N33" s="429"/>
    </row>
    <row r="34" ht="12.75" customHeight="1">
      <c r="A34" s="421">
        <f t="shared" ref="A34:A37" si="18">A33+1</f>
        <v>44229</v>
      </c>
      <c r="B34" s="81">
        <v>50.0</v>
      </c>
      <c r="C34" s="81">
        <v>119.21</v>
      </c>
      <c r="D34" s="81">
        <v>650.0</v>
      </c>
      <c r="E34" s="81">
        <v>100.0</v>
      </c>
      <c r="F34" s="60">
        <f t="shared" si="17"/>
        <v>919.21</v>
      </c>
      <c r="G34" s="81">
        <v>17.0</v>
      </c>
      <c r="H34" s="81">
        <v>3.0</v>
      </c>
      <c r="I34" s="83">
        <v>100.0</v>
      </c>
      <c r="K34" s="81" t="s">
        <v>70</v>
      </c>
      <c r="L34" s="429">
        <v>0.0</v>
      </c>
      <c r="M34" s="429">
        <v>0.0</v>
      </c>
      <c r="N34" s="428">
        <v>0.0</v>
      </c>
    </row>
    <row r="35" ht="12.75" customHeight="1">
      <c r="A35" s="421">
        <f t="shared" si="18"/>
        <v>44230</v>
      </c>
      <c r="B35" s="81">
        <v>100.0</v>
      </c>
      <c r="C35" s="81">
        <v>281.86</v>
      </c>
      <c r="D35" s="81">
        <v>382.43</v>
      </c>
      <c r="E35" s="81">
        <v>100.0</v>
      </c>
      <c r="F35" s="60">
        <f t="shared" si="17"/>
        <v>864.29</v>
      </c>
      <c r="G35" s="81">
        <v>17.0</v>
      </c>
      <c r="H35" s="81">
        <v>6.0</v>
      </c>
      <c r="I35" s="83">
        <v>100.0</v>
      </c>
      <c r="K35" s="81" t="s">
        <v>71</v>
      </c>
      <c r="L35" s="429">
        <v>7.0</v>
      </c>
      <c r="M35" s="429">
        <v>9.0</v>
      </c>
      <c r="N35" s="428">
        <v>1276.38</v>
      </c>
    </row>
    <row r="36" ht="12.75" customHeight="1">
      <c r="A36" s="421">
        <f t="shared" si="18"/>
        <v>44231</v>
      </c>
      <c r="B36" s="81">
        <v>100.0</v>
      </c>
      <c r="C36" s="81">
        <v>477.26</v>
      </c>
      <c r="D36" s="81">
        <v>1119.31</v>
      </c>
      <c r="E36" s="81">
        <v>20.0</v>
      </c>
      <c r="F36" s="60">
        <f t="shared" si="17"/>
        <v>1716.57</v>
      </c>
      <c r="G36" s="81">
        <v>29.0</v>
      </c>
      <c r="H36" s="81">
        <v>9.0</v>
      </c>
      <c r="I36" s="83">
        <v>20.0</v>
      </c>
      <c r="K36" s="81" t="s">
        <v>72</v>
      </c>
      <c r="L36" s="429">
        <v>17.0</v>
      </c>
      <c r="M36" s="429">
        <v>15.0</v>
      </c>
      <c r="N36" s="428">
        <v>2607.3</v>
      </c>
    </row>
    <row r="37" ht="12.75" customHeight="1">
      <c r="A37" s="421">
        <f t="shared" si="18"/>
        <v>44232</v>
      </c>
      <c r="B37" s="81">
        <v>260.0</v>
      </c>
      <c r="C37" s="81">
        <v>21.0</v>
      </c>
      <c r="D37" s="81">
        <v>1080.0</v>
      </c>
      <c r="E37" s="81">
        <v>190.0</v>
      </c>
      <c r="F37" s="60">
        <f t="shared" si="17"/>
        <v>1551</v>
      </c>
      <c r="G37" s="81">
        <v>22.0</v>
      </c>
      <c r="H37" s="81">
        <v>1.0</v>
      </c>
      <c r="I37" s="83">
        <v>200.0</v>
      </c>
      <c r="K37" s="81" t="s">
        <v>73</v>
      </c>
      <c r="L37" s="429">
        <v>18.0</v>
      </c>
      <c r="M37" s="429">
        <v>3.0</v>
      </c>
      <c r="N37" s="428">
        <v>1835.46</v>
      </c>
    </row>
    <row r="38" ht="12.75" customHeight="1">
      <c r="A38" s="67"/>
      <c r="B38" s="68">
        <f t="shared" ref="B38:I38" si="19">SUM(B33:B37)</f>
        <v>650</v>
      </c>
      <c r="C38" s="68">
        <f t="shared" si="19"/>
        <v>1276.62</v>
      </c>
      <c r="D38" s="68">
        <f t="shared" si="19"/>
        <v>4221.05</v>
      </c>
      <c r="E38" s="68">
        <f t="shared" si="19"/>
        <v>560</v>
      </c>
      <c r="F38" s="68">
        <f t="shared" si="19"/>
        <v>6707.67</v>
      </c>
      <c r="G38" s="70">
        <f t="shared" si="19"/>
        <v>114</v>
      </c>
      <c r="H38" s="70">
        <f t="shared" si="19"/>
        <v>27</v>
      </c>
      <c r="I38" s="71">
        <f t="shared" si="19"/>
        <v>570</v>
      </c>
      <c r="K38" s="81" t="s">
        <v>74</v>
      </c>
      <c r="L38" s="429">
        <v>11.0</v>
      </c>
      <c r="M38" s="429">
        <v>4.0</v>
      </c>
      <c r="N38" s="428">
        <v>1277.28</v>
      </c>
    </row>
    <row r="39" ht="12.75" customHeight="1">
      <c r="A39" s="74"/>
      <c r="B39" s="92"/>
      <c r="C39" s="92"/>
      <c r="D39" s="92"/>
      <c r="E39" s="92"/>
      <c r="F39" s="92"/>
      <c r="G39" s="93"/>
      <c r="H39" s="93"/>
      <c r="I39" s="432"/>
    </row>
    <row r="40" ht="12.75" customHeight="1">
      <c r="A40" s="433">
        <f>A37+3</f>
        <v>44235</v>
      </c>
      <c r="B40" s="98">
        <v>190.0</v>
      </c>
      <c r="C40" s="99">
        <v>38.9</v>
      </c>
      <c r="D40" s="99">
        <v>1110.0</v>
      </c>
      <c r="E40" s="99">
        <v>420.0</v>
      </c>
      <c r="F40" s="100">
        <f t="shared" ref="F40:F44" si="20">SUM(B40:E40)</f>
        <v>1758.9</v>
      </c>
      <c r="G40" s="99">
        <v>29.0</v>
      </c>
      <c r="H40" s="99">
        <v>1.0</v>
      </c>
      <c r="I40" s="101">
        <v>420.0</v>
      </c>
    </row>
    <row r="41" ht="12.75" customHeight="1">
      <c r="A41" s="434">
        <f t="shared" ref="A41:A44" si="21">A40+1</f>
        <v>44236</v>
      </c>
      <c r="B41" s="81">
        <v>310.0</v>
      </c>
      <c r="C41" s="81">
        <v>391.93</v>
      </c>
      <c r="D41" s="81">
        <v>710.0</v>
      </c>
      <c r="E41" s="66">
        <v>219.31</v>
      </c>
      <c r="F41" s="104">
        <f t="shared" si="20"/>
        <v>1631.24</v>
      </c>
      <c r="G41" s="81">
        <v>31.0</v>
      </c>
      <c r="H41" s="81">
        <v>9.0</v>
      </c>
      <c r="I41" s="83">
        <v>220.0</v>
      </c>
      <c r="K41" s="66"/>
      <c r="L41" s="65">
        <f>L42+M42</f>
        <v>92</v>
      </c>
    </row>
    <row r="42" ht="12.75" customHeight="1">
      <c r="A42" s="434">
        <f t="shared" si="21"/>
        <v>44237</v>
      </c>
      <c r="B42" s="103">
        <v>120.0</v>
      </c>
      <c r="C42" s="81">
        <v>155.6</v>
      </c>
      <c r="D42" s="81">
        <v>660.0</v>
      </c>
      <c r="E42" s="81">
        <v>0.0</v>
      </c>
      <c r="F42" s="104">
        <f t="shared" si="20"/>
        <v>935.6</v>
      </c>
      <c r="G42" s="81">
        <v>18.0</v>
      </c>
      <c r="H42" s="81">
        <v>4.0</v>
      </c>
      <c r="I42" s="83">
        <v>0.0</v>
      </c>
      <c r="L42" s="72">
        <v>76.0</v>
      </c>
      <c r="M42" s="72">
        <v>16.0</v>
      </c>
      <c r="N42" s="427">
        <v>7989.12</v>
      </c>
    </row>
    <row r="43" ht="12.75" customHeight="1">
      <c r="A43" s="434">
        <f t="shared" si="21"/>
        <v>44238</v>
      </c>
      <c r="B43" s="103">
        <v>310.0</v>
      </c>
      <c r="C43" s="81">
        <v>119.21</v>
      </c>
      <c r="D43" s="81">
        <v>1300.0</v>
      </c>
      <c r="E43" s="81">
        <v>0.0</v>
      </c>
      <c r="F43" s="104">
        <f t="shared" si="20"/>
        <v>1729.21</v>
      </c>
      <c r="G43" s="81">
        <v>29.0</v>
      </c>
      <c r="H43" s="81">
        <v>3.0</v>
      </c>
      <c r="I43" s="83">
        <v>0.0</v>
      </c>
      <c r="K43" s="78" t="s">
        <v>78</v>
      </c>
      <c r="L43" s="430">
        <v>90.0</v>
      </c>
      <c r="M43" s="430">
        <v>71.82</v>
      </c>
      <c r="N43" s="429"/>
    </row>
    <row r="44" ht="12.75" customHeight="1">
      <c r="A44" s="434">
        <f t="shared" si="21"/>
        <v>44239</v>
      </c>
      <c r="B44" s="105">
        <v>89.31</v>
      </c>
      <c r="C44" s="106">
        <v>109.59</v>
      </c>
      <c r="D44" s="106">
        <v>960.0</v>
      </c>
      <c r="E44" s="106">
        <v>100.0</v>
      </c>
      <c r="F44" s="107">
        <f t="shared" si="20"/>
        <v>1258.9</v>
      </c>
      <c r="G44" s="106">
        <v>22.0</v>
      </c>
      <c r="H44" s="106">
        <v>2.0</v>
      </c>
      <c r="I44" s="108">
        <v>100.0</v>
      </c>
      <c r="K44" s="81" t="s">
        <v>70</v>
      </c>
      <c r="L44" s="429">
        <v>17.0</v>
      </c>
      <c r="M44" s="429">
        <v>6.0</v>
      </c>
      <c r="N44" s="428">
        <v>1960.92</v>
      </c>
    </row>
    <row r="45" ht="12.75" customHeight="1">
      <c r="A45" s="109"/>
      <c r="B45" s="91">
        <f t="shared" ref="B45:I45" si="22">SUM(B40:B44)</f>
        <v>1019.31</v>
      </c>
      <c r="C45" s="91">
        <f t="shared" si="22"/>
        <v>815.23</v>
      </c>
      <c r="D45" s="91">
        <f t="shared" si="22"/>
        <v>4740</v>
      </c>
      <c r="E45" s="91">
        <f t="shared" si="22"/>
        <v>739.31</v>
      </c>
      <c r="F45" s="91">
        <f t="shared" si="22"/>
        <v>7313.85</v>
      </c>
      <c r="G45" s="70">
        <f t="shared" si="22"/>
        <v>129</v>
      </c>
      <c r="H45" s="70">
        <f t="shared" si="22"/>
        <v>19</v>
      </c>
      <c r="I45" s="91">
        <f t="shared" si="22"/>
        <v>740</v>
      </c>
      <c r="K45" s="81" t="s">
        <v>71</v>
      </c>
      <c r="L45" s="429">
        <v>10.0</v>
      </c>
      <c r="M45" s="429">
        <v>2.0</v>
      </c>
      <c r="N45" s="428">
        <v>1043.64</v>
      </c>
    </row>
    <row r="46" ht="12.75" customHeight="1">
      <c r="A46" s="110"/>
      <c r="B46" s="74"/>
      <c r="C46" s="74"/>
      <c r="D46" s="74"/>
      <c r="E46" s="74"/>
      <c r="F46" s="74"/>
      <c r="G46" s="76"/>
      <c r="H46" s="76"/>
      <c r="I46" s="74"/>
      <c r="K46" s="81" t="s">
        <v>72</v>
      </c>
      <c r="L46" s="429">
        <v>26.0</v>
      </c>
      <c r="M46" s="429">
        <v>4.0</v>
      </c>
      <c r="N46" s="428">
        <v>2627.28</v>
      </c>
    </row>
    <row r="47" ht="12.75" customHeight="1">
      <c r="A47" s="111">
        <f>A44+3</f>
        <v>44242</v>
      </c>
      <c r="B47" s="112">
        <v>0.0</v>
      </c>
      <c r="C47" s="112">
        <v>267.7</v>
      </c>
      <c r="D47" s="112">
        <v>850.0</v>
      </c>
      <c r="E47" s="112">
        <v>0.0</v>
      </c>
      <c r="F47" s="107">
        <f t="shared" ref="F47:F51" si="23">SUM(B47:E47)</f>
        <v>1117.7</v>
      </c>
      <c r="G47" s="59">
        <v>21.0</v>
      </c>
      <c r="H47" s="59">
        <v>6.0</v>
      </c>
      <c r="I47" s="61">
        <v>0.0</v>
      </c>
      <c r="K47" s="81" t="s">
        <v>73</v>
      </c>
      <c r="L47" s="429">
        <v>22.0</v>
      </c>
      <c r="M47" s="429">
        <v>2.0</v>
      </c>
      <c r="N47" s="428">
        <v>2123.64</v>
      </c>
    </row>
    <row r="48" ht="12.75" customHeight="1">
      <c r="A48" s="113">
        <f t="shared" ref="A48:A51" si="24">A47+1</f>
        <v>44243</v>
      </c>
      <c r="B48" s="103">
        <v>120.0</v>
      </c>
      <c r="C48" s="103">
        <v>339.36</v>
      </c>
      <c r="D48" s="103">
        <v>1269.82</v>
      </c>
      <c r="E48" s="103">
        <v>0.0</v>
      </c>
      <c r="F48" s="107">
        <f t="shared" si="23"/>
        <v>1729.18</v>
      </c>
      <c r="G48" s="81">
        <v>29.0</v>
      </c>
      <c r="H48" s="81">
        <v>6.0</v>
      </c>
      <c r="I48" s="83">
        <v>0.0</v>
      </c>
      <c r="K48" s="81" t="s">
        <v>74</v>
      </c>
      <c r="L48" s="429">
        <v>1.0</v>
      </c>
      <c r="M48" s="429">
        <v>2.0</v>
      </c>
      <c r="N48" s="428">
        <v>233.64</v>
      </c>
    </row>
    <row r="49" ht="12.75" customHeight="1">
      <c r="A49" s="113">
        <f t="shared" si="24"/>
        <v>44244</v>
      </c>
      <c r="B49" s="103">
        <v>150.0</v>
      </c>
      <c r="C49" s="103">
        <v>116.7</v>
      </c>
      <c r="D49" s="103">
        <v>420.0</v>
      </c>
      <c r="E49" s="103">
        <v>50.0</v>
      </c>
      <c r="F49" s="107">
        <f t="shared" si="23"/>
        <v>736.7</v>
      </c>
      <c r="G49" s="81">
        <v>15.0</v>
      </c>
      <c r="H49" s="81">
        <v>3.0</v>
      </c>
      <c r="I49" s="83">
        <v>50.0</v>
      </c>
      <c r="N49" s="427">
        <v>7755.48</v>
      </c>
    </row>
    <row r="50" ht="12.75" customHeight="1">
      <c r="A50" s="113">
        <f t="shared" si="24"/>
        <v>44245</v>
      </c>
      <c r="B50" s="103">
        <v>290.0</v>
      </c>
      <c r="C50" s="103">
        <v>226.69</v>
      </c>
      <c r="D50" s="103">
        <v>1299.31</v>
      </c>
      <c r="E50" s="103">
        <v>0.0</v>
      </c>
      <c r="F50" s="107">
        <f t="shared" si="23"/>
        <v>1816</v>
      </c>
      <c r="G50" s="81">
        <v>31.0</v>
      </c>
      <c r="H50" s="81">
        <v>5.0</v>
      </c>
      <c r="I50" s="83">
        <v>0.0</v>
      </c>
      <c r="L50" s="65">
        <f>L51+M51</f>
        <v>91</v>
      </c>
    </row>
    <row r="51" ht="12.75" customHeight="1">
      <c r="A51" s="114">
        <f t="shared" si="24"/>
        <v>44246</v>
      </c>
      <c r="B51" s="103">
        <v>0.0</v>
      </c>
      <c r="C51" s="103">
        <v>268.67</v>
      </c>
      <c r="D51" s="103">
        <v>1019.13</v>
      </c>
      <c r="E51" s="103">
        <v>50.0</v>
      </c>
      <c r="F51" s="107">
        <f t="shared" si="23"/>
        <v>1337.8</v>
      </c>
      <c r="G51" s="81">
        <v>23.0</v>
      </c>
      <c r="H51" s="81">
        <v>5.0</v>
      </c>
      <c r="I51" s="83">
        <v>50.0</v>
      </c>
      <c r="K51" s="66"/>
      <c r="L51" s="72">
        <v>75.0</v>
      </c>
      <c r="M51" s="72">
        <v>16.0</v>
      </c>
      <c r="N51" s="73">
        <v>7899.12</v>
      </c>
    </row>
    <row r="52" ht="12.75" customHeight="1">
      <c r="A52" s="109"/>
      <c r="B52" s="91">
        <f t="shared" ref="B52:I52" si="25">SUM(B47:B51)</f>
        <v>560</v>
      </c>
      <c r="C52" s="91">
        <f t="shared" si="25"/>
        <v>1219.12</v>
      </c>
      <c r="D52" s="91">
        <f t="shared" si="25"/>
        <v>4858.26</v>
      </c>
      <c r="E52" s="91">
        <f t="shared" si="25"/>
        <v>100</v>
      </c>
      <c r="F52" s="91">
        <f t="shared" si="25"/>
        <v>6737.38</v>
      </c>
      <c r="G52" s="140">
        <f t="shared" si="25"/>
        <v>119</v>
      </c>
      <c r="H52" s="133">
        <f t="shared" si="25"/>
        <v>25</v>
      </c>
      <c r="I52" s="134">
        <f t="shared" si="25"/>
        <v>100</v>
      </c>
      <c r="K52" s="78" t="s">
        <v>79</v>
      </c>
      <c r="L52" s="430">
        <v>90.0</v>
      </c>
      <c r="M52" s="430">
        <v>71.82</v>
      </c>
      <c r="N52" s="81"/>
    </row>
    <row r="53" ht="12.75" customHeight="1">
      <c r="A53" s="110"/>
      <c r="B53" s="74"/>
      <c r="C53" s="74"/>
      <c r="D53" s="74"/>
      <c r="E53" s="74"/>
      <c r="F53" s="74"/>
      <c r="G53" s="75"/>
      <c r="H53" s="136"/>
      <c r="I53" s="435"/>
      <c r="K53" s="81" t="s">
        <v>70</v>
      </c>
      <c r="L53" s="81">
        <v>11.0</v>
      </c>
      <c r="M53" s="81">
        <v>4.0</v>
      </c>
      <c r="N53" s="82">
        <v>1277.28</v>
      </c>
    </row>
    <row r="54" ht="12.75" customHeight="1">
      <c r="A54" s="113">
        <f>A51+3</f>
        <v>44249</v>
      </c>
      <c r="B54" s="103">
        <v>270.0</v>
      </c>
      <c r="C54" s="103">
        <v>250.97</v>
      </c>
      <c r="D54" s="103">
        <v>210.0</v>
      </c>
      <c r="E54" s="103">
        <v>50.0</v>
      </c>
      <c r="F54" s="107">
        <f t="shared" ref="F54:F58" si="26">SUM(B54:E54)</f>
        <v>780.97</v>
      </c>
      <c r="G54" s="81">
        <v>13.0</v>
      </c>
      <c r="H54" s="81">
        <v>4.0</v>
      </c>
      <c r="I54" s="83">
        <v>50.0</v>
      </c>
      <c r="K54" s="81" t="s">
        <v>71</v>
      </c>
      <c r="L54" s="81">
        <v>23.0</v>
      </c>
      <c r="M54" s="81">
        <v>7.0</v>
      </c>
      <c r="N54" s="82">
        <v>2572.74</v>
      </c>
    </row>
    <row r="55" ht="12.75" customHeight="1">
      <c r="A55" s="114">
        <f t="shared" ref="A55:A58" si="27">A54+1</f>
        <v>44250</v>
      </c>
      <c r="B55" s="103">
        <v>50.0</v>
      </c>
      <c r="C55" s="103">
        <v>109.59</v>
      </c>
      <c r="D55" s="103">
        <v>640.0</v>
      </c>
      <c r="E55" s="103">
        <v>0.0</v>
      </c>
      <c r="F55" s="107">
        <f t="shared" si="26"/>
        <v>799.59</v>
      </c>
      <c r="G55" s="81">
        <v>17.0</v>
      </c>
      <c r="H55" s="81">
        <v>2.0</v>
      </c>
      <c r="I55" s="83">
        <v>0.0</v>
      </c>
      <c r="K55" s="81" t="s">
        <v>72</v>
      </c>
      <c r="L55" s="81">
        <v>18.0</v>
      </c>
      <c r="M55" s="81">
        <v>1.0</v>
      </c>
      <c r="N55" s="82">
        <v>1691.82</v>
      </c>
    </row>
    <row r="56" ht="12.75" customHeight="1">
      <c r="A56" s="113">
        <f t="shared" si="27"/>
        <v>44251</v>
      </c>
      <c r="B56" s="124">
        <v>0.0</v>
      </c>
      <c r="C56" s="124">
        <v>311.2</v>
      </c>
      <c r="D56" s="124">
        <v>310.0</v>
      </c>
      <c r="E56" s="124">
        <v>50.0</v>
      </c>
      <c r="F56" s="107">
        <f t="shared" si="26"/>
        <v>671.2</v>
      </c>
      <c r="G56" s="66">
        <v>14.0</v>
      </c>
      <c r="H56" s="59">
        <v>8.0</v>
      </c>
      <c r="I56" s="61">
        <v>50.0</v>
      </c>
      <c r="K56" s="81" t="s">
        <v>73</v>
      </c>
      <c r="L56" s="81">
        <v>13.0</v>
      </c>
      <c r="M56" s="81">
        <v>3.0</v>
      </c>
      <c r="N56" s="82">
        <v>1385.46</v>
      </c>
    </row>
    <row r="57" ht="12.75" customHeight="1">
      <c r="A57" s="113">
        <f t="shared" si="27"/>
        <v>44252</v>
      </c>
      <c r="B57" s="59">
        <v>0.0</v>
      </c>
      <c r="C57" s="59">
        <v>537.91</v>
      </c>
      <c r="D57" s="59">
        <v>999.31</v>
      </c>
      <c r="E57" s="59">
        <v>99.31</v>
      </c>
      <c r="F57" s="107">
        <f t="shared" si="26"/>
        <v>1636.53</v>
      </c>
      <c r="G57" s="59">
        <v>30.0</v>
      </c>
      <c r="H57" s="59">
        <v>12.0</v>
      </c>
      <c r="I57" s="61">
        <v>100.0</v>
      </c>
      <c r="K57" s="81" t="s">
        <v>74</v>
      </c>
      <c r="L57" s="81">
        <v>10.0</v>
      </c>
      <c r="M57" s="81">
        <v>1.0</v>
      </c>
      <c r="N57" s="82">
        <v>971.82</v>
      </c>
    </row>
    <row r="58" ht="12.75" customHeight="1">
      <c r="A58" s="113">
        <f t="shared" si="27"/>
        <v>44253</v>
      </c>
      <c r="B58" s="59">
        <v>50.0</v>
      </c>
      <c r="C58" s="59">
        <v>399.46</v>
      </c>
      <c r="D58" s="59">
        <v>1017.93</v>
      </c>
      <c r="E58" s="59">
        <v>50.0</v>
      </c>
      <c r="F58" s="107">
        <f t="shared" si="26"/>
        <v>1517.39</v>
      </c>
      <c r="G58" s="66">
        <v>25.0</v>
      </c>
      <c r="H58" s="66">
        <v>7.0</v>
      </c>
      <c r="I58" s="436">
        <v>50.0</v>
      </c>
    </row>
    <row r="59" ht="12.75" customHeight="1">
      <c r="A59" s="109" t="s">
        <v>87</v>
      </c>
      <c r="B59" s="91">
        <f t="shared" ref="B59:I59" si="28">SUM(B54:B58)</f>
        <v>370</v>
      </c>
      <c r="C59" s="91">
        <f t="shared" si="28"/>
        <v>1609.13</v>
      </c>
      <c r="D59" s="91">
        <f t="shared" si="28"/>
        <v>3177.24</v>
      </c>
      <c r="E59" s="91">
        <f t="shared" si="28"/>
        <v>249.31</v>
      </c>
      <c r="F59" s="91">
        <f t="shared" si="28"/>
        <v>5405.68</v>
      </c>
      <c r="G59" s="70">
        <f t="shared" si="28"/>
        <v>99</v>
      </c>
      <c r="H59" s="70">
        <f t="shared" si="28"/>
        <v>33</v>
      </c>
      <c r="I59" s="91">
        <f t="shared" si="28"/>
        <v>250</v>
      </c>
      <c r="L59" s="65">
        <f>L60+M60</f>
        <v>97</v>
      </c>
    </row>
    <row r="60" ht="12.75" customHeight="1">
      <c r="A60" s="110"/>
      <c r="B60" s="74"/>
      <c r="C60" s="74"/>
      <c r="D60" s="74"/>
      <c r="E60" s="74"/>
      <c r="F60" s="74"/>
      <c r="G60" s="76"/>
      <c r="H60" s="76"/>
      <c r="I60" s="74"/>
      <c r="K60" s="66"/>
      <c r="L60" s="72">
        <v>84.0</v>
      </c>
      <c r="M60" s="72">
        <v>13.0</v>
      </c>
      <c r="N60" s="427">
        <v>8493.66</v>
      </c>
    </row>
    <row r="61" ht="12.75" customHeight="1">
      <c r="A61" s="421">
        <v>44256.0</v>
      </c>
      <c r="B61" s="81">
        <v>209.31</v>
      </c>
      <c r="C61" s="81">
        <v>440.87</v>
      </c>
      <c r="D61" s="81">
        <v>558.62</v>
      </c>
      <c r="E61" s="81">
        <v>190.0</v>
      </c>
      <c r="F61" s="60">
        <f t="shared" ref="F61:F65" si="29">SUM(B61:E61)</f>
        <v>1398.8</v>
      </c>
      <c r="G61" s="81">
        <v>25.0</v>
      </c>
      <c r="H61" s="81">
        <v>8.0</v>
      </c>
      <c r="I61" s="83">
        <v>190.0</v>
      </c>
      <c r="K61" s="78" t="s">
        <v>80</v>
      </c>
      <c r="L61" s="431">
        <v>90.0</v>
      </c>
      <c r="M61" s="431">
        <v>71.82</v>
      </c>
      <c r="N61" s="429"/>
    </row>
    <row r="62" ht="12.75" customHeight="1">
      <c r="A62" s="421">
        <f t="shared" ref="A62:A65" si="30">A61+1</f>
        <v>44257</v>
      </c>
      <c r="B62" s="81">
        <v>150.0</v>
      </c>
      <c r="C62" s="81">
        <v>109.59</v>
      </c>
      <c r="D62" s="81">
        <v>499.31</v>
      </c>
      <c r="E62" s="81">
        <v>190.0</v>
      </c>
      <c r="F62" s="60">
        <f t="shared" si="29"/>
        <v>948.9</v>
      </c>
      <c r="G62" s="81">
        <v>16.0</v>
      </c>
      <c r="H62" s="81">
        <v>2.0</v>
      </c>
      <c r="I62" s="83">
        <v>200.0</v>
      </c>
      <c r="K62" s="81" t="s">
        <v>70</v>
      </c>
      <c r="L62" s="429">
        <v>14.0</v>
      </c>
      <c r="M62" s="429">
        <v>5.0</v>
      </c>
      <c r="N62" s="428">
        <v>1619.1</v>
      </c>
    </row>
    <row r="63" ht="12.75" customHeight="1">
      <c r="A63" s="421">
        <f t="shared" si="30"/>
        <v>44258</v>
      </c>
      <c r="B63" s="81">
        <v>120.0</v>
      </c>
      <c r="C63" s="81">
        <v>267.7</v>
      </c>
      <c r="D63" s="81">
        <v>300.0</v>
      </c>
      <c r="E63" s="81">
        <v>0.0</v>
      </c>
      <c r="F63" s="60">
        <f t="shared" si="29"/>
        <v>687.7</v>
      </c>
      <c r="G63" s="81">
        <v>14.0</v>
      </c>
      <c r="H63" s="81">
        <v>6.0</v>
      </c>
      <c r="I63" s="83">
        <v>0.0</v>
      </c>
      <c r="K63" s="81" t="s">
        <v>71</v>
      </c>
      <c r="L63" s="429">
        <v>26.0</v>
      </c>
      <c r="M63" s="429">
        <v>1.0</v>
      </c>
      <c r="N63" s="428">
        <v>2411.82</v>
      </c>
    </row>
    <row r="64" ht="12.75" customHeight="1">
      <c r="A64" s="421">
        <f t="shared" si="30"/>
        <v>44259</v>
      </c>
      <c r="B64" s="81">
        <v>100.0</v>
      </c>
      <c r="C64" s="81">
        <v>333.79</v>
      </c>
      <c r="D64" s="81">
        <v>1040.0</v>
      </c>
      <c r="E64" s="81">
        <v>150.0</v>
      </c>
      <c r="F64" s="60">
        <f t="shared" si="29"/>
        <v>1623.79</v>
      </c>
      <c r="G64" s="81">
        <v>28.0</v>
      </c>
      <c r="H64" s="81">
        <v>6.0</v>
      </c>
      <c r="I64" s="83">
        <v>150.0</v>
      </c>
      <c r="K64" s="81" t="s">
        <v>72</v>
      </c>
      <c r="L64" s="429">
        <v>15.0</v>
      </c>
      <c r="M64" s="429">
        <v>1.0</v>
      </c>
      <c r="N64" s="428">
        <v>1421.82</v>
      </c>
    </row>
    <row r="65" ht="12.75" customHeight="1">
      <c r="A65" s="421">
        <f t="shared" si="30"/>
        <v>44260</v>
      </c>
      <c r="B65" s="59">
        <v>160.0</v>
      </c>
      <c r="C65" s="59">
        <v>302.0</v>
      </c>
      <c r="D65" s="59">
        <v>788.62</v>
      </c>
      <c r="E65" s="59">
        <v>70.0</v>
      </c>
      <c r="F65" s="60">
        <f t="shared" si="29"/>
        <v>1320.62</v>
      </c>
      <c r="G65" s="59">
        <v>23.0</v>
      </c>
      <c r="H65" s="59">
        <v>6.0</v>
      </c>
      <c r="I65" s="61">
        <v>70.0</v>
      </c>
      <c r="K65" s="81" t="s">
        <v>73</v>
      </c>
      <c r="L65" s="429">
        <v>23.0</v>
      </c>
      <c r="M65" s="429">
        <v>1.0</v>
      </c>
      <c r="N65" s="428">
        <v>2141.82</v>
      </c>
    </row>
    <row r="66" ht="12.75" customHeight="1">
      <c r="A66" s="67"/>
      <c r="B66" s="68">
        <f t="shared" ref="B66:I66" si="31">SUM(B61:B65)</f>
        <v>739.31</v>
      </c>
      <c r="C66" s="68">
        <f t="shared" si="31"/>
        <v>1453.95</v>
      </c>
      <c r="D66" s="68">
        <f t="shared" si="31"/>
        <v>3186.55</v>
      </c>
      <c r="E66" s="68">
        <f t="shared" si="31"/>
        <v>600</v>
      </c>
      <c r="F66" s="68">
        <f t="shared" si="31"/>
        <v>5979.81</v>
      </c>
      <c r="G66" s="70">
        <f t="shared" si="31"/>
        <v>106</v>
      </c>
      <c r="H66" s="70">
        <f t="shared" si="31"/>
        <v>28</v>
      </c>
      <c r="I66" s="91">
        <f t="shared" si="31"/>
        <v>610</v>
      </c>
      <c r="K66" s="81" t="s">
        <v>74</v>
      </c>
      <c r="L66" s="429">
        <v>6.0</v>
      </c>
      <c r="M66" s="429">
        <v>5.0</v>
      </c>
      <c r="N66" s="428">
        <v>899.1</v>
      </c>
    </row>
    <row r="67" ht="12.75" customHeight="1">
      <c r="A67" s="74"/>
      <c r="B67" s="92"/>
      <c r="C67" s="92"/>
      <c r="D67" s="92"/>
      <c r="E67" s="92"/>
      <c r="F67" s="75"/>
      <c r="G67" s="93"/>
      <c r="H67" s="93"/>
      <c r="I67" s="94"/>
    </row>
    <row r="68" ht="12.75" customHeight="1">
      <c r="A68" s="433">
        <f>A65+3</f>
        <v>44263</v>
      </c>
      <c r="B68" s="98">
        <v>180.0</v>
      </c>
      <c r="C68" s="99">
        <v>226.28</v>
      </c>
      <c r="D68" s="99">
        <v>578.62</v>
      </c>
      <c r="E68" s="99">
        <v>90.0</v>
      </c>
      <c r="F68" s="60">
        <f t="shared" ref="F68:F72" si="32">SUM(B68:E68)</f>
        <v>1074.9</v>
      </c>
      <c r="G68" s="99">
        <v>17.0</v>
      </c>
      <c r="H68" s="99">
        <v>4.0</v>
      </c>
      <c r="I68" s="101">
        <v>100.0</v>
      </c>
    </row>
    <row r="69" ht="12.75" customHeight="1">
      <c r="A69" s="434">
        <f t="shared" ref="A69:A72" si="33">A68+1</f>
        <v>44264</v>
      </c>
      <c r="B69" s="103">
        <v>310.0</v>
      </c>
      <c r="C69" s="81">
        <v>253.48</v>
      </c>
      <c r="D69" s="81">
        <v>289.31</v>
      </c>
      <c r="E69" s="81">
        <v>19.31</v>
      </c>
      <c r="F69" s="60">
        <f t="shared" si="32"/>
        <v>872.1</v>
      </c>
      <c r="G69" s="81">
        <v>14.0</v>
      </c>
      <c r="H69" s="81">
        <v>4.0</v>
      </c>
      <c r="I69" s="83">
        <v>19.31</v>
      </c>
      <c r="K69" s="64"/>
      <c r="L69" s="65">
        <f>L70+M70</f>
        <v>45</v>
      </c>
    </row>
    <row r="70" ht="12.75" customHeight="1">
      <c r="A70" s="434">
        <f t="shared" si="33"/>
        <v>44265</v>
      </c>
      <c r="B70" s="103">
        <v>200.0</v>
      </c>
      <c r="C70" s="81">
        <v>119.21</v>
      </c>
      <c r="D70" s="81">
        <v>480.0</v>
      </c>
      <c r="E70" s="81">
        <v>0.0</v>
      </c>
      <c r="F70" s="60">
        <f t="shared" si="32"/>
        <v>799.21</v>
      </c>
      <c r="G70" s="81">
        <v>15.0</v>
      </c>
      <c r="H70" s="81">
        <v>3.0</v>
      </c>
      <c r="I70" s="83">
        <v>0.0</v>
      </c>
      <c r="K70" s="437"/>
      <c r="L70" s="438">
        <v>33.0</v>
      </c>
      <c r="M70" s="72">
        <v>12.0</v>
      </c>
      <c r="N70" s="427">
        <v>2123.46</v>
      </c>
    </row>
    <row r="71" ht="12.75" customHeight="1">
      <c r="A71" s="434">
        <f t="shared" si="33"/>
        <v>44266</v>
      </c>
      <c r="B71" s="103">
        <v>107.93</v>
      </c>
      <c r="C71" s="81">
        <v>591.87</v>
      </c>
      <c r="D71" s="81">
        <v>740.0</v>
      </c>
      <c r="E71" s="81">
        <v>0.0</v>
      </c>
      <c r="F71" s="60">
        <f t="shared" si="32"/>
        <v>1439.8</v>
      </c>
      <c r="G71" s="81">
        <v>26.0</v>
      </c>
      <c r="H71" s="81">
        <v>11.0</v>
      </c>
      <c r="I71" s="83">
        <v>0.0</v>
      </c>
      <c r="K71" s="439" t="s">
        <v>81</v>
      </c>
      <c r="L71" s="430">
        <v>85.0</v>
      </c>
      <c r="M71" s="430">
        <v>71.82</v>
      </c>
      <c r="N71" s="429"/>
    </row>
    <row r="72" ht="12.75" customHeight="1">
      <c r="A72" s="434">
        <f t="shared" si="33"/>
        <v>44267</v>
      </c>
      <c r="B72" s="105">
        <v>159.31</v>
      </c>
      <c r="C72" s="106">
        <v>253.48</v>
      </c>
      <c r="D72" s="106">
        <v>1069.31</v>
      </c>
      <c r="E72" s="106">
        <v>50.0</v>
      </c>
      <c r="F72" s="60">
        <f t="shared" si="32"/>
        <v>1532.1</v>
      </c>
      <c r="G72" s="106">
        <v>23.0</v>
      </c>
      <c r="H72" s="106">
        <v>4.0</v>
      </c>
      <c r="I72" s="108">
        <v>50.0</v>
      </c>
      <c r="K72" s="81" t="s">
        <v>70</v>
      </c>
      <c r="L72" s="429">
        <v>19.0</v>
      </c>
      <c r="M72" s="429">
        <v>3.0</v>
      </c>
      <c r="N72" s="428">
        <v>1830.46</v>
      </c>
    </row>
    <row r="73" ht="12.75" customHeight="1">
      <c r="A73" s="67"/>
      <c r="B73" s="121">
        <f t="shared" ref="B73:I73" si="34">SUM(B68:B72)</f>
        <v>957.24</v>
      </c>
      <c r="C73" s="121">
        <f t="shared" si="34"/>
        <v>1444.32</v>
      </c>
      <c r="D73" s="121">
        <f t="shared" si="34"/>
        <v>3157.24</v>
      </c>
      <c r="E73" s="121">
        <f t="shared" si="34"/>
        <v>159.31</v>
      </c>
      <c r="F73" s="121">
        <f t="shared" si="34"/>
        <v>5718.11</v>
      </c>
      <c r="G73" s="122">
        <f t="shared" si="34"/>
        <v>95</v>
      </c>
      <c r="H73" s="122">
        <f t="shared" si="34"/>
        <v>26</v>
      </c>
      <c r="I73" s="145">
        <f t="shared" si="34"/>
        <v>169.31</v>
      </c>
      <c r="K73" s="59" t="s">
        <v>71</v>
      </c>
      <c r="L73" s="429"/>
      <c r="M73" s="429"/>
      <c r="N73" s="428">
        <v>0.0</v>
      </c>
    </row>
    <row r="74" ht="12.75" customHeight="1">
      <c r="A74" s="94"/>
      <c r="B74" s="75"/>
      <c r="C74" s="75"/>
      <c r="D74" s="75"/>
      <c r="E74" s="75"/>
      <c r="F74" s="75"/>
      <c r="G74" s="75"/>
      <c r="H74" s="75"/>
      <c r="I74" s="74"/>
      <c r="K74" s="59" t="s">
        <v>72</v>
      </c>
      <c r="L74" s="429"/>
      <c r="M74" s="429"/>
      <c r="N74" s="428">
        <v>0.0</v>
      </c>
    </row>
    <row r="75" ht="12.75" customHeight="1">
      <c r="A75" s="433">
        <f>A72+3</f>
        <v>44270</v>
      </c>
      <c r="B75" s="98">
        <v>69.31</v>
      </c>
      <c r="C75" s="99">
        <v>726.14</v>
      </c>
      <c r="D75" s="99">
        <v>766.52</v>
      </c>
      <c r="E75" s="99">
        <v>138.62</v>
      </c>
      <c r="F75" s="60">
        <f t="shared" ref="F75:F79" si="35">SUM(B75:E75)</f>
        <v>1700.59</v>
      </c>
      <c r="G75" s="99">
        <v>27.0</v>
      </c>
      <c r="H75" s="99">
        <v>12.0</v>
      </c>
      <c r="I75" s="101">
        <v>140.0</v>
      </c>
      <c r="K75" s="59" t="s">
        <v>73</v>
      </c>
      <c r="L75" s="429">
        <v>14.0</v>
      </c>
      <c r="M75" s="429">
        <v>9.0</v>
      </c>
      <c r="N75" s="428">
        <v>293.0</v>
      </c>
    </row>
    <row r="76" ht="12.75" customHeight="1">
      <c r="A76" s="433">
        <f t="shared" ref="A76:A79" si="36">A75+1</f>
        <v>44271</v>
      </c>
      <c r="B76" s="103">
        <v>0.0</v>
      </c>
      <c r="C76" s="81">
        <v>0.0</v>
      </c>
      <c r="D76" s="81">
        <v>151.0</v>
      </c>
      <c r="E76" s="81">
        <v>650.0</v>
      </c>
      <c r="F76" s="60">
        <f t="shared" si="35"/>
        <v>801</v>
      </c>
      <c r="G76" s="81">
        <v>14.0</v>
      </c>
      <c r="H76" s="81">
        <v>3.0</v>
      </c>
      <c r="I76" s="83">
        <v>0.0</v>
      </c>
      <c r="K76" s="59" t="s">
        <v>74</v>
      </c>
      <c r="L76" s="429">
        <v>5.0</v>
      </c>
      <c r="M76" s="429">
        <v>4.0</v>
      </c>
      <c r="N76" s="428">
        <v>107.0</v>
      </c>
    </row>
    <row r="77" ht="12.75" customHeight="1">
      <c r="A77" s="433">
        <f t="shared" si="36"/>
        <v>44272</v>
      </c>
      <c r="B77" s="103">
        <v>100.0</v>
      </c>
      <c r="C77" s="81">
        <v>158.11</v>
      </c>
      <c r="D77" s="81">
        <v>340.0</v>
      </c>
      <c r="E77" s="81">
        <v>100.0</v>
      </c>
      <c r="F77" s="60">
        <f t="shared" si="35"/>
        <v>698.11</v>
      </c>
      <c r="G77" s="81">
        <v>15.0</v>
      </c>
      <c r="H77" s="81">
        <v>4.0</v>
      </c>
      <c r="I77" s="83">
        <v>100.0</v>
      </c>
    </row>
    <row r="78" ht="12.75" customHeight="1">
      <c r="A78" s="433">
        <f t="shared" si="36"/>
        <v>44273</v>
      </c>
      <c r="B78" s="103">
        <v>150.0</v>
      </c>
      <c r="C78" s="81">
        <v>260.59</v>
      </c>
      <c r="D78" s="81">
        <f>1019.31-20</f>
        <v>999.31</v>
      </c>
      <c r="E78" s="81">
        <f>140+50</f>
        <v>190</v>
      </c>
      <c r="F78" s="60">
        <f t="shared" si="35"/>
        <v>1599.9</v>
      </c>
      <c r="G78" s="81">
        <v>27.0</v>
      </c>
      <c r="H78" s="81">
        <v>5.0</v>
      </c>
      <c r="I78" s="83">
        <v>150.0</v>
      </c>
      <c r="K78" s="64"/>
      <c r="L78" s="65">
        <f>L79+M79</f>
        <v>104</v>
      </c>
    </row>
    <row r="79" ht="12.75" customHeight="1">
      <c r="A79" s="433">
        <f t="shared" si="36"/>
        <v>44274</v>
      </c>
      <c r="B79" s="105">
        <v>50.0</v>
      </c>
      <c r="C79" s="106">
        <v>329.48</v>
      </c>
      <c r="D79" s="106">
        <v>638.62</v>
      </c>
      <c r="E79" s="106">
        <v>69.31</v>
      </c>
      <c r="F79" s="60">
        <f t="shared" si="35"/>
        <v>1087.41</v>
      </c>
      <c r="G79" s="106">
        <v>20.0</v>
      </c>
      <c r="H79" s="106">
        <v>6.0</v>
      </c>
      <c r="I79" s="108">
        <v>50.0</v>
      </c>
      <c r="L79" s="72">
        <v>88.0</v>
      </c>
      <c r="M79" s="72">
        <v>16.0</v>
      </c>
      <c r="N79" s="427">
        <v>9069.12</v>
      </c>
    </row>
    <row r="80" ht="12.75" customHeight="1">
      <c r="A80" s="67"/>
      <c r="B80" s="121">
        <f t="shared" ref="B80:I80" si="37">SUM(B75:B79)</f>
        <v>369.31</v>
      </c>
      <c r="C80" s="121">
        <f t="shared" si="37"/>
        <v>1474.32</v>
      </c>
      <c r="D80" s="121">
        <f t="shared" si="37"/>
        <v>2895.45</v>
      </c>
      <c r="E80" s="121">
        <f t="shared" si="37"/>
        <v>1147.93</v>
      </c>
      <c r="F80" s="121">
        <f t="shared" si="37"/>
        <v>5887.01</v>
      </c>
      <c r="G80" s="128">
        <f t="shared" si="37"/>
        <v>103</v>
      </c>
      <c r="H80" s="128">
        <f t="shared" si="37"/>
        <v>30</v>
      </c>
      <c r="I80" s="145">
        <f t="shared" si="37"/>
        <v>440</v>
      </c>
      <c r="K80" s="117" t="s">
        <v>82</v>
      </c>
      <c r="L80" s="430">
        <v>90.0</v>
      </c>
      <c r="M80" s="430">
        <v>71.82</v>
      </c>
      <c r="N80" s="429"/>
    </row>
    <row r="81" ht="12.75" customHeight="1">
      <c r="A81" s="94"/>
      <c r="B81" s="92"/>
      <c r="C81" s="92"/>
      <c r="D81" s="92"/>
      <c r="E81" s="92"/>
      <c r="F81" s="92"/>
      <c r="G81" s="92"/>
      <c r="H81" s="92"/>
      <c r="I81" s="94"/>
      <c r="K81" s="81" t="s">
        <v>70</v>
      </c>
      <c r="L81" s="429">
        <v>12.0</v>
      </c>
      <c r="M81" s="429">
        <v>2.0</v>
      </c>
      <c r="N81" s="428">
        <v>1223.64</v>
      </c>
    </row>
    <row r="82" ht="12.75" customHeight="1">
      <c r="A82" s="421">
        <f>A79+3</f>
        <v>44277</v>
      </c>
      <c r="B82" s="98">
        <v>200.0</v>
      </c>
      <c r="C82" s="99">
        <v>124.23</v>
      </c>
      <c r="D82" s="99">
        <v>550.0</v>
      </c>
      <c r="E82" s="99">
        <v>50.0</v>
      </c>
      <c r="F82" s="60">
        <f t="shared" ref="F82:F86" si="38">SUM(B82:E82)</f>
        <v>924.23</v>
      </c>
      <c r="G82" s="99">
        <v>17.0</v>
      </c>
      <c r="H82" s="99">
        <v>3.0</v>
      </c>
      <c r="I82" s="101">
        <v>50.0</v>
      </c>
      <c r="K82" s="59" t="s">
        <v>71</v>
      </c>
      <c r="L82" s="429">
        <v>8.0</v>
      </c>
      <c r="M82" s="429">
        <v>2.0</v>
      </c>
      <c r="N82" s="428">
        <v>863.64</v>
      </c>
    </row>
    <row r="83" ht="12.75" customHeight="1">
      <c r="A83" s="421">
        <f t="shared" ref="A83:A85" si="39">A82+1</f>
        <v>44278</v>
      </c>
      <c r="B83" s="103">
        <v>119.31</v>
      </c>
      <c r="C83" s="81">
        <v>112.1</v>
      </c>
      <c r="D83" s="81">
        <v>520.0</v>
      </c>
      <c r="E83" s="81">
        <v>100.0</v>
      </c>
      <c r="F83" s="60">
        <f t="shared" si="38"/>
        <v>851.41</v>
      </c>
      <c r="G83" s="81">
        <v>15.0</v>
      </c>
      <c r="H83" s="81">
        <v>2.0</v>
      </c>
      <c r="I83" s="83">
        <v>100.0</v>
      </c>
      <c r="K83" s="59" t="s">
        <v>72</v>
      </c>
      <c r="L83" s="429">
        <v>32.0</v>
      </c>
      <c r="M83" s="429">
        <v>4.0</v>
      </c>
      <c r="N83" s="428">
        <v>3167.28</v>
      </c>
    </row>
    <row r="84" ht="12.75" customHeight="1">
      <c r="A84" s="421">
        <f t="shared" si="39"/>
        <v>44279</v>
      </c>
      <c r="B84" s="103">
        <v>0.0</v>
      </c>
      <c r="C84" s="81">
        <v>0.0</v>
      </c>
      <c r="D84" s="81">
        <v>119.21</v>
      </c>
      <c r="E84" s="81">
        <v>340.0</v>
      </c>
      <c r="F84" s="60">
        <f t="shared" si="38"/>
        <v>459.21</v>
      </c>
      <c r="G84" s="81">
        <v>12.0</v>
      </c>
      <c r="H84" s="81">
        <v>3.0</v>
      </c>
      <c r="I84" s="83">
        <v>0.0</v>
      </c>
      <c r="K84" s="59" t="s">
        <v>73</v>
      </c>
      <c r="L84" s="429">
        <v>22.0</v>
      </c>
      <c r="M84" s="429">
        <v>3.0</v>
      </c>
      <c r="N84" s="428">
        <v>2195.46</v>
      </c>
    </row>
    <row r="85" ht="12.75" customHeight="1">
      <c r="A85" s="421">
        <f t="shared" si="39"/>
        <v>44280</v>
      </c>
      <c r="B85" s="103">
        <v>50.0</v>
      </c>
      <c r="C85" s="81">
        <v>514.07</v>
      </c>
      <c r="D85" s="81">
        <v>1188.62</v>
      </c>
      <c r="E85" s="81">
        <v>69.31</v>
      </c>
      <c r="F85" s="60">
        <f t="shared" si="38"/>
        <v>1822</v>
      </c>
      <c r="G85" s="81">
        <v>31.0</v>
      </c>
      <c r="H85" s="81">
        <v>9.0</v>
      </c>
      <c r="I85" s="83">
        <v>70.0</v>
      </c>
      <c r="K85" s="59" t="s">
        <v>74</v>
      </c>
      <c r="L85" s="429">
        <v>14.0</v>
      </c>
      <c r="M85" s="429">
        <v>5.0</v>
      </c>
      <c r="N85" s="428">
        <v>1619.1</v>
      </c>
    </row>
    <row r="86" ht="12.75" customHeight="1">
      <c r="A86" s="421">
        <f>A83+3</f>
        <v>44281</v>
      </c>
      <c r="B86" s="105">
        <v>140.0</v>
      </c>
      <c r="C86" s="106">
        <v>544.54</v>
      </c>
      <c r="D86" s="106">
        <v>637.93</v>
      </c>
      <c r="E86" s="106">
        <v>0.0</v>
      </c>
      <c r="F86" s="60">
        <f t="shared" si="38"/>
        <v>1322.47</v>
      </c>
      <c r="G86" s="106">
        <v>22.0</v>
      </c>
      <c r="H86" s="106">
        <v>9.0</v>
      </c>
      <c r="I86" s="108">
        <v>0.0</v>
      </c>
    </row>
    <row r="87" ht="12.75" customHeight="1">
      <c r="A87" s="131"/>
      <c r="B87" s="68">
        <f t="shared" ref="B87:I87" si="40">SUM(B82:B86)</f>
        <v>509.31</v>
      </c>
      <c r="C87" s="132">
        <f t="shared" si="40"/>
        <v>1294.94</v>
      </c>
      <c r="D87" s="132">
        <f t="shared" si="40"/>
        <v>3015.76</v>
      </c>
      <c r="E87" s="132">
        <f t="shared" si="40"/>
        <v>559.31</v>
      </c>
      <c r="F87" s="132">
        <f t="shared" si="40"/>
        <v>5379.32</v>
      </c>
      <c r="G87" s="133">
        <f t="shared" si="40"/>
        <v>97</v>
      </c>
      <c r="H87" s="133">
        <f t="shared" si="40"/>
        <v>26</v>
      </c>
      <c r="I87" s="134">
        <f t="shared" si="40"/>
        <v>220</v>
      </c>
      <c r="L87" s="65">
        <v>107.0</v>
      </c>
    </row>
    <row r="88" ht="12.75" customHeight="1">
      <c r="A88" s="135"/>
      <c r="B88" s="75"/>
      <c r="C88" s="136"/>
      <c r="D88" s="136"/>
      <c r="E88" s="136"/>
      <c r="F88" s="136"/>
      <c r="G88" s="136"/>
      <c r="H88" s="136"/>
      <c r="I88" s="137"/>
      <c r="K88" s="64"/>
      <c r="L88" s="72">
        <v>92.0</v>
      </c>
      <c r="M88" s="72">
        <v>15.0</v>
      </c>
      <c r="N88" s="427">
        <v>9357.3</v>
      </c>
    </row>
    <row r="89" ht="12.75" customHeight="1">
      <c r="A89" s="421">
        <f>A86+3</f>
        <v>44284</v>
      </c>
      <c r="B89" s="98">
        <v>200.0</v>
      </c>
      <c r="C89" s="99">
        <v>189.9</v>
      </c>
      <c r="D89" s="99">
        <v>909.31</v>
      </c>
      <c r="E89" s="99">
        <v>100.0</v>
      </c>
      <c r="F89" s="60">
        <f t="shared" ref="F89:F91" si="41">SUM(B89:E89)</f>
        <v>1399.21</v>
      </c>
      <c r="G89" s="99">
        <v>28.0</v>
      </c>
      <c r="H89" s="99">
        <v>4.0</v>
      </c>
      <c r="I89" s="101">
        <v>110.0</v>
      </c>
      <c r="K89" s="95" t="s">
        <v>83</v>
      </c>
      <c r="L89" s="430">
        <v>90.0</v>
      </c>
      <c r="M89" s="430">
        <v>71.82</v>
      </c>
      <c r="N89" s="429"/>
    </row>
    <row r="90" ht="12.75" customHeight="1">
      <c r="A90" s="421">
        <f t="shared" ref="A90:A91" si="42">A89+1</f>
        <v>44285</v>
      </c>
      <c r="B90" s="103">
        <v>50.0</v>
      </c>
      <c r="C90" s="81">
        <v>324.76</v>
      </c>
      <c r="D90" s="81">
        <v>409.31</v>
      </c>
      <c r="E90" s="81">
        <v>50.0</v>
      </c>
      <c r="F90" s="60">
        <f t="shared" si="41"/>
        <v>834.07</v>
      </c>
      <c r="G90" s="81">
        <v>15.0</v>
      </c>
      <c r="H90" s="81">
        <v>6.0</v>
      </c>
      <c r="I90" s="83">
        <v>50.0</v>
      </c>
      <c r="K90" s="81" t="s">
        <v>70</v>
      </c>
      <c r="L90" s="429">
        <v>3.0</v>
      </c>
      <c r="M90" s="429">
        <v>0.0</v>
      </c>
      <c r="N90" s="428">
        <v>270.0</v>
      </c>
    </row>
    <row r="91" ht="12.75" customHeight="1">
      <c r="A91" s="421">
        <f t="shared" si="42"/>
        <v>44286</v>
      </c>
      <c r="B91" s="103">
        <v>100.0</v>
      </c>
      <c r="C91" s="81">
        <v>139.59</v>
      </c>
      <c r="D91" s="81">
        <v>470.0</v>
      </c>
      <c r="E91" s="81">
        <v>190.0</v>
      </c>
      <c r="F91" s="60">
        <f t="shared" si="41"/>
        <v>899.59</v>
      </c>
      <c r="G91" s="81">
        <v>18.0</v>
      </c>
      <c r="H91" s="81">
        <v>3.0</v>
      </c>
      <c r="I91" s="83">
        <v>180.0</v>
      </c>
      <c r="K91" s="81" t="s">
        <v>71</v>
      </c>
      <c r="L91" s="429">
        <v>22.0</v>
      </c>
      <c r="M91" s="429">
        <v>2.0</v>
      </c>
      <c r="N91" s="428">
        <v>2123.64</v>
      </c>
    </row>
    <row r="92" ht="12.75" customHeight="1">
      <c r="A92" s="131"/>
      <c r="B92" s="132">
        <f t="shared" ref="B92:I92" si="43">SUM(B89:B91)</f>
        <v>350</v>
      </c>
      <c r="C92" s="132">
        <f t="shared" si="43"/>
        <v>654.25</v>
      </c>
      <c r="D92" s="132">
        <f t="shared" si="43"/>
        <v>1788.62</v>
      </c>
      <c r="E92" s="132">
        <f t="shared" si="43"/>
        <v>340</v>
      </c>
      <c r="F92" s="132">
        <f t="shared" si="43"/>
        <v>3132.87</v>
      </c>
      <c r="G92" s="133">
        <f t="shared" si="43"/>
        <v>61</v>
      </c>
      <c r="H92" s="133">
        <f t="shared" si="43"/>
        <v>13</v>
      </c>
      <c r="I92" s="134">
        <f t="shared" si="43"/>
        <v>340</v>
      </c>
      <c r="K92" s="81" t="s">
        <v>72</v>
      </c>
      <c r="L92" s="429">
        <v>32.0</v>
      </c>
      <c r="M92" s="429">
        <v>2.0</v>
      </c>
      <c r="N92" s="428">
        <v>3023.64</v>
      </c>
    </row>
    <row r="93" ht="12.75" customHeight="1">
      <c r="A93" s="135"/>
      <c r="B93" s="136"/>
      <c r="C93" s="136"/>
      <c r="D93" s="136"/>
      <c r="E93" s="136"/>
      <c r="F93" s="136"/>
      <c r="G93" s="136"/>
      <c r="H93" s="136"/>
      <c r="I93" s="137"/>
      <c r="K93" s="81" t="s">
        <v>73</v>
      </c>
      <c r="L93" s="429">
        <v>15.0</v>
      </c>
      <c r="M93" s="429">
        <v>6.0</v>
      </c>
      <c r="N93" s="428">
        <v>1780.92</v>
      </c>
    </row>
    <row r="94" ht="12.75" customHeight="1">
      <c r="A94" s="421">
        <v>44287.0</v>
      </c>
      <c r="B94" s="59">
        <v>200.0</v>
      </c>
      <c r="C94" s="59">
        <v>0.0</v>
      </c>
      <c r="D94" s="59">
        <v>1370.0</v>
      </c>
      <c r="E94" s="59">
        <v>50.0</v>
      </c>
      <c r="F94" s="60">
        <f t="shared" ref="F94:F95" si="44">SUM(B94:E94)</f>
        <v>1620</v>
      </c>
      <c r="G94" s="59">
        <v>30.0</v>
      </c>
      <c r="H94" s="59">
        <v>0.0</v>
      </c>
      <c r="I94" s="61">
        <v>50.0</v>
      </c>
      <c r="K94" s="81" t="s">
        <v>74</v>
      </c>
      <c r="L94" s="429">
        <v>20.0</v>
      </c>
      <c r="M94" s="429">
        <v>5.0</v>
      </c>
      <c r="N94" s="428">
        <v>2159.1</v>
      </c>
    </row>
    <row r="95" ht="12.75" customHeight="1">
      <c r="A95" s="421">
        <f>A94+1</f>
        <v>44288</v>
      </c>
      <c r="B95" s="59">
        <v>170.0</v>
      </c>
      <c r="C95" s="59">
        <v>258.08</v>
      </c>
      <c r="D95" s="59">
        <v>659.31</v>
      </c>
      <c r="E95" s="59">
        <v>100.0</v>
      </c>
      <c r="F95" s="60">
        <f t="shared" si="44"/>
        <v>1187.39</v>
      </c>
      <c r="G95" s="59">
        <v>22.0</v>
      </c>
      <c r="H95" s="59">
        <v>5.0</v>
      </c>
      <c r="I95" s="61">
        <v>100.0</v>
      </c>
    </row>
    <row r="96" ht="12.75" customHeight="1">
      <c r="A96" s="67"/>
      <c r="B96" s="68">
        <f t="shared" ref="B96:I96" si="45">SUM(B94:B95)</f>
        <v>370</v>
      </c>
      <c r="C96" s="68">
        <f t="shared" si="45"/>
        <v>258.08</v>
      </c>
      <c r="D96" s="68">
        <f t="shared" si="45"/>
        <v>2029.31</v>
      </c>
      <c r="E96" s="68">
        <f t="shared" si="45"/>
        <v>150</v>
      </c>
      <c r="F96" s="68">
        <f t="shared" si="45"/>
        <v>2807.39</v>
      </c>
      <c r="G96" s="70">
        <f t="shared" si="45"/>
        <v>52</v>
      </c>
      <c r="H96" s="70">
        <f t="shared" si="45"/>
        <v>5</v>
      </c>
      <c r="I96" s="91">
        <f t="shared" si="45"/>
        <v>150</v>
      </c>
      <c r="K96" s="64"/>
      <c r="L96" s="65">
        <v>81.0</v>
      </c>
    </row>
    <row r="97" ht="12.75" customHeight="1">
      <c r="A97" s="74"/>
      <c r="B97" s="75"/>
      <c r="C97" s="75"/>
      <c r="D97" s="75"/>
      <c r="E97" s="75"/>
      <c r="F97" s="75"/>
      <c r="G97" s="76"/>
      <c r="H97" s="76"/>
      <c r="I97" s="74"/>
      <c r="K97" s="64"/>
      <c r="L97" s="72">
        <v>75.0</v>
      </c>
      <c r="M97" s="72">
        <v>6.0</v>
      </c>
      <c r="N97" s="427">
        <v>7180.92</v>
      </c>
    </row>
    <row r="98" ht="12.75" customHeight="1">
      <c r="A98" s="421">
        <f>A95+3</f>
        <v>44291</v>
      </c>
      <c r="B98" s="138"/>
      <c r="C98" s="138"/>
      <c r="D98" s="138"/>
      <c r="E98" s="138"/>
      <c r="F98" s="85">
        <f t="shared" ref="F98:F102" si="46">SUM(B98:E98)</f>
        <v>0</v>
      </c>
      <c r="G98" s="138"/>
      <c r="H98" s="138"/>
      <c r="I98" s="146"/>
      <c r="K98" s="95" t="s">
        <v>84</v>
      </c>
      <c r="L98" s="430">
        <v>90.0</v>
      </c>
      <c r="M98" s="430">
        <v>71.82</v>
      </c>
      <c r="N98" s="429"/>
    </row>
    <row r="99" ht="12.75" customHeight="1">
      <c r="A99" s="421">
        <f t="shared" ref="A99:A102" si="47">A98+1</f>
        <v>44292</v>
      </c>
      <c r="B99" s="59">
        <v>190.0</v>
      </c>
      <c r="C99" s="59">
        <v>172.0</v>
      </c>
      <c r="D99" s="59">
        <v>460.0</v>
      </c>
      <c r="E99" s="59">
        <v>0.0</v>
      </c>
      <c r="F99" s="60">
        <f t="shared" si="46"/>
        <v>822</v>
      </c>
      <c r="G99" s="59">
        <v>15.0</v>
      </c>
      <c r="H99" s="59">
        <v>4.0</v>
      </c>
      <c r="I99" s="61">
        <v>0.0</v>
      </c>
      <c r="K99" s="81" t="s">
        <v>70</v>
      </c>
      <c r="L99" s="429">
        <v>22.0</v>
      </c>
      <c r="M99" s="429">
        <v>0.0</v>
      </c>
      <c r="N99" s="428">
        <v>1980.0</v>
      </c>
    </row>
    <row r="100" ht="12.75" customHeight="1">
      <c r="A100" s="421">
        <f t="shared" si="47"/>
        <v>44293</v>
      </c>
      <c r="B100" s="59">
        <v>0.0</v>
      </c>
      <c r="C100" s="59">
        <v>252.16</v>
      </c>
      <c r="D100" s="59">
        <v>420.0</v>
      </c>
      <c r="E100" s="59">
        <v>0.0</v>
      </c>
      <c r="F100" s="60">
        <f t="shared" si="46"/>
        <v>672.16</v>
      </c>
      <c r="G100" s="59">
        <v>12.0</v>
      </c>
      <c r="H100" s="59">
        <v>4.0</v>
      </c>
      <c r="I100" s="61">
        <v>0.0</v>
      </c>
      <c r="K100" s="81" t="s">
        <v>71</v>
      </c>
      <c r="L100" s="429">
        <v>7.0</v>
      </c>
      <c r="M100" s="429">
        <v>1.0</v>
      </c>
      <c r="N100" s="428">
        <v>701.82</v>
      </c>
    </row>
    <row r="101" ht="12.75" customHeight="1">
      <c r="A101" s="421">
        <f t="shared" si="47"/>
        <v>44294</v>
      </c>
      <c r="B101" s="59">
        <v>50.0</v>
      </c>
      <c r="C101" s="59">
        <v>543.35</v>
      </c>
      <c r="D101" s="59">
        <v>1026.0</v>
      </c>
      <c r="E101" s="59">
        <v>50.0</v>
      </c>
      <c r="F101" s="60">
        <f t="shared" si="46"/>
        <v>1669.35</v>
      </c>
      <c r="G101" s="59">
        <v>28.0</v>
      </c>
      <c r="H101" s="59">
        <v>9.0</v>
      </c>
      <c r="I101" s="61">
        <v>50.0</v>
      </c>
      <c r="K101" s="81" t="s">
        <v>72</v>
      </c>
      <c r="L101" s="429">
        <v>16.0</v>
      </c>
      <c r="M101" s="429">
        <v>2.0</v>
      </c>
      <c r="N101" s="428">
        <v>1583.64</v>
      </c>
    </row>
    <row r="102" ht="12.75" customHeight="1">
      <c r="A102" s="421">
        <f t="shared" si="47"/>
        <v>44295</v>
      </c>
      <c r="B102" s="59">
        <v>50.0</v>
      </c>
      <c r="C102" s="59">
        <v>231.31</v>
      </c>
      <c r="D102" s="59">
        <v>729.31</v>
      </c>
      <c r="E102" s="59">
        <v>190.0</v>
      </c>
      <c r="F102" s="60">
        <f t="shared" si="46"/>
        <v>1200.62</v>
      </c>
      <c r="G102" s="59">
        <v>22.0</v>
      </c>
      <c r="H102" s="59">
        <v>5.0</v>
      </c>
      <c r="I102" s="61">
        <v>190.0</v>
      </c>
      <c r="K102" s="81" t="s">
        <v>73</v>
      </c>
      <c r="L102" s="429">
        <v>25.0</v>
      </c>
      <c r="M102" s="429">
        <v>2.0</v>
      </c>
      <c r="N102" s="428">
        <v>2393.64</v>
      </c>
    </row>
    <row r="103" ht="12.75" customHeight="1">
      <c r="A103" s="67"/>
      <c r="B103" s="68">
        <f t="shared" ref="B103:I103" si="48">SUM(B98:B102)</f>
        <v>290</v>
      </c>
      <c r="C103" s="68">
        <f t="shared" si="48"/>
        <v>1198.82</v>
      </c>
      <c r="D103" s="68">
        <f t="shared" si="48"/>
        <v>2635.31</v>
      </c>
      <c r="E103" s="68">
        <f t="shared" si="48"/>
        <v>240</v>
      </c>
      <c r="F103" s="68">
        <f t="shared" si="48"/>
        <v>4364.13</v>
      </c>
      <c r="G103" s="70">
        <f t="shared" si="48"/>
        <v>77</v>
      </c>
      <c r="H103" s="70">
        <f t="shared" si="48"/>
        <v>22</v>
      </c>
      <c r="I103" s="71">
        <f t="shared" si="48"/>
        <v>240</v>
      </c>
      <c r="K103" s="81" t="s">
        <v>74</v>
      </c>
      <c r="L103" s="429">
        <v>5.0</v>
      </c>
      <c r="M103" s="429">
        <v>1.0</v>
      </c>
      <c r="N103" s="428">
        <v>521.82</v>
      </c>
    </row>
    <row r="104" ht="12.75" customHeight="1">
      <c r="A104" s="74"/>
      <c r="B104" s="75"/>
      <c r="C104" s="75"/>
      <c r="D104" s="75"/>
      <c r="E104" s="75"/>
      <c r="F104" s="75"/>
      <c r="G104" s="76"/>
      <c r="H104" s="76"/>
      <c r="I104" s="77"/>
    </row>
    <row r="105" ht="12.75" customHeight="1">
      <c r="A105" s="433">
        <f>A102+3</f>
        <v>44298</v>
      </c>
      <c r="B105" s="59">
        <v>0.0</v>
      </c>
      <c r="C105" s="59">
        <v>543.35</v>
      </c>
      <c r="D105" s="59">
        <v>1456.55</v>
      </c>
      <c r="E105" s="59">
        <v>50.0</v>
      </c>
      <c r="F105" s="60">
        <f t="shared" ref="F105:F109" si="49">SUM(B105:E105)</f>
        <v>2049.9</v>
      </c>
      <c r="G105" s="59">
        <v>30.0</v>
      </c>
      <c r="H105" s="59">
        <v>9.0</v>
      </c>
      <c r="I105" s="61">
        <v>50.0</v>
      </c>
      <c r="L105" s="65">
        <v>57.0</v>
      </c>
    </row>
    <row r="106" ht="12.75" customHeight="1">
      <c r="A106" s="433">
        <f t="shared" ref="A106:A109" si="50">A105+1</f>
        <v>44299</v>
      </c>
      <c r="B106" s="59">
        <v>150.0</v>
      </c>
      <c r="C106" s="59">
        <v>372.69</v>
      </c>
      <c r="D106" s="59">
        <v>1218.62</v>
      </c>
      <c r="E106" s="59">
        <v>150.0</v>
      </c>
      <c r="F106" s="60">
        <f t="shared" si="49"/>
        <v>1891.31</v>
      </c>
      <c r="G106" s="59">
        <v>34.0</v>
      </c>
      <c r="H106" s="59">
        <v>7.0</v>
      </c>
      <c r="I106" s="61">
        <v>150.0</v>
      </c>
      <c r="K106" s="64"/>
      <c r="L106" s="72">
        <v>48.0</v>
      </c>
      <c r="M106" s="72">
        <v>9.0</v>
      </c>
      <c r="N106" s="427">
        <v>4966.38</v>
      </c>
    </row>
    <row r="107" ht="12.75" customHeight="1">
      <c r="A107" s="433">
        <f t="shared" si="50"/>
        <v>44300</v>
      </c>
      <c r="B107" s="81">
        <v>150.0</v>
      </c>
      <c r="C107" s="81">
        <v>158.11</v>
      </c>
      <c r="D107" s="81">
        <v>540.0</v>
      </c>
      <c r="E107" s="81">
        <v>120.0</v>
      </c>
      <c r="F107" s="104">
        <f t="shared" si="49"/>
        <v>968.11</v>
      </c>
      <c r="G107" s="81">
        <v>19.0</v>
      </c>
      <c r="H107" s="81">
        <v>4.0</v>
      </c>
      <c r="I107" s="83">
        <v>120.0</v>
      </c>
      <c r="K107" s="78" t="s">
        <v>85</v>
      </c>
      <c r="L107" s="430">
        <v>90.0</v>
      </c>
      <c r="M107" s="430">
        <v>71.82</v>
      </c>
      <c r="N107" s="429"/>
    </row>
    <row r="108" ht="12.75" customHeight="1">
      <c r="A108" s="433">
        <f t="shared" si="50"/>
        <v>44301</v>
      </c>
      <c r="B108" s="81">
        <v>150.0</v>
      </c>
      <c r="C108" s="81">
        <v>444.1</v>
      </c>
      <c r="D108" s="81">
        <v>877.93</v>
      </c>
      <c r="E108" s="81">
        <v>340.0</v>
      </c>
      <c r="F108" s="139">
        <f t="shared" si="49"/>
        <v>1812.03</v>
      </c>
      <c r="G108" s="81">
        <v>32.0</v>
      </c>
      <c r="H108" s="81">
        <v>9.0</v>
      </c>
      <c r="I108" s="83">
        <v>340.0</v>
      </c>
      <c r="K108" s="81" t="s">
        <v>70</v>
      </c>
      <c r="L108" s="429">
        <v>12.0</v>
      </c>
      <c r="M108" s="429">
        <v>1.0</v>
      </c>
      <c r="N108" s="428">
        <v>1151.82</v>
      </c>
    </row>
    <row r="109" ht="12.75" customHeight="1">
      <c r="A109" s="433">
        <f t="shared" si="50"/>
        <v>44302</v>
      </c>
      <c r="B109" s="89">
        <v>210.0</v>
      </c>
      <c r="C109" s="89">
        <v>282.76</v>
      </c>
      <c r="D109" s="89">
        <v>1007.24</v>
      </c>
      <c r="E109" s="89">
        <v>0.0</v>
      </c>
      <c r="F109" s="139">
        <f t="shared" si="49"/>
        <v>1500</v>
      </c>
      <c r="G109" s="89">
        <v>24.0</v>
      </c>
      <c r="H109" s="89">
        <v>4.0</v>
      </c>
      <c r="I109" s="90">
        <v>0.0</v>
      </c>
      <c r="K109" s="81" t="s">
        <v>71</v>
      </c>
      <c r="L109" s="429">
        <v>19.0</v>
      </c>
      <c r="M109" s="429">
        <v>6.0</v>
      </c>
      <c r="N109" s="428">
        <v>2140.92</v>
      </c>
    </row>
    <row r="110" ht="12.75" customHeight="1">
      <c r="A110" s="67"/>
      <c r="B110" s="91">
        <f t="shared" ref="B110:I110" si="51">SUM(B105:B109)</f>
        <v>660</v>
      </c>
      <c r="C110" s="91">
        <f t="shared" si="51"/>
        <v>1801.01</v>
      </c>
      <c r="D110" s="91">
        <f t="shared" si="51"/>
        <v>5100.34</v>
      </c>
      <c r="E110" s="91">
        <f t="shared" si="51"/>
        <v>660</v>
      </c>
      <c r="F110" s="68">
        <f t="shared" si="51"/>
        <v>8221.35</v>
      </c>
      <c r="G110" s="140">
        <f t="shared" si="51"/>
        <v>139</v>
      </c>
      <c r="H110" s="70">
        <f t="shared" si="51"/>
        <v>33</v>
      </c>
      <c r="I110" s="91">
        <f t="shared" si="51"/>
        <v>660</v>
      </c>
      <c r="K110" s="81" t="s">
        <v>72</v>
      </c>
      <c r="L110" s="429">
        <v>17.0</v>
      </c>
      <c r="M110" s="429">
        <v>2.0</v>
      </c>
      <c r="N110" s="428">
        <v>1673.64</v>
      </c>
    </row>
    <row r="111" ht="12.75" customHeight="1">
      <c r="A111" s="74"/>
      <c r="B111" s="74"/>
      <c r="C111" s="74"/>
      <c r="D111" s="74"/>
      <c r="E111" s="74"/>
      <c r="F111" s="75"/>
      <c r="G111" s="75"/>
      <c r="H111" s="76"/>
      <c r="I111" s="74"/>
      <c r="K111" s="81" t="s">
        <v>73</v>
      </c>
      <c r="L111" s="429"/>
      <c r="M111" s="429"/>
      <c r="N111" s="428">
        <v>0.0</v>
      </c>
    </row>
    <row r="112" ht="12.75" customHeight="1">
      <c r="A112" s="433">
        <f>A109+3</f>
        <v>44305</v>
      </c>
      <c r="B112" s="81">
        <v>140.0</v>
      </c>
      <c r="C112" s="81">
        <v>525.77</v>
      </c>
      <c r="D112" s="81">
        <v>887.93</v>
      </c>
      <c r="E112" s="81">
        <v>90.0</v>
      </c>
      <c r="F112" s="142">
        <f t="shared" ref="F112:F116" si="52">SUM(B112:E112)</f>
        <v>1643.7</v>
      </c>
      <c r="G112" s="81">
        <v>32.0</v>
      </c>
      <c r="H112" s="81">
        <v>10.0</v>
      </c>
      <c r="I112" s="83">
        <v>100.0</v>
      </c>
      <c r="K112" s="81" t="s">
        <v>74</v>
      </c>
      <c r="L112" s="429"/>
      <c r="M112" s="429"/>
      <c r="N112" s="428">
        <v>0.0</v>
      </c>
    </row>
    <row r="113" ht="12.75" customHeight="1">
      <c r="A113" s="434">
        <f t="shared" ref="A113:A116" si="53">A112+1</f>
        <v>44306</v>
      </c>
      <c r="B113" s="81">
        <v>240.0</v>
      </c>
      <c r="C113" s="81">
        <v>360.56</v>
      </c>
      <c r="D113" s="81">
        <v>1057.93</v>
      </c>
      <c r="E113" s="81">
        <v>19.31</v>
      </c>
      <c r="F113" s="142">
        <f t="shared" si="52"/>
        <v>1677.8</v>
      </c>
      <c r="G113" s="81">
        <v>28.0</v>
      </c>
      <c r="H113" s="81">
        <v>6.0</v>
      </c>
      <c r="I113" s="83">
        <v>20.0</v>
      </c>
    </row>
    <row r="114" ht="12.75" customHeight="1">
      <c r="A114" s="434">
        <f t="shared" si="53"/>
        <v>44307</v>
      </c>
      <c r="B114" s="59">
        <v>340.0</v>
      </c>
      <c r="C114" s="59">
        <v>178.96</v>
      </c>
      <c r="D114" s="59">
        <v>630.0</v>
      </c>
      <c r="E114" s="59">
        <v>0.0</v>
      </c>
      <c r="F114" s="60">
        <f t="shared" si="52"/>
        <v>1148.96</v>
      </c>
      <c r="G114" s="59">
        <v>20.0</v>
      </c>
      <c r="H114" s="59">
        <v>3.0</v>
      </c>
      <c r="I114" s="61">
        <v>0.0</v>
      </c>
    </row>
    <row r="115" ht="12.75" customHeight="1">
      <c r="A115" s="434">
        <f t="shared" si="53"/>
        <v>44308</v>
      </c>
      <c r="B115" s="81">
        <v>50.0</v>
      </c>
      <c r="C115" s="81">
        <v>253.48</v>
      </c>
      <c r="D115" s="81">
        <v>1288.62</v>
      </c>
      <c r="E115" s="81">
        <v>150.0</v>
      </c>
      <c r="F115" s="141">
        <f t="shared" si="52"/>
        <v>1742.1</v>
      </c>
      <c r="G115" s="124">
        <v>33.0</v>
      </c>
      <c r="H115" s="124">
        <v>4.0</v>
      </c>
      <c r="I115" s="440">
        <v>150.0</v>
      </c>
    </row>
    <row r="116" ht="12.75" customHeight="1">
      <c r="A116" s="441">
        <f t="shared" si="53"/>
        <v>44309</v>
      </c>
      <c r="B116" s="81">
        <v>70.0</v>
      </c>
      <c r="C116" s="81">
        <v>210.28</v>
      </c>
      <c r="D116" s="81">
        <v>859.31</v>
      </c>
      <c r="E116" s="81">
        <v>90.0</v>
      </c>
      <c r="F116" s="144">
        <f t="shared" si="52"/>
        <v>1229.59</v>
      </c>
      <c r="G116" s="81">
        <v>22.0</v>
      </c>
      <c r="H116" s="81">
        <v>4.0</v>
      </c>
      <c r="I116" s="83">
        <v>90.0</v>
      </c>
    </row>
    <row r="117" ht="12.75" customHeight="1">
      <c r="A117" s="67"/>
      <c r="B117" s="253">
        <f t="shared" ref="B117:I117" si="54">SUM(B112:B116)</f>
        <v>840</v>
      </c>
      <c r="C117" s="145">
        <f t="shared" si="54"/>
        <v>1529.05</v>
      </c>
      <c r="D117" s="145">
        <f t="shared" si="54"/>
        <v>4723.79</v>
      </c>
      <c r="E117" s="145">
        <f t="shared" si="54"/>
        <v>349.31</v>
      </c>
      <c r="F117" s="91">
        <f t="shared" si="54"/>
        <v>7442.15</v>
      </c>
      <c r="G117" s="140">
        <f t="shared" si="54"/>
        <v>135</v>
      </c>
      <c r="H117" s="140">
        <f t="shared" si="54"/>
        <v>27</v>
      </c>
      <c r="I117" s="145">
        <f t="shared" si="54"/>
        <v>360</v>
      </c>
    </row>
    <row r="118" ht="12.75" customHeight="1">
      <c r="A118" s="74"/>
      <c r="B118" s="77"/>
      <c r="C118" s="74"/>
      <c r="D118" s="74"/>
      <c r="E118" s="74"/>
      <c r="F118" s="74"/>
      <c r="G118" s="92"/>
      <c r="H118" s="92"/>
      <c r="I118" s="94"/>
    </row>
    <row r="119" ht="12.75" customHeight="1">
      <c r="A119" s="434">
        <f>A116+3</f>
        <v>44312</v>
      </c>
      <c r="B119" s="89">
        <v>289.31</v>
      </c>
      <c r="C119" s="89">
        <v>695.07</v>
      </c>
      <c r="D119" s="89">
        <v>778.62</v>
      </c>
      <c r="E119" s="89">
        <v>169.31</v>
      </c>
      <c r="F119" s="144">
        <f t="shared" ref="F119:F123" si="55">SUM(B119:E119)</f>
        <v>1932.31</v>
      </c>
      <c r="G119" s="81">
        <v>35.0</v>
      </c>
      <c r="H119" s="442">
        <v>13.0</v>
      </c>
      <c r="I119" s="83">
        <v>170.0</v>
      </c>
    </row>
    <row r="120" ht="12.75" customHeight="1">
      <c r="A120" s="434">
        <f t="shared" ref="A120:A123" si="56">A119+1</f>
        <v>44313</v>
      </c>
      <c r="B120" s="89">
        <v>250.0</v>
      </c>
      <c r="C120" s="89">
        <v>231.31</v>
      </c>
      <c r="D120" s="89">
        <v>510.0</v>
      </c>
      <c r="E120" s="89">
        <v>0.0</v>
      </c>
      <c r="F120" s="144">
        <f t="shared" si="55"/>
        <v>991.31</v>
      </c>
      <c r="G120" s="81">
        <v>19.0</v>
      </c>
      <c r="H120" s="81">
        <v>5.0</v>
      </c>
      <c r="I120" s="83">
        <v>0.0</v>
      </c>
    </row>
    <row r="121" ht="12.75" customHeight="1">
      <c r="A121" s="434">
        <f t="shared" si="56"/>
        <v>44314</v>
      </c>
      <c r="B121" s="81">
        <v>150.0</v>
      </c>
      <c r="C121" s="81">
        <v>119.21</v>
      </c>
      <c r="D121" s="81">
        <v>490.0</v>
      </c>
      <c r="E121" s="81">
        <v>120.0</v>
      </c>
      <c r="F121" s="60">
        <f t="shared" si="55"/>
        <v>879.21</v>
      </c>
      <c r="G121" s="81">
        <v>18.0</v>
      </c>
      <c r="H121" s="81">
        <v>3.0</v>
      </c>
      <c r="I121" s="83">
        <v>120.0</v>
      </c>
    </row>
    <row r="122" ht="12.75" customHeight="1">
      <c r="A122" s="434">
        <f t="shared" si="56"/>
        <v>44315</v>
      </c>
      <c r="B122" s="81">
        <v>90.0</v>
      </c>
      <c r="C122" s="81">
        <v>372.69</v>
      </c>
      <c r="D122" s="81">
        <v>1088.62</v>
      </c>
      <c r="E122" s="81">
        <v>190.0</v>
      </c>
      <c r="F122" s="60">
        <f t="shared" si="55"/>
        <v>1741.31</v>
      </c>
      <c r="G122" s="81">
        <v>30.0</v>
      </c>
      <c r="H122" s="81">
        <v>7.0</v>
      </c>
      <c r="I122" s="83">
        <v>190.0</v>
      </c>
    </row>
    <row r="123" ht="12.75" customHeight="1">
      <c r="A123" s="434">
        <f t="shared" si="56"/>
        <v>44316</v>
      </c>
      <c r="B123" s="81">
        <v>0.0</v>
      </c>
      <c r="C123" s="81">
        <v>0.0</v>
      </c>
      <c r="D123" s="81">
        <v>710.0</v>
      </c>
      <c r="E123" s="81">
        <v>100.0</v>
      </c>
      <c r="F123" s="60">
        <f t="shared" si="55"/>
        <v>810</v>
      </c>
      <c r="G123" s="81">
        <v>16.0</v>
      </c>
      <c r="H123" s="81">
        <v>0.0</v>
      </c>
      <c r="I123" s="83">
        <v>100.0</v>
      </c>
    </row>
    <row r="124" ht="12.75" customHeight="1">
      <c r="A124" s="443"/>
      <c r="B124" s="91">
        <f t="shared" ref="B124:I124" si="57">SUM(B119:B123)</f>
        <v>779.31</v>
      </c>
      <c r="C124" s="91">
        <f t="shared" si="57"/>
        <v>1418.28</v>
      </c>
      <c r="D124" s="91">
        <f t="shared" si="57"/>
        <v>3577.24</v>
      </c>
      <c r="E124" s="91">
        <f t="shared" si="57"/>
        <v>579.31</v>
      </c>
      <c r="F124" s="91">
        <f t="shared" si="57"/>
        <v>6354.14</v>
      </c>
      <c r="G124" s="128">
        <f t="shared" si="57"/>
        <v>118</v>
      </c>
      <c r="H124" s="128">
        <f t="shared" si="57"/>
        <v>28</v>
      </c>
      <c r="I124" s="145">
        <f t="shared" si="57"/>
        <v>580</v>
      </c>
    </row>
    <row r="125" ht="12.75" customHeight="1">
      <c r="A125" s="444"/>
      <c r="B125" s="74"/>
      <c r="C125" s="74"/>
      <c r="D125" s="74"/>
      <c r="E125" s="74"/>
      <c r="F125" s="74"/>
      <c r="G125" s="75"/>
      <c r="H125" s="75"/>
      <c r="I125" s="74"/>
    </row>
    <row r="126" ht="12.75" customHeight="1">
      <c r="A126" s="421">
        <v>44319.0</v>
      </c>
      <c r="B126" s="59">
        <v>50.0</v>
      </c>
      <c r="C126" s="59">
        <v>112.1</v>
      </c>
      <c r="D126" s="59">
        <v>560.0</v>
      </c>
      <c r="E126" s="59">
        <v>100.0</v>
      </c>
      <c r="F126" s="60">
        <f t="shared" ref="F126:F130" si="58">SUM(B126:E126)</f>
        <v>822.1</v>
      </c>
      <c r="G126" s="81">
        <v>17.0</v>
      </c>
      <c r="H126" s="81">
        <v>2.0</v>
      </c>
      <c r="I126" s="83">
        <v>100.0</v>
      </c>
    </row>
    <row r="127" ht="12.75" customHeight="1">
      <c r="A127" s="421">
        <f t="shared" ref="A127:A130" si="59">A126+1</f>
        <v>44320</v>
      </c>
      <c r="B127" s="59">
        <v>0.0</v>
      </c>
      <c r="C127" s="59">
        <v>253.48</v>
      </c>
      <c r="D127" s="59">
        <v>559.31</v>
      </c>
      <c r="E127" s="59">
        <v>0.0</v>
      </c>
      <c r="F127" s="60">
        <f t="shared" si="58"/>
        <v>812.79</v>
      </c>
      <c r="G127" s="81">
        <v>15.0</v>
      </c>
      <c r="H127" s="81">
        <v>4.0</v>
      </c>
      <c r="I127" s="83">
        <v>0.0</v>
      </c>
    </row>
    <row r="128" ht="12.75" customHeight="1">
      <c r="A128" s="421">
        <f t="shared" si="59"/>
        <v>44321</v>
      </c>
      <c r="B128" s="59">
        <v>170.0</v>
      </c>
      <c r="C128" s="59">
        <v>155.6</v>
      </c>
      <c r="D128" s="59">
        <v>440.0</v>
      </c>
      <c r="E128" s="59">
        <v>100.0</v>
      </c>
      <c r="F128" s="60">
        <f t="shared" si="58"/>
        <v>865.6</v>
      </c>
      <c r="G128" s="81">
        <v>17.0</v>
      </c>
      <c r="H128" s="81">
        <v>4.0</v>
      </c>
      <c r="I128" s="83">
        <v>100.0</v>
      </c>
    </row>
    <row r="129" ht="12.75" customHeight="1">
      <c r="A129" s="421">
        <f t="shared" si="59"/>
        <v>44322</v>
      </c>
      <c r="B129" s="59">
        <v>330.0</v>
      </c>
      <c r="C129" s="59">
        <v>392.35</v>
      </c>
      <c r="D129" s="59">
        <v>958.62</v>
      </c>
      <c r="E129" s="59">
        <v>50.0</v>
      </c>
      <c r="F129" s="60">
        <f t="shared" si="58"/>
        <v>1730.97</v>
      </c>
      <c r="G129" s="81">
        <v>29.0</v>
      </c>
      <c r="H129" s="81">
        <v>6.0</v>
      </c>
      <c r="I129" s="83">
        <v>50.0</v>
      </c>
    </row>
    <row r="130" ht="12.75" customHeight="1">
      <c r="A130" s="421">
        <f t="shared" si="59"/>
        <v>44323</v>
      </c>
      <c r="B130" s="59">
        <v>109.31</v>
      </c>
      <c r="C130" s="59">
        <v>372.69</v>
      </c>
      <c r="D130" s="59">
        <v>708.62</v>
      </c>
      <c r="E130" s="59">
        <v>50.0</v>
      </c>
      <c r="F130" s="60">
        <f t="shared" si="58"/>
        <v>1240.62</v>
      </c>
      <c r="G130" s="81">
        <v>21.0</v>
      </c>
      <c r="H130" s="81">
        <v>7.0</v>
      </c>
      <c r="I130" s="83">
        <v>50.0</v>
      </c>
    </row>
    <row r="131" ht="12.75" customHeight="1">
      <c r="A131" s="67"/>
      <c r="B131" s="68">
        <f t="shared" ref="B131:I131" si="60">SUM(B126:B130)</f>
        <v>659.31</v>
      </c>
      <c r="C131" s="68">
        <f t="shared" si="60"/>
        <v>1286.22</v>
      </c>
      <c r="D131" s="68">
        <f t="shared" si="60"/>
        <v>3226.55</v>
      </c>
      <c r="E131" s="91">
        <f t="shared" si="60"/>
        <v>300</v>
      </c>
      <c r="F131" s="68">
        <f t="shared" si="60"/>
        <v>5472.08</v>
      </c>
      <c r="G131" s="70">
        <f t="shared" si="60"/>
        <v>99</v>
      </c>
      <c r="H131" s="70">
        <f t="shared" si="60"/>
        <v>23</v>
      </c>
      <c r="I131" s="91">
        <f t="shared" si="60"/>
        <v>300</v>
      </c>
    </row>
    <row r="132" ht="12.75" customHeight="1">
      <c r="A132" s="74"/>
      <c r="B132" s="75"/>
      <c r="C132" s="75"/>
      <c r="D132" s="75"/>
      <c r="E132" s="74"/>
      <c r="F132" s="75"/>
      <c r="G132" s="76"/>
      <c r="H132" s="76"/>
      <c r="I132" s="74"/>
    </row>
    <row r="133" ht="12.75" customHeight="1">
      <c r="A133" s="433">
        <f>A130+3</f>
        <v>44326</v>
      </c>
      <c r="B133" s="112">
        <v>90.0</v>
      </c>
      <c r="C133" s="59">
        <v>253.48</v>
      </c>
      <c r="D133" s="59">
        <v>1169.31</v>
      </c>
      <c r="E133" s="59">
        <v>50.0</v>
      </c>
      <c r="F133" s="141">
        <f t="shared" ref="F133:F137" si="61">SUM(B133:E133)</f>
        <v>1562.79</v>
      </c>
      <c r="G133" s="59">
        <v>28.0</v>
      </c>
      <c r="H133" s="59">
        <v>4.0</v>
      </c>
      <c r="I133" s="61">
        <v>50.0</v>
      </c>
    </row>
    <row r="134" ht="12.75" customHeight="1">
      <c r="A134" s="433">
        <f t="shared" ref="A134:A136" si="62">A133+1</f>
        <v>44327</v>
      </c>
      <c r="B134" s="81">
        <v>50.0</v>
      </c>
      <c r="C134" s="81">
        <v>394.86</v>
      </c>
      <c r="D134" s="81">
        <v>1267.24</v>
      </c>
      <c r="E134" s="81">
        <v>0.0</v>
      </c>
      <c r="F134" s="141">
        <f t="shared" si="61"/>
        <v>1712.1</v>
      </c>
      <c r="G134" s="81">
        <v>29.0</v>
      </c>
      <c r="H134" s="81">
        <v>6.0</v>
      </c>
      <c r="I134" s="83">
        <v>0.0</v>
      </c>
    </row>
    <row r="135" ht="12.75" customHeight="1">
      <c r="A135" s="433">
        <f t="shared" si="62"/>
        <v>44328</v>
      </c>
      <c r="B135" s="81">
        <v>0.0</v>
      </c>
      <c r="C135" s="81">
        <v>240.62</v>
      </c>
      <c r="D135" s="81">
        <v>370.0</v>
      </c>
      <c r="E135" s="81">
        <v>50.0</v>
      </c>
      <c r="F135" s="141">
        <f t="shared" si="61"/>
        <v>660.62</v>
      </c>
      <c r="G135" s="81">
        <v>14.0</v>
      </c>
      <c r="H135" s="81">
        <v>6.0</v>
      </c>
      <c r="I135" s="83">
        <v>50.0</v>
      </c>
    </row>
    <row r="136" ht="12.75" customHeight="1">
      <c r="A136" s="433">
        <f t="shared" si="62"/>
        <v>44329</v>
      </c>
      <c r="B136" s="84"/>
      <c r="C136" s="84"/>
      <c r="D136" s="84"/>
      <c r="E136" s="84"/>
      <c r="F136" s="151">
        <f t="shared" si="61"/>
        <v>0</v>
      </c>
      <c r="G136" s="138"/>
      <c r="H136" s="138"/>
      <c r="I136" s="146"/>
    </row>
    <row r="137" ht="12.75" customHeight="1">
      <c r="A137" s="433">
        <f>A134+3</f>
        <v>44330</v>
      </c>
      <c r="B137" s="84"/>
      <c r="C137" s="84"/>
      <c r="D137" s="84"/>
      <c r="E137" s="84"/>
      <c r="F137" s="151">
        <f t="shared" si="61"/>
        <v>0</v>
      </c>
      <c r="G137" s="84"/>
      <c r="H137" s="84"/>
      <c r="I137" s="86"/>
    </row>
    <row r="138" ht="12.75" customHeight="1">
      <c r="A138" s="131"/>
      <c r="B138" s="68">
        <f t="shared" ref="B138:I138" si="63">SUM(B133:B137)</f>
        <v>140</v>
      </c>
      <c r="C138" s="68">
        <f t="shared" si="63"/>
        <v>888.96</v>
      </c>
      <c r="D138" s="68">
        <f t="shared" si="63"/>
        <v>2806.55</v>
      </c>
      <c r="E138" s="68">
        <f t="shared" si="63"/>
        <v>100</v>
      </c>
      <c r="F138" s="68">
        <f t="shared" si="63"/>
        <v>3935.51</v>
      </c>
      <c r="G138" s="147">
        <f t="shared" si="63"/>
        <v>71</v>
      </c>
      <c r="H138" s="147">
        <f t="shared" si="63"/>
        <v>16</v>
      </c>
      <c r="I138" s="91">
        <f t="shared" si="63"/>
        <v>100</v>
      </c>
    </row>
    <row r="139" ht="12.75" customHeight="1">
      <c r="A139" s="148"/>
      <c r="B139" s="75"/>
      <c r="C139" s="75"/>
      <c r="D139" s="75"/>
      <c r="E139" s="75"/>
      <c r="F139" s="75"/>
      <c r="G139" s="75"/>
      <c r="H139" s="75"/>
      <c r="I139" s="74"/>
    </row>
    <row r="140" ht="12.75" customHeight="1">
      <c r="A140" s="433">
        <f>A137+3</f>
        <v>44333</v>
      </c>
      <c r="B140" s="112">
        <v>50.0</v>
      </c>
      <c r="C140" s="59">
        <v>41.41</v>
      </c>
      <c r="D140" s="59">
        <v>1160.0</v>
      </c>
      <c r="E140" s="59">
        <v>50.0</v>
      </c>
      <c r="F140" s="141">
        <f t="shared" ref="F140:F144" si="64">SUM(B140:E140)</f>
        <v>1301.41</v>
      </c>
      <c r="G140" s="124">
        <v>19.0</v>
      </c>
      <c r="H140" s="124">
        <v>1.0</v>
      </c>
      <c r="I140" s="149">
        <v>50.0</v>
      </c>
    </row>
    <row r="141" ht="12.75" customHeight="1">
      <c r="A141" s="433">
        <f t="shared" ref="A141:A144" si="65">A140+1</f>
        <v>44334</v>
      </c>
      <c r="B141" s="59">
        <v>190.0</v>
      </c>
      <c r="C141" s="59">
        <v>141.38</v>
      </c>
      <c r="D141" s="59">
        <v>509.31</v>
      </c>
      <c r="E141" s="59">
        <v>100.0</v>
      </c>
      <c r="F141" s="141">
        <f t="shared" si="64"/>
        <v>940.69</v>
      </c>
      <c r="G141" s="124">
        <v>14.0</v>
      </c>
      <c r="H141" s="124">
        <v>2.0</v>
      </c>
      <c r="I141" s="149">
        <v>100.0</v>
      </c>
    </row>
    <row r="142" ht="12.75" customHeight="1">
      <c r="A142" s="433">
        <f t="shared" si="65"/>
        <v>44335</v>
      </c>
      <c r="B142" s="59">
        <v>100.0</v>
      </c>
      <c r="C142" s="59">
        <v>194.5</v>
      </c>
      <c r="D142" s="59">
        <v>390.0</v>
      </c>
      <c r="E142" s="59">
        <v>100.0</v>
      </c>
      <c r="F142" s="141">
        <f t="shared" si="64"/>
        <v>784.5</v>
      </c>
      <c r="G142" s="124">
        <v>16.0</v>
      </c>
      <c r="H142" s="124">
        <v>5.0</v>
      </c>
      <c r="I142" s="149">
        <v>100.0</v>
      </c>
    </row>
    <row r="143" ht="12.75" customHeight="1">
      <c r="A143" s="433">
        <f t="shared" si="65"/>
        <v>44336</v>
      </c>
      <c r="B143" s="59">
        <v>50.0</v>
      </c>
      <c r="C143" s="59">
        <v>565.77</v>
      </c>
      <c r="D143" s="59">
        <v>1060.0</v>
      </c>
      <c r="E143" s="59">
        <v>159.31</v>
      </c>
      <c r="F143" s="141">
        <f t="shared" si="64"/>
        <v>1835.08</v>
      </c>
      <c r="G143" s="124">
        <v>33.0</v>
      </c>
      <c r="H143" s="124">
        <v>11.0</v>
      </c>
      <c r="I143" s="149">
        <v>160.0</v>
      </c>
    </row>
    <row r="144" ht="12.75" customHeight="1">
      <c r="A144" s="433">
        <f t="shared" si="65"/>
        <v>44337</v>
      </c>
      <c r="B144" s="59">
        <v>199.31</v>
      </c>
      <c r="C144" s="59">
        <v>333.79</v>
      </c>
      <c r="D144" s="59">
        <v>568.62</v>
      </c>
      <c r="E144" s="59">
        <v>200.0</v>
      </c>
      <c r="F144" s="141">
        <f t="shared" si="64"/>
        <v>1301.72</v>
      </c>
      <c r="G144" s="124">
        <v>23.0</v>
      </c>
      <c r="H144" s="124">
        <v>6.0</v>
      </c>
      <c r="I144" s="149">
        <v>200.0</v>
      </c>
    </row>
    <row r="145" ht="12.75" customHeight="1">
      <c r="A145" s="131"/>
      <c r="B145" s="68">
        <f t="shared" ref="B145:I145" si="66">SUM(B140:B144)</f>
        <v>589.31</v>
      </c>
      <c r="C145" s="68">
        <f t="shared" si="66"/>
        <v>1276.85</v>
      </c>
      <c r="D145" s="68">
        <f t="shared" si="66"/>
        <v>3687.93</v>
      </c>
      <c r="E145" s="68">
        <f t="shared" si="66"/>
        <v>609.31</v>
      </c>
      <c r="F145" s="68">
        <f t="shared" si="66"/>
        <v>6163.4</v>
      </c>
      <c r="G145" s="147">
        <f t="shared" si="66"/>
        <v>105</v>
      </c>
      <c r="H145" s="147">
        <f t="shared" si="66"/>
        <v>25</v>
      </c>
      <c r="I145" s="91">
        <f t="shared" si="66"/>
        <v>610</v>
      </c>
    </row>
    <row r="146" ht="12.75" customHeight="1">
      <c r="A146" s="148"/>
      <c r="B146" s="75"/>
      <c r="C146" s="75"/>
      <c r="D146" s="75"/>
      <c r="E146" s="75"/>
      <c r="F146" s="75"/>
      <c r="G146" s="75"/>
      <c r="H146" s="75"/>
      <c r="I146" s="74"/>
    </row>
    <row r="147" ht="12.75" customHeight="1">
      <c r="A147" s="433">
        <f>A144+3</f>
        <v>44340</v>
      </c>
      <c r="B147" s="150"/>
      <c r="C147" s="138"/>
      <c r="D147" s="138"/>
      <c r="E147" s="138"/>
      <c r="F147" s="151">
        <f t="shared" ref="F147:F151" si="67">SUM(B147:E147)</f>
        <v>0</v>
      </c>
      <c r="G147" s="119"/>
      <c r="H147" s="119"/>
      <c r="I147" s="152"/>
    </row>
    <row r="148" ht="12.75" customHeight="1">
      <c r="A148" s="433">
        <f t="shared" ref="A148:A151" si="68">A147+1</f>
        <v>44341</v>
      </c>
      <c r="B148" s="112">
        <v>69.31</v>
      </c>
      <c r="C148" s="59">
        <v>292.38</v>
      </c>
      <c r="D148" s="59">
        <v>590.0</v>
      </c>
      <c r="E148" s="59">
        <v>119.31</v>
      </c>
      <c r="F148" s="141">
        <f t="shared" si="67"/>
        <v>1071</v>
      </c>
      <c r="G148" s="124">
        <v>18.0</v>
      </c>
      <c r="H148" s="124">
        <v>5.0</v>
      </c>
      <c r="I148" s="149">
        <v>120.0</v>
      </c>
    </row>
    <row r="149" ht="12.75" customHeight="1">
      <c r="A149" s="433">
        <f t="shared" si="68"/>
        <v>44342</v>
      </c>
      <c r="B149" s="112">
        <v>120.0</v>
      </c>
      <c r="C149" s="59">
        <v>235.91</v>
      </c>
      <c r="D149" s="59">
        <v>600.0</v>
      </c>
      <c r="E149" s="59">
        <v>70.0</v>
      </c>
      <c r="F149" s="141">
        <f t="shared" si="67"/>
        <v>1025.91</v>
      </c>
      <c r="G149" s="124">
        <v>19.0</v>
      </c>
      <c r="H149" s="124">
        <v>6.0</v>
      </c>
      <c r="I149" s="149">
        <v>70.0</v>
      </c>
    </row>
    <row r="150" ht="12.75" customHeight="1">
      <c r="A150" s="433">
        <f t="shared" si="68"/>
        <v>44343</v>
      </c>
      <c r="B150" s="112">
        <v>170.0</v>
      </c>
      <c r="C150" s="59">
        <v>445.89</v>
      </c>
      <c r="D150" s="59">
        <v>1327.93</v>
      </c>
      <c r="E150" s="59">
        <v>59.31</v>
      </c>
      <c r="F150" s="141">
        <f t="shared" si="67"/>
        <v>2003.13</v>
      </c>
      <c r="G150" s="124">
        <v>32.0</v>
      </c>
      <c r="H150" s="124">
        <v>8.0</v>
      </c>
      <c r="I150" s="149">
        <v>60.0</v>
      </c>
    </row>
    <row r="151" ht="12.75" customHeight="1">
      <c r="A151" s="433">
        <f t="shared" si="68"/>
        <v>44344</v>
      </c>
      <c r="B151" s="112">
        <v>280.0</v>
      </c>
      <c r="C151" s="59">
        <v>221.69</v>
      </c>
      <c r="D151" s="59">
        <v>869.31</v>
      </c>
      <c r="E151" s="59">
        <v>50.0</v>
      </c>
      <c r="F151" s="141">
        <f t="shared" si="67"/>
        <v>1421</v>
      </c>
      <c r="G151" s="124">
        <v>23.0</v>
      </c>
      <c r="H151" s="124">
        <v>4.0</v>
      </c>
      <c r="I151" s="149">
        <v>60.0</v>
      </c>
    </row>
    <row r="152" ht="12.75" customHeight="1">
      <c r="A152" s="131"/>
      <c r="B152" s="68">
        <f t="shared" ref="B152:I152" si="69">SUM(B147:B151)</f>
        <v>639.31</v>
      </c>
      <c r="C152" s="68">
        <f t="shared" si="69"/>
        <v>1195.87</v>
      </c>
      <c r="D152" s="68">
        <f t="shared" si="69"/>
        <v>3387.24</v>
      </c>
      <c r="E152" s="68">
        <f t="shared" si="69"/>
        <v>298.62</v>
      </c>
      <c r="F152" s="68">
        <f t="shared" si="69"/>
        <v>5521.04</v>
      </c>
      <c r="G152" s="147">
        <f t="shared" si="69"/>
        <v>92</v>
      </c>
      <c r="H152" s="147">
        <f t="shared" si="69"/>
        <v>23</v>
      </c>
      <c r="I152" s="91">
        <f t="shared" si="69"/>
        <v>310</v>
      </c>
    </row>
    <row r="153" ht="12.75" customHeight="1">
      <c r="A153" s="148"/>
      <c r="B153" s="75"/>
      <c r="C153" s="75"/>
      <c r="D153" s="75"/>
      <c r="E153" s="75"/>
      <c r="F153" s="75"/>
      <c r="G153" s="75"/>
      <c r="H153" s="75"/>
      <c r="I153" s="74"/>
    </row>
    <row r="154" ht="12.75" customHeight="1">
      <c r="A154" s="433">
        <f>A151+3</f>
        <v>44347</v>
      </c>
      <c r="B154" s="112">
        <v>50.0</v>
      </c>
      <c r="C154" s="59">
        <v>258.07</v>
      </c>
      <c r="D154" s="59">
        <v>489.31</v>
      </c>
      <c r="E154" s="59">
        <v>70.0</v>
      </c>
      <c r="F154" s="141">
        <f>SUM(B154:E154)</f>
        <v>867.38</v>
      </c>
      <c r="G154" s="124">
        <v>15.0</v>
      </c>
      <c r="H154" s="124">
        <v>4.0</v>
      </c>
      <c r="I154" s="149">
        <v>70.0</v>
      </c>
    </row>
    <row r="155" ht="12.75" customHeight="1">
      <c r="A155" s="131"/>
      <c r="B155" s="68">
        <f t="shared" ref="B155:I155" si="70">SUM(B154)</f>
        <v>50</v>
      </c>
      <c r="C155" s="68">
        <f t="shared" si="70"/>
        <v>258.07</v>
      </c>
      <c r="D155" s="68">
        <f t="shared" si="70"/>
        <v>489.31</v>
      </c>
      <c r="E155" s="68">
        <f t="shared" si="70"/>
        <v>70</v>
      </c>
      <c r="F155" s="68">
        <f t="shared" si="70"/>
        <v>867.38</v>
      </c>
      <c r="G155" s="147">
        <f t="shared" si="70"/>
        <v>15</v>
      </c>
      <c r="H155" s="147">
        <f t="shared" si="70"/>
        <v>4</v>
      </c>
      <c r="I155" s="91">
        <f t="shared" si="70"/>
        <v>70</v>
      </c>
    </row>
    <row r="156" ht="12.75" customHeight="1">
      <c r="A156" s="148"/>
      <c r="B156" s="75"/>
      <c r="C156" s="75"/>
      <c r="D156" s="75"/>
      <c r="E156" s="75"/>
      <c r="F156" s="75"/>
      <c r="G156" s="75"/>
      <c r="H156" s="75"/>
      <c r="I156" s="74"/>
    </row>
    <row r="157" ht="12.75" customHeight="1">
      <c r="A157" s="421">
        <v>44348.0</v>
      </c>
      <c r="B157" s="81">
        <v>140.0</v>
      </c>
      <c r="C157" s="81">
        <v>112.1</v>
      </c>
      <c r="D157" s="81">
        <v>609.31</v>
      </c>
      <c r="E157" s="81">
        <v>140.0</v>
      </c>
      <c r="F157" s="60">
        <f t="shared" ref="F157:F160" si="71">SUM(B157:E157)</f>
        <v>1001.41</v>
      </c>
      <c r="G157" s="81">
        <v>17.0</v>
      </c>
      <c r="H157" s="81">
        <v>2.0</v>
      </c>
      <c r="I157" s="83">
        <v>150.0</v>
      </c>
    </row>
    <row r="158" ht="12.75" customHeight="1">
      <c r="A158" s="421">
        <f t="shared" ref="A158:A160" si="72">A157+1</f>
        <v>44349</v>
      </c>
      <c r="B158" s="81">
        <v>0.0</v>
      </c>
      <c r="C158" s="81">
        <v>280.42</v>
      </c>
      <c r="D158" s="81">
        <v>270.0</v>
      </c>
      <c r="E158" s="81">
        <v>50.0</v>
      </c>
      <c r="F158" s="60">
        <f t="shared" si="71"/>
        <v>600.42</v>
      </c>
      <c r="G158" s="81">
        <v>14.0</v>
      </c>
      <c r="H158" s="81">
        <v>8.0</v>
      </c>
      <c r="I158" s="83">
        <v>50.0</v>
      </c>
    </row>
    <row r="159" ht="12.75" customHeight="1">
      <c r="A159" s="421">
        <f t="shared" si="72"/>
        <v>44350</v>
      </c>
      <c r="B159" s="81">
        <v>70.0</v>
      </c>
      <c r="C159" s="81">
        <v>655.45</v>
      </c>
      <c r="D159" s="81">
        <v>517.24</v>
      </c>
      <c r="E159" s="81">
        <v>119.31</v>
      </c>
      <c r="F159" s="60">
        <f t="shared" si="71"/>
        <v>1362</v>
      </c>
      <c r="G159" s="81">
        <v>23.0</v>
      </c>
      <c r="H159" s="81">
        <v>11.0</v>
      </c>
      <c r="I159" s="83">
        <v>110.0</v>
      </c>
    </row>
    <row r="160" ht="12.75" customHeight="1">
      <c r="A160" s="421">
        <f t="shared" si="72"/>
        <v>44351</v>
      </c>
      <c r="B160" s="81">
        <v>69.31</v>
      </c>
      <c r="C160" s="81">
        <v>375.2</v>
      </c>
      <c r="D160" s="81">
        <v>739.31</v>
      </c>
      <c r="E160" s="81">
        <v>100.0</v>
      </c>
      <c r="F160" s="60">
        <f t="shared" si="71"/>
        <v>1283.82</v>
      </c>
      <c r="G160" s="81">
        <v>22.0</v>
      </c>
      <c r="H160" s="81">
        <v>7.0</v>
      </c>
      <c r="I160" s="83">
        <v>100.0</v>
      </c>
    </row>
    <row r="161" ht="12.75" customHeight="1">
      <c r="A161" s="67"/>
      <c r="B161" s="68">
        <f t="shared" ref="B161:I161" si="73">SUM(B157:B160)</f>
        <v>279.31</v>
      </c>
      <c r="C161" s="68">
        <f t="shared" si="73"/>
        <v>1423.17</v>
      </c>
      <c r="D161" s="68">
        <f t="shared" si="73"/>
        <v>2135.86</v>
      </c>
      <c r="E161" s="68">
        <f t="shared" si="73"/>
        <v>409.31</v>
      </c>
      <c r="F161" s="68">
        <f t="shared" si="73"/>
        <v>4247.65</v>
      </c>
      <c r="G161" s="70">
        <f t="shared" si="73"/>
        <v>76</v>
      </c>
      <c r="H161" s="70">
        <f t="shared" si="73"/>
        <v>28</v>
      </c>
      <c r="I161" s="91">
        <f t="shared" si="73"/>
        <v>410</v>
      </c>
    </row>
    <row r="162" ht="12.75" customHeight="1">
      <c r="A162" s="74"/>
      <c r="B162" s="75"/>
      <c r="C162" s="75"/>
      <c r="D162" s="75"/>
      <c r="E162" s="75"/>
      <c r="F162" s="75"/>
      <c r="G162" s="76"/>
      <c r="H162" s="76"/>
      <c r="I162" s="74"/>
    </row>
    <row r="163" ht="12.75" customHeight="1">
      <c r="A163" s="421">
        <f>A160+3</f>
        <v>44354</v>
      </c>
      <c r="B163" s="81">
        <v>269.31</v>
      </c>
      <c r="C163" s="81">
        <v>394.86</v>
      </c>
      <c r="D163" s="81">
        <v>1168.62</v>
      </c>
      <c r="E163" s="81">
        <v>120.0</v>
      </c>
      <c r="F163" s="60">
        <f t="shared" ref="F163:F167" si="74">SUM(B163:E163)</f>
        <v>1952.79</v>
      </c>
      <c r="G163" s="81">
        <v>31.0</v>
      </c>
      <c r="H163" s="81">
        <v>6.0</v>
      </c>
      <c r="I163" s="83">
        <v>120.0</v>
      </c>
    </row>
    <row r="164" ht="12.75" customHeight="1">
      <c r="A164" s="421">
        <f t="shared" ref="A164:A167" si="75">A163+1</f>
        <v>44355</v>
      </c>
      <c r="B164" s="81">
        <v>50.0</v>
      </c>
      <c r="C164" s="81">
        <v>363.07</v>
      </c>
      <c r="D164" s="81">
        <v>677.93</v>
      </c>
      <c r="E164" s="81">
        <v>50.0</v>
      </c>
      <c r="F164" s="60">
        <f t="shared" si="74"/>
        <v>1141</v>
      </c>
      <c r="G164" s="81">
        <v>20.0</v>
      </c>
      <c r="H164" s="81">
        <v>6.0</v>
      </c>
      <c r="I164" s="83">
        <v>50.0</v>
      </c>
    </row>
    <row r="165" ht="12.75" customHeight="1">
      <c r="A165" s="421">
        <f t="shared" si="75"/>
        <v>44356</v>
      </c>
      <c r="B165" s="81">
        <v>140.0</v>
      </c>
      <c r="C165" s="81">
        <v>228.8</v>
      </c>
      <c r="D165" s="81">
        <v>660.0</v>
      </c>
      <c r="E165" s="81">
        <v>0.0</v>
      </c>
      <c r="F165" s="60">
        <f t="shared" si="74"/>
        <v>1028.8</v>
      </c>
      <c r="G165" s="81">
        <v>19.0</v>
      </c>
      <c r="H165" s="81">
        <v>5.0</v>
      </c>
      <c r="I165" s="83">
        <v>0.0</v>
      </c>
    </row>
    <row r="166" ht="12.75" customHeight="1">
      <c r="A166" s="421">
        <f t="shared" si="75"/>
        <v>44357</v>
      </c>
      <c r="B166" s="81">
        <v>280.0</v>
      </c>
      <c r="C166" s="81">
        <v>194.92</v>
      </c>
      <c r="D166" s="81">
        <v>1109.31</v>
      </c>
      <c r="E166" s="81">
        <v>150.0</v>
      </c>
      <c r="F166" s="60">
        <f t="shared" si="74"/>
        <v>1734.23</v>
      </c>
      <c r="G166" s="81">
        <v>30.0</v>
      </c>
      <c r="H166" s="81">
        <v>4.0</v>
      </c>
      <c r="I166" s="83">
        <v>160.0</v>
      </c>
    </row>
    <row r="167" ht="12.75" customHeight="1">
      <c r="A167" s="421">
        <f t="shared" si="75"/>
        <v>44358</v>
      </c>
      <c r="B167" s="81">
        <v>170.0</v>
      </c>
      <c r="C167" s="81">
        <v>324.17</v>
      </c>
      <c r="D167" s="81">
        <v>829.31</v>
      </c>
      <c r="E167" s="81">
        <v>0.0</v>
      </c>
      <c r="F167" s="60">
        <f t="shared" si="74"/>
        <v>1323.48</v>
      </c>
      <c r="G167" s="81">
        <v>24.0</v>
      </c>
      <c r="H167" s="81">
        <v>5.0</v>
      </c>
      <c r="I167" s="83">
        <v>0.0</v>
      </c>
    </row>
    <row r="168" ht="12.75" customHeight="1">
      <c r="A168" s="67"/>
      <c r="B168" s="68">
        <f t="shared" ref="B168:I168" si="76">SUM(B163:B167)</f>
        <v>909.31</v>
      </c>
      <c r="C168" s="68">
        <f t="shared" si="76"/>
        <v>1505.82</v>
      </c>
      <c r="D168" s="68">
        <f t="shared" si="76"/>
        <v>4445.17</v>
      </c>
      <c r="E168" s="68">
        <f t="shared" si="76"/>
        <v>320</v>
      </c>
      <c r="F168" s="68">
        <f t="shared" si="76"/>
        <v>7180.3</v>
      </c>
      <c r="G168" s="70">
        <f t="shared" si="76"/>
        <v>124</v>
      </c>
      <c r="H168" s="70">
        <f t="shared" si="76"/>
        <v>26</v>
      </c>
      <c r="I168" s="91">
        <f t="shared" si="76"/>
        <v>330</v>
      </c>
    </row>
    <row r="169" ht="12.75" customHeight="1">
      <c r="A169" s="74"/>
      <c r="B169" s="92"/>
      <c r="C169" s="92"/>
      <c r="D169" s="92"/>
      <c r="E169" s="92"/>
      <c r="F169" s="75"/>
      <c r="G169" s="93"/>
      <c r="H169" s="93"/>
      <c r="I169" s="94"/>
    </row>
    <row r="170" ht="12.75" customHeight="1">
      <c r="A170" s="433">
        <f>A167+3</f>
        <v>44361</v>
      </c>
      <c r="B170" s="81">
        <v>209.31</v>
      </c>
      <c r="C170" s="81">
        <v>198.57</v>
      </c>
      <c r="D170" s="81">
        <v>430.0</v>
      </c>
      <c r="E170" s="81">
        <v>100.0</v>
      </c>
      <c r="F170" s="60">
        <f t="shared" ref="F170:F174" si="77">SUM(B170:E170)</f>
        <v>937.88</v>
      </c>
      <c r="G170" s="81">
        <v>18.0</v>
      </c>
      <c r="H170" s="81">
        <v>5.0</v>
      </c>
      <c r="I170" s="83">
        <v>100.0</v>
      </c>
    </row>
    <row r="171" ht="12.75" customHeight="1">
      <c r="A171" s="433">
        <f t="shared" ref="A171:A174" si="78">A170+1</f>
        <v>44362</v>
      </c>
      <c r="B171" s="81">
        <v>50.0</v>
      </c>
      <c r="C171" s="81">
        <v>121.72</v>
      </c>
      <c r="D171" s="81">
        <v>620.0</v>
      </c>
      <c r="E171" s="81">
        <v>190.0</v>
      </c>
      <c r="F171" s="60">
        <f t="shared" si="77"/>
        <v>981.72</v>
      </c>
      <c r="G171" s="81">
        <v>18.0</v>
      </c>
      <c r="H171" s="81">
        <v>3.0</v>
      </c>
      <c r="I171" s="83">
        <v>200.0</v>
      </c>
    </row>
    <row r="172" ht="12.75" customHeight="1">
      <c r="A172" s="433">
        <f t="shared" si="78"/>
        <v>44363</v>
      </c>
      <c r="B172" s="81">
        <v>120.0</v>
      </c>
      <c r="C172" s="81">
        <v>311.91</v>
      </c>
      <c r="D172" s="81">
        <v>580.0</v>
      </c>
      <c r="E172" s="81">
        <v>120.0</v>
      </c>
      <c r="F172" s="60">
        <f t="shared" si="77"/>
        <v>1131.91</v>
      </c>
      <c r="G172" s="81">
        <v>18.0</v>
      </c>
      <c r="H172" s="81">
        <v>4.0</v>
      </c>
      <c r="I172" s="83">
        <v>120.0</v>
      </c>
    </row>
    <row r="173" ht="12.75" customHeight="1">
      <c r="A173" s="433">
        <f t="shared" si="78"/>
        <v>44364</v>
      </c>
      <c r="B173" s="81">
        <v>69.31</v>
      </c>
      <c r="C173" s="81">
        <v>445.89</v>
      </c>
      <c r="D173" s="81">
        <v>1208.62</v>
      </c>
      <c r="E173" s="81">
        <v>50.0</v>
      </c>
      <c r="F173" s="60">
        <f t="shared" si="77"/>
        <v>1773.82</v>
      </c>
      <c r="G173" s="81">
        <v>31.0</v>
      </c>
      <c r="H173" s="81">
        <v>8.0</v>
      </c>
      <c r="I173" s="83">
        <v>50.0</v>
      </c>
    </row>
    <row r="174" ht="12.75" customHeight="1">
      <c r="A174" s="433">
        <f t="shared" si="78"/>
        <v>44365</v>
      </c>
      <c r="B174" s="81">
        <v>50.0</v>
      </c>
      <c r="C174" s="81">
        <v>210.28</v>
      </c>
      <c r="D174" s="81">
        <v>558.62</v>
      </c>
      <c r="E174" s="81">
        <v>290.0</v>
      </c>
      <c r="F174" s="60">
        <f t="shared" si="77"/>
        <v>1108.9</v>
      </c>
      <c r="G174" s="81">
        <v>21.0</v>
      </c>
      <c r="H174" s="81">
        <v>4.0</v>
      </c>
      <c r="I174" s="83">
        <v>300.0</v>
      </c>
    </row>
    <row r="175" ht="12.75" customHeight="1">
      <c r="A175" s="131"/>
      <c r="B175" s="68">
        <f t="shared" ref="B175:I175" si="79">SUM(B170:B174)</f>
        <v>498.62</v>
      </c>
      <c r="C175" s="132">
        <f t="shared" si="79"/>
        <v>1288.37</v>
      </c>
      <c r="D175" s="132">
        <f t="shared" si="79"/>
        <v>3397.24</v>
      </c>
      <c r="E175" s="132">
        <f t="shared" si="79"/>
        <v>750</v>
      </c>
      <c r="F175" s="132">
        <f t="shared" si="79"/>
        <v>5934.23</v>
      </c>
      <c r="G175" s="155">
        <f t="shared" si="79"/>
        <v>106</v>
      </c>
      <c r="H175" s="155">
        <f t="shared" si="79"/>
        <v>24</v>
      </c>
      <c r="I175" s="134">
        <f t="shared" si="79"/>
        <v>770</v>
      </c>
    </row>
    <row r="176" ht="12.75" customHeight="1">
      <c r="A176" s="148"/>
      <c r="B176" s="75"/>
      <c r="C176" s="136"/>
      <c r="D176" s="136"/>
      <c r="E176" s="136"/>
      <c r="F176" s="136"/>
      <c r="G176" s="136"/>
      <c r="H176" s="136"/>
      <c r="I176" s="137"/>
    </row>
    <row r="177" ht="12.75" customHeight="1">
      <c r="A177" s="433">
        <f>A174+3</f>
        <v>44368</v>
      </c>
      <c r="B177" s="81">
        <v>280.0</v>
      </c>
      <c r="C177" s="81">
        <v>240.92</v>
      </c>
      <c r="D177" s="81">
        <v>750.0</v>
      </c>
      <c r="E177" s="81">
        <v>150.0</v>
      </c>
      <c r="F177" s="60">
        <f t="shared" ref="F177:F181" si="80">SUM(B177:E177)</f>
        <v>1420.92</v>
      </c>
      <c r="G177" s="81">
        <v>26.0</v>
      </c>
      <c r="H177" s="81">
        <v>5.0</v>
      </c>
      <c r="I177" s="83">
        <v>150.0</v>
      </c>
    </row>
    <row r="178" ht="12.75" customHeight="1">
      <c r="A178" s="433">
        <f t="shared" ref="A178:A181" si="81">A177+1</f>
        <v>44369</v>
      </c>
      <c r="B178" s="81">
        <v>0.0</v>
      </c>
      <c r="C178" s="81">
        <v>71.41</v>
      </c>
      <c r="D178" s="81">
        <v>790.0</v>
      </c>
      <c r="E178" s="81">
        <v>100.0</v>
      </c>
      <c r="F178" s="60">
        <f t="shared" si="80"/>
        <v>961.41</v>
      </c>
      <c r="G178" s="81">
        <v>19.0</v>
      </c>
      <c r="H178" s="81">
        <v>2.0</v>
      </c>
      <c r="I178" s="83">
        <v>100.0</v>
      </c>
    </row>
    <row r="179" ht="12.75" customHeight="1">
      <c r="A179" s="433">
        <f t="shared" si="81"/>
        <v>44370</v>
      </c>
      <c r="B179" s="81">
        <v>150.0</v>
      </c>
      <c r="C179" s="81">
        <v>220.37</v>
      </c>
      <c r="D179" s="81">
        <v>350.0</v>
      </c>
      <c r="E179" s="81">
        <v>0.0</v>
      </c>
      <c r="F179" s="60">
        <f t="shared" si="80"/>
        <v>720.37</v>
      </c>
      <c r="G179" s="81">
        <v>14.0</v>
      </c>
      <c r="H179" s="81">
        <v>4.0</v>
      </c>
      <c r="I179" s="83">
        <v>0.0</v>
      </c>
    </row>
    <row r="180" ht="12.75" customHeight="1">
      <c r="A180" s="433">
        <f t="shared" si="81"/>
        <v>44371</v>
      </c>
      <c r="B180" s="81">
        <v>100.0</v>
      </c>
      <c r="C180" s="81">
        <v>253.48</v>
      </c>
      <c r="D180" s="81">
        <v>1248.62</v>
      </c>
      <c r="E180" s="81">
        <v>150.0</v>
      </c>
      <c r="F180" s="60">
        <f t="shared" si="80"/>
        <v>1752.1</v>
      </c>
      <c r="G180" s="81">
        <v>30.0</v>
      </c>
      <c r="H180" s="81">
        <v>4.0</v>
      </c>
      <c r="I180" s="83">
        <v>150.0</v>
      </c>
    </row>
    <row r="181" ht="12.75" customHeight="1">
      <c r="A181" s="433">
        <f t="shared" si="81"/>
        <v>44372</v>
      </c>
      <c r="B181" s="81">
        <v>100.0</v>
      </c>
      <c r="C181" s="81">
        <v>352.13</v>
      </c>
      <c r="D181" s="81">
        <v>347.46</v>
      </c>
      <c r="E181" s="81">
        <v>100.0</v>
      </c>
      <c r="F181" s="60">
        <f t="shared" si="80"/>
        <v>899.59</v>
      </c>
      <c r="G181" s="81">
        <v>19.0</v>
      </c>
      <c r="H181" s="81">
        <v>4.0</v>
      </c>
      <c r="I181" s="83">
        <v>100.0</v>
      </c>
    </row>
    <row r="182" ht="12.75" customHeight="1">
      <c r="A182" s="131"/>
      <c r="B182" s="68">
        <f t="shared" ref="B182:I182" si="82">SUM(B177:B181)</f>
        <v>630</v>
      </c>
      <c r="C182" s="68">
        <f t="shared" si="82"/>
        <v>1138.31</v>
      </c>
      <c r="D182" s="68">
        <f t="shared" si="82"/>
        <v>3486.08</v>
      </c>
      <c r="E182" s="68">
        <f t="shared" si="82"/>
        <v>500</v>
      </c>
      <c r="F182" s="68">
        <f t="shared" si="82"/>
        <v>5754.39</v>
      </c>
      <c r="G182" s="147">
        <f t="shared" si="82"/>
        <v>108</v>
      </c>
      <c r="H182" s="147">
        <f t="shared" si="82"/>
        <v>19</v>
      </c>
      <c r="I182" s="91">
        <f t="shared" si="82"/>
        <v>500</v>
      </c>
    </row>
    <row r="183" ht="12.75" customHeight="1">
      <c r="A183" s="148"/>
      <c r="B183" s="75"/>
      <c r="C183" s="75"/>
      <c r="D183" s="75"/>
      <c r="E183" s="75"/>
      <c r="F183" s="75"/>
      <c r="G183" s="75"/>
      <c r="H183" s="75"/>
      <c r="I183" s="74"/>
    </row>
    <row r="184" ht="12.75" customHeight="1">
      <c r="A184" s="433">
        <f>A181+3</f>
        <v>44375</v>
      </c>
      <c r="B184" s="81">
        <v>340.0</v>
      </c>
      <c r="C184" s="81">
        <v>201.28</v>
      </c>
      <c r="D184" s="81">
        <v>609.31</v>
      </c>
      <c r="E184" s="81">
        <v>0.0</v>
      </c>
      <c r="F184" s="60">
        <f t="shared" ref="F184:F186" si="83">SUM(B184:E184)</f>
        <v>1150.59</v>
      </c>
      <c r="G184" s="81">
        <v>19.0</v>
      </c>
      <c r="H184" s="81">
        <v>4.0</v>
      </c>
      <c r="I184" s="83">
        <v>0.0</v>
      </c>
    </row>
    <row r="185" ht="12.75" customHeight="1">
      <c r="A185" s="433">
        <f t="shared" ref="A185:A186" si="84">A184+1</f>
        <v>44376</v>
      </c>
      <c r="B185" s="81">
        <v>90.0</v>
      </c>
      <c r="C185" s="81">
        <v>112.1</v>
      </c>
      <c r="D185" s="81">
        <v>779.31</v>
      </c>
      <c r="E185" s="81">
        <v>50.0</v>
      </c>
      <c r="F185" s="60">
        <f t="shared" si="83"/>
        <v>1031.41</v>
      </c>
      <c r="G185" s="81">
        <v>16.0</v>
      </c>
      <c r="H185" s="81">
        <v>2.0</v>
      </c>
      <c r="I185" s="83">
        <v>60.0</v>
      </c>
    </row>
    <row r="186" ht="12.75" customHeight="1">
      <c r="A186" s="433">
        <f t="shared" si="84"/>
        <v>44377</v>
      </c>
      <c r="B186" s="81">
        <v>100.0</v>
      </c>
      <c r="C186" s="81">
        <v>217.86</v>
      </c>
      <c r="D186" s="81">
        <v>458.84</v>
      </c>
      <c r="E186" s="81">
        <v>0.0</v>
      </c>
      <c r="F186" s="60">
        <f t="shared" si="83"/>
        <v>776.7</v>
      </c>
      <c r="G186" s="81">
        <v>14.0</v>
      </c>
      <c r="H186" s="81">
        <v>4.0</v>
      </c>
      <c r="I186" s="83">
        <v>0.0</v>
      </c>
    </row>
    <row r="187" ht="12.75" customHeight="1">
      <c r="A187" s="67"/>
      <c r="B187" s="91">
        <f t="shared" ref="B187:I187" si="85">SUM(B184:B186)</f>
        <v>530</v>
      </c>
      <c r="C187" s="91">
        <f t="shared" si="85"/>
        <v>531.24</v>
      </c>
      <c r="D187" s="91">
        <f t="shared" si="85"/>
        <v>1847.46</v>
      </c>
      <c r="E187" s="91">
        <f t="shared" si="85"/>
        <v>50</v>
      </c>
      <c r="F187" s="91">
        <f t="shared" si="85"/>
        <v>2958.7</v>
      </c>
      <c r="G187" s="402">
        <f t="shared" si="85"/>
        <v>49</v>
      </c>
      <c r="H187" s="402">
        <f t="shared" si="85"/>
        <v>10</v>
      </c>
      <c r="I187" s="91">
        <f t="shared" si="85"/>
        <v>60</v>
      </c>
    </row>
    <row r="188" ht="12.75" customHeight="1">
      <c r="A188" s="74"/>
      <c r="B188" s="74"/>
      <c r="C188" s="74"/>
      <c r="D188" s="74"/>
      <c r="E188" s="74"/>
      <c r="F188" s="74"/>
      <c r="G188" s="74"/>
      <c r="H188" s="74"/>
      <c r="I188" s="74"/>
    </row>
    <row r="189" ht="12.75" customHeight="1">
      <c r="A189" s="421">
        <v>44378.0</v>
      </c>
      <c r="B189" s="59">
        <v>150.0</v>
      </c>
      <c r="C189" s="59">
        <v>494.83</v>
      </c>
      <c r="D189" s="59">
        <v>1197.24</v>
      </c>
      <c r="E189" s="59">
        <v>0.0</v>
      </c>
      <c r="F189" s="156">
        <f t="shared" ref="F189:F190" si="86">SUM(B189:E189)</f>
        <v>1842.07</v>
      </c>
      <c r="G189" s="59">
        <v>30.0</v>
      </c>
      <c r="H189" s="59">
        <v>7.0</v>
      </c>
      <c r="I189" s="61">
        <v>0.0</v>
      </c>
    </row>
    <row r="190" ht="12.75" customHeight="1">
      <c r="A190" s="421">
        <f>A189+1</f>
        <v>44379</v>
      </c>
      <c r="B190" s="59">
        <v>140.0</v>
      </c>
      <c r="C190" s="59">
        <v>322.38</v>
      </c>
      <c r="D190" s="59">
        <v>589.31</v>
      </c>
      <c r="E190" s="59">
        <v>119.31</v>
      </c>
      <c r="F190" s="156">
        <f t="shared" si="86"/>
        <v>1171</v>
      </c>
      <c r="G190" s="59">
        <v>19.0</v>
      </c>
      <c r="H190" s="59">
        <v>6.0</v>
      </c>
      <c r="I190" s="61">
        <v>100.0</v>
      </c>
    </row>
    <row r="191" ht="12.75" customHeight="1">
      <c r="A191" s="67"/>
      <c r="B191" s="68">
        <f t="shared" ref="B191:I191" si="87">SUM(B189:B190)</f>
        <v>290</v>
      </c>
      <c r="C191" s="68">
        <f t="shared" si="87"/>
        <v>817.21</v>
      </c>
      <c r="D191" s="68">
        <f t="shared" si="87"/>
        <v>1786.55</v>
      </c>
      <c r="E191" s="68">
        <f t="shared" si="87"/>
        <v>119.31</v>
      </c>
      <c r="F191" s="157">
        <f t="shared" si="87"/>
        <v>3013.07</v>
      </c>
      <c r="G191" s="70">
        <f t="shared" si="87"/>
        <v>49</v>
      </c>
      <c r="H191" s="70">
        <f t="shared" si="87"/>
        <v>13</v>
      </c>
      <c r="I191" s="91">
        <f t="shared" si="87"/>
        <v>100</v>
      </c>
    </row>
    <row r="192" ht="12.75" customHeight="1">
      <c r="A192" s="74"/>
      <c r="B192" s="92"/>
      <c r="C192" s="92"/>
      <c r="D192" s="92"/>
      <c r="E192" s="92"/>
      <c r="F192" s="75"/>
      <c r="G192" s="93"/>
      <c r="H192" s="93"/>
      <c r="I192" s="94"/>
    </row>
    <row r="193" ht="12.75" customHeight="1">
      <c r="A193" s="433">
        <f>A190+3</f>
        <v>44382</v>
      </c>
      <c r="B193" s="98">
        <v>50.0</v>
      </c>
      <c r="C193" s="99">
        <v>253.48</v>
      </c>
      <c r="D193" s="99">
        <v>729.31</v>
      </c>
      <c r="E193" s="99">
        <v>109.31</v>
      </c>
      <c r="F193" s="158">
        <f t="shared" ref="F193:F197" si="88">SUM(B193:E193)</f>
        <v>1142.1</v>
      </c>
      <c r="G193" s="99">
        <v>18.0</v>
      </c>
      <c r="H193" s="99">
        <v>4.0</v>
      </c>
      <c r="I193" s="101">
        <v>100.0</v>
      </c>
    </row>
    <row r="194" ht="12.75" customHeight="1">
      <c r="A194" s="433">
        <f t="shared" ref="A194:A197" si="89">A193+1</f>
        <v>44383</v>
      </c>
      <c r="B194" s="112">
        <v>90.0</v>
      </c>
      <c r="C194" s="124">
        <v>70.69</v>
      </c>
      <c r="D194" s="124">
        <v>630.0</v>
      </c>
      <c r="E194" s="124">
        <v>19.31</v>
      </c>
      <c r="F194" s="158">
        <f t="shared" si="88"/>
        <v>810</v>
      </c>
      <c r="G194" s="124">
        <v>13.0</v>
      </c>
      <c r="H194" s="124">
        <v>1.0</v>
      </c>
      <c r="I194" s="149">
        <v>20.0</v>
      </c>
    </row>
    <row r="195" ht="12.75" customHeight="1">
      <c r="A195" s="433">
        <f t="shared" si="89"/>
        <v>44384</v>
      </c>
      <c r="B195" s="112">
        <v>150.0</v>
      </c>
      <c r="C195" s="124">
        <v>166.81</v>
      </c>
      <c r="D195" s="124">
        <v>760.0</v>
      </c>
      <c r="E195" s="124">
        <v>150.0</v>
      </c>
      <c r="F195" s="158">
        <f t="shared" si="88"/>
        <v>1226.81</v>
      </c>
      <c r="G195" s="124">
        <v>23.0</v>
      </c>
      <c r="H195" s="124">
        <v>2.0</v>
      </c>
      <c r="I195" s="149">
        <v>150.0</v>
      </c>
    </row>
    <row r="196" ht="12.75" customHeight="1">
      <c r="A196" s="433">
        <f t="shared" si="89"/>
        <v>44385</v>
      </c>
      <c r="B196" s="112">
        <v>90.0</v>
      </c>
      <c r="C196" s="124">
        <v>282.76</v>
      </c>
      <c r="D196" s="124">
        <v>1377.93</v>
      </c>
      <c r="E196" s="124">
        <v>140.0</v>
      </c>
      <c r="F196" s="158">
        <f t="shared" si="88"/>
        <v>1890.69</v>
      </c>
      <c r="G196" s="124">
        <v>29.0</v>
      </c>
      <c r="H196" s="124">
        <v>4.0</v>
      </c>
      <c r="I196" s="149">
        <v>130.0</v>
      </c>
    </row>
    <row r="197" ht="12.75" customHeight="1">
      <c r="A197" s="433">
        <f t="shared" si="89"/>
        <v>44386</v>
      </c>
      <c r="B197" s="112">
        <v>90.0</v>
      </c>
      <c r="C197" s="124">
        <v>353.32</v>
      </c>
      <c r="D197" s="124">
        <v>718.15</v>
      </c>
      <c r="E197" s="124">
        <v>120.0</v>
      </c>
      <c r="F197" s="158">
        <f t="shared" si="88"/>
        <v>1281.47</v>
      </c>
      <c r="G197" s="124">
        <v>19.0</v>
      </c>
      <c r="H197" s="124">
        <v>5.0</v>
      </c>
      <c r="I197" s="149">
        <v>120.0</v>
      </c>
    </row>
    <row r="198" ht="12.75" customHeight="1">
      <c r="A198" s="67"/>
      <c r="B198" s="121">
        <f t="shared" ref="B198:I198" si="90">SUM(B193:B197)</f>
        <v>470</v>
      </c>
      <c r="C198" s="121">
        <f t="shared" si="90"/>
        <v>1127.06</v>
      </c>
      <c r="D198" s="121">
        <f t="shared" si="90"/>
        <v>4215.39</v>
      </c>
      <c r="E198" s="121">
        <f t="shared" si="90"/>
        <v>538.62</v>
      </c>
      <c r="F198" s="160">
        <f t="shared" si="90"/>
        <v>6351.07</v>
      </c>
      <c r="G198" s="70">
        <f t="shared" si="90"/>
        <v>102</v>
      </c>
      <c r="H198" s="70">
        <f t="shared" si="90"/>
        <v>16</v>
      </c>
      <c r="I198" s="91">
        <f t="shared" si="90"/>
        <v>520</v>
      </c>
    </row>
    <row r="199" ht="12.75" customHeight="1">
      <c r="A199" s="74"/>
      <c r="B199" s="75"/>
      <c r="C199" s="75"/>
      <c r="D199" s="75"/>
      <c r="E199" s="75"/>
      <c r="F199" s="75"/>
      <c r="G199" s="76"/>
      <c r="H199" s="76"/>
      <c r="I199" s="74"/>
    </row>
    <row r="200" ht="12.75" customHeight="1">
      <c r="A200" s="161">
        <f>A197+3</f>
        <v>44389</v>
      </c>
      <c r="B200" s="112">
        <v>50.0</v>
      </c>
      <c r="C200" s="124">
        <v>148.49</v>
      </c>
      <c r="D200" s="124">
        <v>709.31</v>
      </c>
      <c r="E200" s="124">
        <v>50.0</v>
      </c>
      <c r="F200" s="158">
        <f t="shared" ref="F200:F201" si="91">SUM(B200:E200)</f>
        <v>957.8</v>
      </c>
      <c r="G200" s="124">
        <v>19.0</v>
      </c>
      <c r="H200" s="124">
        <v>3.0</v>
      </c>
      <c r="I200" s="149">
        <v>50.0</v>
      </c>
    </row>
    <row r="201" ht="12.75" customHeight="1">
      <c r="A201" s="162">
        <f t="shared" ref="A201:A204" si="92">A200+1</f>
        <v>44390</v>
      </c>
      <c r="B201" s="112">
        <v>0.0</v>
      </c>
      <c r="C201" s="124">
        <v>204.54</v>
      </c>
      <c r="D201" s="124">
        <v>660.0</v>
      </c>
      <c r="E201" s="124">
        <v>50.0</v>
      </c>
      <c r="F201" s="158">
        <f t="shared" si="91"/>
        <v>914.54</v>
      </c>
      <c r="G201" s="124">
        <v>16.0</v>
      </c>
      <c r="H201" s="124">
        <v>5.0</v>
      </c>
      <c r="I201" s="149">
        <v>50.0</v>
      </c>
    </row>
    <row r="202" ht="12.75" customHeight="1">
      <c r="A202" s="162">
        <f t="shared" si="92"/>
        <v>44391</v>
      </c>
      <c r="B202" s="150"/>
      <c r="C202" s="150"/>
      <c r="D202" s="150"/>
      <c r="E202" s="150"/>
      <c r="F202" s="159"/>
      <c r="G202" s="150"/>
      <c r="H202" s="150"/>
      <c r="I202" s="445"/>
    </row>
    <row r="203" ht="12.75" customHeight="1">
      <c r="A203" s="162">
        <f t="shared" si="92"/>
        <v>44392</v>
      </c>
      <c r="B203" s="112">
        <v>70.0</v>
      </c>
      <c r="C203" s="112">
        <v>181.0</v>
      </c>
      <c r="D203" s="112">
        <v>1010.0</v>
      </c>
      <c r="E203" s="112">
        <v>290.0</v>
      </c>
      <c r="F203" s="158">
        <f t="shared" ref="F203:F204" si="93">SUM(B203:E203)</f>
        <v>1551</v>
      </c>
      <c r="G203" s="112">
        <v>27.0</v>
      </c>
      <c r="H203" s="112">
        <v>4.0</v>
      </c>
      <c r="I203" s="446">
        <v>280.0</v>
      </c>
    </row>
    <row r="204" ht="12.75" customHeight="1">
      <c r="A204" s="163">
        <f t="shared" si="92"/>
        <v>44393</v>
      </c>
      <c r="B204" s="112">
        <v>50.0</v>
      </c>
      <c r="C204" s="112">
        <v>389.69</v>
      </c>
      <c r="D204" s="112">
        <v>968.84</v>
      </c>
      <c r="E204" s="112">
        <v>50.0</v>
      </c>
      <c r="F204" s="158">
        <f t="shared" si="93"/>
        <v>1458.53</v>
      </c>
      <c r="G204" s="112">
        <v>24.0</v>
      </c>
      <c r="H204" s="112">
        <v>6.0</v>
      </c>
      <c r="I204" s="446">
        <v>50.0</v>
      </c>
    </row>
    <row r="205" ht="12.75" customHeight="1">
      <c r="A205" s="67"/>
      <c r="B205" s="68">
        <f t="shared" ref="B205:I205" si="94">SUM(B200:B204)</f>
        <v>170</v>
      </c>
      <c r="C205" s="68">
        <f t="shared" si="94"/>
        <v>923.72</v>
      </c>
      <c r="D205" s="68">
        <f t="shared" si="94"/>
        <v>3348.15</v>
      </c>
      <c r="E205" s="68">
        <f t="shared" si="94"/>
        <v>440</v>
      </c>
      <c r="F205" s="157">
        <f t="shared" si="94"/>
        <v>4881.87</v>
      </c>
      <c r="G205" s="70">
        <f t="shared" si="94"/>
        <v>86</v>
      </c>
      <c r="H205" s="70">
        <f t="shared" si="94"/>
        <v>18</v>
      </c>
      <c r="I205" s="71">
        <f t="shared" si="94"/>
        <v>430</v>
      </c>
    </row>
    <row r="206" ht="12.75" customHeight="1">
      <c r="A206" s="74"/>
      <c r="B206" s="75"/>
      <c r="C206" s="75"/>
      <c r="D206" s="75"/>
      <c r="E206" s="75"/>
      <c r="F206" s="75"/>
      <c r="G206" s="76"/>
      <c r="H206" s="76"/>
      <c r="I206" s="77"/>
    </row>
    <row r="207" ht="12.75" customHeight="1">
      <c r="A207" s="162">
        <f>A204+3</f>
        <v>44396</v>
      </c>
      <c r="B207" s="112">
        <v>370.0</v>
      </c>
      <c r="C207" s="112">
        <v>141.38</v>
      </c>
      <c r="D207" s="112">
        <v>1438.62</v>
      </c>
      <c r="E207" s="112">
        <v>50.0</v>
      </c>
      <c r="F207" s="164">
        <f t="shared" ref="F207:F210" si="95">SUM(B207:E207)</f>
        <v>2000</v>
      </c>
      <c r="G207" s="124">
        <v>29.0</v>
      </c>
      <c r="H207" s="124">
        <v>2.0</v>
      </c>
      <c r="I207" s="446">
        <v>50.0</v>
      </c>
    </row>
    <row r="208" ht="12.75" customHeight="1">
      <c r="A208" s="162">
        <f t="shared" ref="A208:A211" si="96">A207+1</f>
        <v>44397</v>
      </c>
      <c r="B208" s="112">
        <v>100.0</v>
      </c>
      <c r="C208" s="112">
        <v>112.1</v>
      </c>
      <c r="D208" s="112">
        <v>759.31</v>
      </c>
      <c r="E208" s="112">
        <v>0.0</v>
      </c>
      <c r="F208" s="164">
        <f t="shared" si="95"/>
        <v>971.41</v>
      </c>
      <c r="G208" s="124">
        <v>17.0</v>
      </c>
      <c r="H208" s="124">
        <v>2.0</v>
      </c>
      <c r="I208" s="446">
        <v>0.0</v>
      </c>
    </row>
    <row r="209" ht="12.75" customHeight="1">
      <c r="A209" s="162">
        <f t="shared" si="96"/>
        <v>44398</v>
      </c>
      <c r="B209" s="112">
        <v>150.0</v>
      </c>
      <c r="C209" s="112">
        <v>285.14</v>
      </c>
      <c r="D209" s="112">
        <v>678.84</v>
      </c>
      <c r="E209" s="112">
        <v>100.0</v>
      </c>
      <c r="F209" s="164">
        <f t="shared" si="95"/>
        <v>1213.98</v>
      </c>
      <c r="G209" s="124">
        <v>21.0</v>
      </c>
      <c r="H209" s="124">
        <v>4.0</v>
      </c>
      <c r="I209" s="446">
        <v>100.0</v>
      </c>
    </row>
    <row r="210" ht="12.75" customHeight="1">
      <c r="A210" s="162">
        <f t="shared" si="96"/>
        <v>44399</v>
      </c>
      <c r="B210" s="112">
        <v>0.0</v>
      </c>
      <c r="C210" s="112">
        <v>212.07</v>
      </c>
      <c r="D210" s="112">
        <v>888.62</v>
      </c>
      <c r="E210" s="112">
        <v>0.0</v>
      </c>
      <c r="F210" s="164">
        <f t="shared" si="95"/>
        <v>1100.69</v>
      </c>
      <c r="G210" s="124">
        <v>17.0</v>
      </c>
      <c r="H210" s="124">
        <v>3.0</v>
      </c>
      <c r="I210" s="446">
        <v>0.0</v>
      </c>
    </row>
    <row r="211" ht="12.75" customHeight="1">
      <c r="A211" s="162">
        <f t="shared" si="96"/>
        <v>44400</v>
      </c>
      <c r="B211" s="150"/>
      <c r="C211" s="150"/>
      <c r="D211" s="150"/>
      <c r="E211" s="150"/>
      <c r="F211" s="447"/>
      <c r="G211" s="119"/>
      <c r="H211" s="119"/>
      <c r="I211" s="445"/>
    </row>
    <row r="212" ht="12.75" customHeight="1">
      <c r="A212" s="67"/>
      <c r="B212" s="68">
        <f t="shared" ref="B212:I212" si="97">SUM(B207:B211)</f>
        <v>620</v>
      </c>
      <c r="C212" s="68">
        <f t="shared" si="97"/>
        <v>750.69</v>
      </c>
      <c r="D212" s="68">
        <f t="shared" si="97"/>
        <v>3765.39</v>
      </c>
      <c r="E212" s="68">
        <f t="shared" si="97"/>
        <v>150</v>
      </c>
      <c r="F212" s="157">
        <f t="shared" si="97"/>
        <v>5286.08</v>
      </c>
      <c r="G212" s="70">
        <f t="shared" si="97"/>
        <v>84</v>
      </c>
      <c r="H212" s="70">
        <f t="shared" si="97"/>
        <v>11</v>
      </c>
      <c r="I212" s="91">
        <f t="shared" si="97"/>
        <v>150</v>
      </c>
    </row>
    <row r="213" ht="12.75" customHeight="1">
      <c r="A213" s="74"/>
      <c r="B213" s="75"/>
      <c r="C213" s="75"/>
      <c r="D213" s="75"/>
      <c r="E213" s="75"/>
      <c r="F213" s="75"/>
      <c r="G213" s="76"/>
      <c r="H213" s="76"/>
      <c r="I213" s="74"/>
    </row>
    <row r="214" ht="12.75" customHeight="1">
      <c r="A214" s="162">
        <f>A211+3</f>
        <v>44403</v>
      </c>
      <c r="B214" s="112">
        <v>220.0</v>
      </c>
      <c r="C214" s="112">
        <v>395.58</v>
      </c>
      <c r="D214" s="112">
        <v>539.31</v>
      </c>
      <c r="E214" s="112">
        <v>345.0</v>
      </c>
      <c r="F214" s="164">
        <f t="shared" ref="F214:F216" si="98">SUM(B214:E214)</f>
        <v>1499.89</v>
      </c>
      <c r="G214" s="124">
        <v>26.0</v>
      </c>
      <c r="H214" s="124">
        <v>7.0</v>
      </c>
      <c r="I214" s="446">
        <v>340.0</v>
      </c>
    </row>
    <row r="215" ht="12.75" customHeight="1">
      <c r="A215" s="162">
        <f t="shared" ref="A215:A218" si="99">A214+1</f>
        <v>44404</v>
      </c>
      <c r="B215" s="112">
        <v>150.0</v>
      </c>
      <c r="C215" s="112">
        <v>182.79</v>
      </c>
      <c r="D215" s="112">
        <v>339.31</v>
      </c>
      <c r="E215" s="112">
        <v>90.0</v>
      </c>
      <c r="F215" s="164">
        <f t="shared" si="98"/>
        <v>762.1</v>
      </c>
      <c r="G215" s="124">
        <v>13.0</v>
      </c>
      <c r="H215" s="124">
        <v>3.0</v>
      </c>
      <c r="I215" s="446">
        <v>100.0</v>
      </c>
    </row>
    <row r="216" ht="12.75" customHeight="1">
      <c r="A216" s="162">
        <f t="shared" si="99"/>
        <v>44405</v>
      </c>
      <c r="B216" s="112">
        <v>70.0</v>
      </c>
      <c r="C216" s="112">
        <v>189.9</v>
      </c>
      <c r="D216" s="112">
        <v>290.0</v>
      </c>
      <c r="E216" s="112">
        <v>100.0</v>
      </c>
      <c r="F216" s="164">
        <f t="shared" si="98"/>
        <v>649.9</v>
      </c>
      <c r="G216" s="124">
        <v>12.0</v>
      </c>
      <c r="H216" s="124">
        <v>4.0</v>
      </c>
      <c r="I216" s="446">
        <v>100.0</v>
      </c>
    </row>
    <row r="217" ht="12.75" customHeight="1">
      <c r="A217" s="162">
        <f t="shared" si="99"/>
        <v>44406</v>
      </c>
      <c r="B217" s="150"/>
      <c r="C217" s="150"/>
      <c r="D217" s="150"/>
      <c r="E217" s="150"/>
      <c r="F217" s="447"/>
      <c r="G217" s="119"/>
      <c r="H217" s="119"/>
      <c r="I217" s="445"/>
    </row>
    <row r="218" ht="12.75" customHeight="1">
      <c r="A218" s="162">
        <f t="shared" si="99"/>
        <v>44407</v>
      </c>
      <c r="B218" s="150"/>
      <c r="C218" s="150"/>
      <c r="D218" s="150"/>
      <c r="E218" s="150"/>
      <c r="F218" s="447"/>
      <c r="G218" s="119"/>
      <c r="H218" s="119"/>
      <c r="I218" s="445"/>
    </row>
    <row r="219" ht="12.75" customHeight="1">
      <c r="A219" s="67"/>
      <c r="B219" s="68">
        <f t="shared" ref="B219:I219" si="100">SUM(B214:B218)</f>
        <v>440</v>
      </c>
      <c r="C219" s="68">
        <f t="shared" si="100"/>
        <v>768.27</v>
      </c>
      <c r="D219" s="68">
        <f t="shared" si="100"/>
        <v>1168.62</v>
      </c>
      <c r="E219" s="68">
        <f t="shared" si="100"/>
        <v>535</v>
      </c>
      <c r="F219" s="157">
        <f t="shared" si="100"/>
        <v>2911.89</v>
      </c>
      <c r="G219" s="70">
        <f t="shared" si="100"/>
        <v>51</v>
      </c>
      <c r="H219" s="70">
        <f t="shared" si="100"/>
        <v>14</v>
      </c>
      <c r="I219" s="71">
        <f t="shared" si="100"/>
        <v>540</v>
      </c>
    </row>
    <row r="220" ht="12.75" customHeight="1">
      <c r="A220" s="74"/>
      <c r="B220" s="92"/>
      <c r="C220" s="92"/>
      <c r="D220" s="92"/>
      <c r="E220" s="92"/>
      <c r="F220" s="92"/>
      <c r="G220" s="76"/>
      <c r="H220" s="76"/>
      <c r="I220" s="77"/>
    </row>
    <row r="221" ht="12.75" customHeight="1">
      <c r="A221" s="433">
        <v>44410.0</v>
      </c>
      <c r="B221" s="81">
        <v>169.31</v>
      </c>
      <c r="C221" s="81">
        <v>404.48</v>
      </c>
      <c r="D221" s="81">
        <v>1228.62</v>
      </c>
      <c r="E221" s="81">
        <v>119.31</v>
      </c>
      <c r="F221" s="156">
        <f t="shared" ref="F221:F225" si="101">SUM(B221:E221)</f>
        <v>1921.72</v>
      </c>
      <c r="G221" s="81">
        <v>31.0</v>
      </c>
      <c r="H221" s="81">
        <v>7.0</v>
      </c>
      <c r="I221" s="83">
        <v>100.0</v>
      </c>
    </row>
    <row r="222" ht="12.75" customHeight="1">
      <c r="A222" s="433">
        <f t="shared" ref="A222:A225" si="102">A221+1</f>
        <v>44411</v>
      </c>
      <c r="B222" s="81">
        <v>0.0</v>
      </c>
      <c r="C222" s="81">
        <v>70.69</v>
      </c>
      <c r="D222" s="81">
        <v>559.31</v>
      </c>
      <c r="E222" s="81">
        <v>0.0</v>
      </c>
      <c r="F222" s="156">
        <f t="shared" si="101"/>
        <v>630</v>
      </c>
      <c r="G222" s="81">
        <v>11.0</v>
      </c>
      <c r="H222" s="81">
        <v>1.0</v>
      </c>
      <c r="I222" s="83">
        <v>0.0</v>
      </c>
    </row>
    <row r="223" ht="12.75" customHeight="1">
      <c r="A223" s="433">
        <f t="shared" si="102"/>
        <v>44412</v>
      </c>
      <c r="B223" s="81">
        <v>100.0</v>
      </c>
      <c r="C223" s="81">
        <v>148.49</v>
      </c>
      <c r="D223" s="81">
        <v>540.0</v>
      </c>
      <c r="E223" s="81">
        <v>0.0</v>
      </c>
      <c r="F223" s="156">
        <f t="shared" si="101"/>
        <v>788.49</v>
      </c>
      <c r="G223" s="81">
        <v>15.0</v>
      </c>
      <c r="H223" s="81">
        <v>3.0</v>
      </c>
      <c r="I223" s="83">
        <v>0.0</v>
      </c>
    </row>
    <row r="224" ht="12.75" customHeight="1">
      <c r="A224" s="433">
        <f t="shared" si="102"/>
        <v>44413</v>
      </c>
      <c r="B224" s="81">
        <v>310.0</v>
      </c>
      <c r="C224" s="81">
        <v>307.02</v>
      </c>
      <c r="D224" s="81">
        <v>1098.62</v>
      </c>
      <c r="E224" s="81">
        <v>150.0</v>
      </c>
      <c r="F224" s="156">
        <f t="shared" si="101"/>
        <v>1865.64</v>
      </c>
      <c r="G224" s="81">
        <v>32.0</v>
      </c>
      <c r="H224" s="81">
        <v>6.0</v>
      </c>
      <c r="I224" s="83">
        <v>150.0</v>
      </c>
    </row>
    <row r="225" ht="12.75" customHeight="1">
      <c r="A225" s="433">
        <f t="shared" si="102"/>
        <v>44414</v>
      </c>
      <c r="B225" s="89">
        <v>50.0</v>
      </c>
      <c r="C225" s="89">
        <v>224.2</v>
      </c>
      <c r="D225" s="89">
        <v>690.0</v>
      </c>
      <c r="E225" s="89">
        <v>210.0</v>
      </c>
      <c r="F225" s="156">
        <f t="shared" si="101"/>
        <v>1174.2</v>
      </c>
      <c r="G225" s="89">
        <v>23.0</v>
      </c>
      <c r="H225" s="89">
        <v>4.0</v>
      </c>
      <c r="I225" s="90">
        <v>210.0</v>
      </c>
    </row>
    <row r="226" ht="12.75" customHeight="1">
      <c r="A226" s="131"/>
      <c r="B226" s="91">
        <f t="shared" ref="B226:I226" si="103">SUM(B221:B225)</f>
        <v>629.31</v>
      </c>
      <c r="C226" s="91">
        <f t="shared" si="103"/>
        <v>1154.88</v>
      </c>
      <c r="D226" s="91">
        <f t="shared" si="103"/>
        <v>4116.55</v>
      </c>
      <c r="E226" s="91">
        <f t="shared" si="103"/>
        <v>479.31</v>
      </c>
      <c r="F226" s="157">
        <f t="shared" si="103"/>
        <v>6380.05</v>
      </c>
      <c r="G226" s="218">
        <f t="shared" si="103"/>
        <v>112</v>
      </c>
      <c r="H226" s="218">
        <f t="shared" si="103"/>
        <v>21</v>
      </c>
      <c r="I226" s="91">
        <f t="shared" si="103"/>
        <v>460</v>
      </c>
    </row>
    <row r="227" ht="12.75" customHeight="1">
      <c r="A227" s="148"/>
      <c r="B227" s="74"/>
      <c r="C227" s="74"/>
      <c r="D227" s="74"/>
      <c r="E227" s="74"/>
      <c r="F227" s="75"/>
      <c r="G227" s="74"/>
      <c r="H227" s="74"/>
      <c r="I227" s="74"/>
    </row>
    <row r="228" ht="12.75" customHeight="1">
      <c r="A228" s="161">
        <f>A225+3</f>
        <v>44417</v>
      </c>
      <c r="B228" s="150"/>
      <c r="C228" s="138"/>
      <c r="D228" s="138"/>
      <c r="E228" s="138"/>
      <c r="F228" s="151"/>
      <c r="G228" s="138"/>
      <c r="H228" s="138"/>
      <c r="I228" s="146"/>
    </row>
    <row r="229" ht="12.75" customHeight="1">
      <c r="A229" s="162">
        <f t="shared" ref="A229:A232" si="104">A228+1</f>
        <v>44418</v>
      </c>
      <c r="B229" s="150"/>
      <c r="C229" s="119"/>
      <c r="D229" s="119"/>
      <c r="E229" s="119"/>
      <c r="F229" s="196"/>
      <c r="G229" s="84"/>
      <c r="H229" s="84"/>
      <c r="I229" s="86"/>
    </row>
    <row r="230" ht="12.75" customHeight="1">
      <c r="A230" s="162">
        <f t="shared" si="104"/>
        <v>44419</v>
      </c>
      <c r="B230" s="150"/>
      <c r="C230" s="119"/>
      <c r="D230" s="119"/>
      <c r="E230" s="119"/>
      <c r="F230" s="196"/>
      <c r="G230" s="84"/>
      <c r="H230" s="84"/>
      <c r="I230" s="86"/>
    </row>
    <row r="231" ht="12.75" customHeight="1">
      <c r="A231" s="162">
        <f t="shared" si="104"/>
        <v>44420</v>
      </c>
      <c r="B231" s="150"/>
      <c r="C231" s="119"/>
      <c r="D231" s="119"/>
      <c r="E231" s="119"/>
      <c r="F231" s="196"/>
      <c r="G231" s="84"/>
      <c r="H231" s="84"/>
      <c r="I231" s="86"/>
    </row>
    <row r="232" ht="12.75" customHeight="1">
      <c r="A232" s="163">
        <f t="shared" si="104"/>
        <v>44421</v>
      </c>
      <c r="B232" s="169"/>
      <c r="C232" s="170"/>
      <c r="D232" s="170"/>
      <c r="E232" s="170"/>
      <c r="F232" s="196"/>
      <c r="G232" s="172"/>
      <c r="H232" s="172"/>
      <c r="I232" s="173"/>
    </row>
    <row r="233" ht="12.75" customHeight="1">
      <c r="A233" s="67"/>
      <c r="B233" s="179">
        <f t="shared" ref="B233:I233" si="105">SUM(B228:B232)</f>
        <v>0</v>
      </c>
      <c r="C233" s="179">
        <f t="shared" si="105"/>
        <v>0</v>
      </c>
      <c r="D233" s="179">
        <f t="shared" si="105"/>
        <v>0</v>
      </c>
      <c r="E233" s="179">
        <f t="shared" si="105"/>
        <v>0</v>
      </c>
      <c r="F233" s="157">
        <f t="shared" si="105"/>
        <v>0</v>
      </c>
      <c r="G233" s="180">
        <f t="shared" si="105"/>
        <v>0</v>
      </c>
      <c r="H233" s="180">
        <f t="shared" si="105"/>
        <v>0</v>
      </c>
      <c r="I233" s="179">
        <f t="shared" si="105"/>
        <v>0</v>
      </c>
    </row>
    <row r="234" ht="12.75" customHeight="1">
      <c r="A234" s="74"/>
      <c r="B234" s="74"/>
      <c r="C234" s="74"/>
      <c r="D234" s="74"/>
      <c r="E234" s="74"/>
      <c r="F234" s="75"/>
      <c r="G234" s="74"/>
      <c r="H234" s="74"/>
      <c r="I234" s="74"/>
    </row>
    <row r="235" ht="12.75" customHeight="1">
      <c r="A235" s="433">
        <f>A232+3</f>
        <v>44424</v>
      </c>
      <c r="B235" s="175"/>
      <c r="C235" s="176"/>
      <c r="D235" s="176"/>
      <c r="E235" s="176"/>
      <c r="F235" s="177"/>
      <c r="G235" s="176"/>
      <c r="H235" s="176"/>
      <c r="I235" s="178"/>
    </row>
    <row r="236" ht="12.75" customHeight="1">
      <c r="A236" s="162">
        <f t="shared" ref="A236:A239" si="106">A235+1</f>
        <v>44425</v>
      </c>
      <c r="B236" s="150"/>
      <c r="C236" s="119"/>
      <c r="D236" s="119"/>
      <c r="E236" s="119"/>
      <c r="F236" s="196"/>
      <c r="G236" s="84"/>
      <c r="H236" s="84"/>
      <c r="I236" s="86"/>
    </row>
    <row r="237" ht="12.75" customHeight="1">
      <c r="A237" s="433">
        <f t="shared" si="106"/>
        <v>44426</v>
      </c>
      <c r="B237" s="150"/>
      <c r="C237" s="119"/>
      <c r="D237" s="119"/>
      <c r="E237" s="119"/>
      <c r="F237" s="196"/>
      <c r="G237" s="84"/>
      <c r="H237" s="84"/>
      <c r="I237" s="86"/>
    </row>
    <row r="238" ht="12.75" customHeight="1">
      <c r="A238" s="162">
        <f t="shared" si="106"/>
        <v>44427</v>
      </c>
      <c r="B238" s="150"/>
      <c r="C238" s="119"/>
      <c r="D238" s="119"/>
      <c r="E238" s="119"/>
      <c r="F238" s="196"/>
      <c r="G238" s="84"/>
      <c r="H238" s="84"/>
      <c r="I238" s="86"/>
    </row>
    <row r="239" ht="12.75" customHeight="1">
      <c r="A239" s="433">
        <f t="shared" si="106"/>
        <v>44428</v>
      </c>
      <c r="B239" s="169"/>
      <c r="C239" s="170"/>
      <c r="D239" s="170"/>
      <c r="E239" s="170"/>
      <c r="F239" s="196"/>
      <c r="G239" s="172"/>
      <c r="H239" s="172"/>
      <c r="I239" s="173"/>
    </row>
    <row r="240" ht="12.75" customHeight="1">
      <c r="A240" s="67"/>
      <c r="B240" s="179">
        <f t="shared" ref="B240:I240" si="107">SUM(B232:B239)</f>
        <v>0</v>
      </c>
      <c r="C240" s="179">
        <f t="shared" si="107"/>
        <v>0</v>
      </c>
      <c r="D240" s="179">
        <f t="shared" si="107"/>
        <v>0</v>
      </c>
      <c r="E240" s="179">
        <f t="shared" si="107"/>
        <v>0</v>
      </c>
      <c r="F240" s="157">
        <f t="shared" si="107"/>
        <v>0</v>
      </c>
      <c r="G240" s="180">
        <f t="shared" si="107"/>
        <v>0</v>
      </c>
      <c r="H240" s="180">
        <f t="shared" si="107"/>
        <v>0</v>
      </c>
      <c r="I240" s="179">
        <f t="shared" si="107"/>
        <v>0</v>
      </c>
    </row>
    <row r="241" ht="12.75" customHeight="1">
      <c r="A241" s="74"/>
      <c r="B241" s="94"/>
      <c r="C241" s="94"/>
      <c r="D241" s="94"/>
      <c r="E241" s="94"/>
      <c r="F241" s="75"/>
      <c r="G241" s="94"/>
      <c r="H241" s="94"/>
      <c r="I241" s="94"/>
    </row>
    <row r="242" ht="12.75" customHeight="1">
      <c r="A242" s="433">
        <f>A239+3</f>
        <v>44431</v>
      </c>
      <c r="B242" s="98">
        <v>100.0</v>
      </c>
      <c r="C242" s="99">
        <v>519.09</v>
      </c>
      <c r="D242" s="99">
        <v>729.31</v>
      </c>
      <c r="E242" s="99">
        <v>100.0</v>
      </c>
      <c r="F242" s="156">
        <f t="shared" ref="F242:F246" si="108">SUM(B242:E242)</f>
        <v>1448.4</v>
      </c>
      <c r="G242" s="99">
        <v>27.0</v>
      </c>
      <c r="H242" s="99">
        <v>9.0</v>
      </c>
      <c r="I242" s="101">
        <v>100.0</v>
      </c>
    </row>
    <row r="243" ht="12.75" customHeight="1">
      <c r="A243" s="433">
        <f t="shared" ref="A243:A246" si="109">A242+1</f>
        <v>44432</v>
      </c>
      <c r="B243" s="98">
        <v>119.31</v>
      </c>
      <c r="C243" s="99">
        <v>477.68</v>
      </c>
      <c r="D243" s="99">
        <v>760.0</v>
      </c>
      <c r="E243" s="99">
        <v>50.0</v>
      </c>
      <c r="F243" s="156">
        <f t="shared" si="108"/>
        <v>1406.99</v>
      </c>
      <c r="G243" s="99">
        <v>25.0</v>
      </c>
      <c r="H243" s="99">
        <v>8.0</v>
      </c>
      <c r="I243" s="101">
        <v>50.0</v>
      </c>
    </row>
    <row r="244" ht="12.75" customHeight="1">
      <c r="A244" s="433">
        <f t="shared" si="109"/>
        <v>44433</v>
      </c>
      <c r="B244" s="98">
        <v>50.0</v>
      </c>
      <c r="C244" s="99">
        <v>219.9</v>
      </c>
      <c r="D244" s="99">
        <v>540.0</v>
      </c>
      <c r="E244" s="99">
        <v>250.0</v>
      </c>
      <c r="F244" s="156">
        <f t="shared" si="108"/>
        <v>1059.9</v>
      </c>
      <c r="G244" s="99">
        <v>21.0</v>
      </c>
      <c r="H244" s="99">
        <v>5.0</v>
      </c>
      <c r="I244" s="101">
        <v>250.0</v>
      </c>
    </row>
    <row r="245" ht="12.75" customHeight="1">
      <c r="A245" s="433">
        <f t="shared" si="109"/>
        <v>44434</v>
      </c>
      <c r="B245" s="98">
        <v>19.31</v>
      </c>
      <c r="C245" s="99">
        <v>336.3</v>
      </c>
      <c r="D245" s="99">
        <v>1268.62</v>
      </c>
      <c r="E245" s="99">
        <v>50.0</v>
      </c>
      <c r="F245" s="156">
        <f t="shared" si="108"/>
        <v>1674.23</v>
      </c>
      <c r="G245" s="99">
        <v>29.0</v>
      </c>
      <c r="H245" s="99">
        <v>6.0</v>
      </c>
      <c r="I245" s="101">
        <v>50.0</v>
      </c>
    </row>
    <row r="246" ht="12.75" customHeight="1">
      <c r="A246" s="433">
        <f t="shared" si="109"/>
        <v>44435</v>
      </c>
      <c r="B246" s="98">
        <v>50.0</v>
      </c>
      <c r="C246" s="99">
        <v>388.5</v>
      </c>
      <c r="D246" s="99">
        <v>718.62</v>
      </c>
      <c r="E246" s="99">
        <v>280.0</v>
      </c>
      <c r="F246" s="156">
        <f t="shared" si="108"/>
        <v>1437.12</v>
      </c>
      <c r="G246" s="99">
        <v>25.0</v>
      </c>
      <c r="H246" s="99">
        <v>6.0</v>
      </c>
      <c r="I246" s="101">
        <v>280.0</v>
      </c>
    </row>
    <row r="247" ht="12.75" customHeight="1">
      <c r="A247" s="67"/>
      <c r="B247" s="145">
        <f t="shared" ref="B247:I247" si="110">SUM(B242:B246)</f>
        <v>338.62</v>
      </c>
      <c r="C247" s="145">
        <f t="shared" si="110"/>
        <v>1941.47</v>
      </c>
      <c r="D247" s="145">
        <f t="shared" si="110"/>
        <v>4016.55</v>
      </c>
      <c r="E247" s="145">
        <f t="shared" si="110"/>
        <v>730</v>
      </c>
      <c r="F247" s="157">
        <f t="shared" si="110"/>
        <v>7026.64</v>
      </c>
      <c r="G247" s="174">
        <f t="shared" si="110"/>
        <v>127</v>
      </c>
      <c r="H247" s="174">
        <f t="shared" si="110"/>
        <v>34</v>
      </c>
      <c r="I247" s="174">
        <f t="shared" si="110"/>
        <v>730</v>
      </c>
    </row>
    <row r="248" ht="12.75" customHeight="1">
      <c r="A248" s="74"/>
      <c r="B248" s="74"/>
      <c r="C248" s="74"/>
      <c r="D248" s="74"/>
      <c r="E248" s="74"/>
      <c r="F248" s="75"/>
      <c r="G248" s="74"/>
      <c r="H248" s="74"/>
      <c r="I248" s="74"/>
    </row>
    <row r="249" ht="12.75" customHeight="1">
      <c r="A249" s="433">
        <f>A246+3</f>
        <v>44438</v>
      </c>
      <c r="B249" s="189">
        <v>150.0</v>
      </c>
      <c r="C249" s="189">
        <v>499.43</v>
      </c>
      <c r="D249" s="189">
        <v>790.0</v>
      </c>
      <c r="E249" s="189">
        <v>119.31</v>
      </c>
      <c r="F249" s="156">
        <f t="shared" ref="F249:F250" si="111">SUM(B249:E249)</f>
        <v>1558.74</v>
      </c>
      <c r="G249" s="59">
        <v>28.0</v>
      </c>
      <c r="H249" s="59">
        <v>10.0</v>
      </c>
      <c r="I249" s="448">
        <v>120.0</v>
      </c>
    </row>
    <row r="250" ht="12.75" customHeight="1">
      <c r="A250" s="433">
        <f>A249+1</f>
        <v>44439</v>
      </c>
      <c r="B250" s="66">
        <v>0.0</v>
      </c>
      <c r="C250" s="189">
        <v>284.2</v>
      </c>
      <c r="D250" s="189">
        <v>709.31</v>
      </c>
      <c r="E250" s="189">
        <v>100.0</v>
      </c>
      <c r="F250" s="156">
        <f t="shared" si="111"/>
        <v>1093.51</v>
      </c>
      <c r="G250" s="59">
        <v>24.0</v>
      </c>
      <c r="H250" s="59">
        <v>6.0</v>
      </c>
      <c r="I250" s="448">
        <v>100.0</v>
      </c>
    </row>
    <row r="251" ht="12.75" customHeight="1">
      <c r="A251" s="67"/>
      <c r="B251" s="145">
        <f>SUM(B249)</f>
        <v>150</v>
      </c>
      <c r="C251" s="145">
        <f t="shared" ref="C251:I251" si="112">SUM(C249:C250)</f>
        <v>783.63</v>
      </c>
      <c r="D251" s="145">
        <f t="shared" si="112"/>
        <v>1499.31</v>
      </c>
      <c r="E251" s="145">
        <f t="shared" si="112"/>
        <v>219.31</v>
      </c>
      <c r="F251" s="145">
        <f t="shared" si="112"/>
        <v>2652.25</v>
      </c>
      <c r="G251" s="407">
        <f t="shared" si="112"/>
        <v>52</v>
      </c>
      <c r="H251" s="407">
        <f t="shared" si="112"/>
        <v>16</v>
      </c>
      <c r="I251" s="145">
        <f t="shared" si="112"/>
        <v>220</v>
      </c>
    </row>
    <row r="252" ht="12.75" customHeight="1">
      <c r="A252" s="74"/>
      <c r="B252" s="74"/>
      <c r="C252" s="74"/>
      <c r="D252" s="74"/>
      <c r="E252" s="74"/>
      <c r="F252" s="74"/>
      <c r="G252" s="76"/>
      <c r="H252" s="76"/>
      <c r="I252" s="74"/>
    </row>
    <row r="253" ht="12.75" customHeight="1">
      <c r="A253" s="421">
        <f>A250+1</f>
        <v>44440</v>
      </c>
      <c r="B253" s="449">
        <v>100.0</v>
      </c>
      <c r="C253" s="449">
        <v>203.2</v>
      </c>
      <c r="D253" s="449">
        <v>540.0</v>
      </c>
      <c r="E253" s="449">
        <v>70.0</v>
      </c>
      <c r="F253" s="158">
        <v>913.2</v>
      </c>
      <c r="G253" s="124">
        <v>18.0</v>
      </c>
      <c r="H253" s="124">
        <v>3.0</v>
      </c>
      <c r="I253" s="450">
        <v>70.0</v>
      </c>
    </row>
    <row r="254" ht="12.75" customHeight="1">
      <c r="A254" s="421">
        <f t="shared" ref="A254:A255" si="113">A253+1</f>
        <v>44441</v>
      </c>
      <c r="B254" s="449">
        <v>100.0</v>
      </c>
      <c r="C254" s="449">
        <v>315.1</v>
      </c>
      <c r="D254" s="449">
        <v>1059.82</v>
      </c>
      <c r="E254" s="449">
        <v>150.0</v>
      </c>
      <c r="F254" s="158">
        <v>1624.92</v>
      </c>
      <c r="G254" s="124">
        <v>28.0</v>
      </c>
      <c r="H254" s="124">
        <v>6.0</v>
      </c>
      <c r="I254" s="450">
        <v>150.0</v>
      </c>
    </row>
    <row r="255" ht="12.75" customHeight="1">
      <c r="A255" s="421">
        <f t="shared" si="113"/>
        <v>44442</v>
      </c>
      <c r="B255" s="449">
        <v>90.0</v>
      </c>
      <c r="C255" s="449">
        <v>153.51</v>
      </c>
      <c r="D255" s="449">
        <v>1210.0</v>
      </c>
      <c r="E255" s="449">
        <v>0.0</v>
      </c>
      <c r="F255" s="158">
        <v>1453.51</v>
      </c>
      <c r="G255" s="124">
        <v>25.0</v>
      </c>
      <c r="H255" s="124">
        <v>3.0</v>
      </c>
      <c r="I255" s="450">
        <v>0.0</v>
      </c>
    </row>
    <row r="256" ht="12.75" customHeight="1">
      <c r="A256" s="67"/>
      <c r="B256" s="157">
        <v>290.0</v>
      </c>
      <c r="C256" s="190">
        <v>671.81</v>
      </c>
      <c r="D256" s="190">
        <v>2809.82</v>
      </c>
      <c r="E256" s="190">
        <v>220.0</v>
      </c>
      <c r="F256" s="190">
        <v>3991.63</v>
      </c>
      <c r="G256" s="133">
        <v>71.0</v>
      </c>
      <c r="H256" s="451">
        <v>12.0</v>
      </c>
      <c r="I256" s="188">
        <v>220.0</v>
      </c>
    </row>
    <row r="257" ht="12.75" customHeight="1">
      <c r="A257" s="74"/>
      <c r="B257" s="75"/>
      <c r="C257" s="136"/>
      <c r="D257" s="136"/>
      <c r="E257" s="136"/>
      <c r="F257" s="136"/>
      <c r="G257" s="136"/>
      <c r="H257" s="137"/>
      <c r="I257" s="74"/>
    </row>
    <row r="258" ht="12.75" customHeight="1">
      <c r="A258" s="433">
        <f>A255+3</f>
        <v>44445</v>
      </c>
      <c r="B258" s="189">
        <v>0.0</v>
      </c>
      <c r="C258" s="449">
        <v>70.69</v>
      </c>
      <c r="D258" s="449">
        <v>469.31</v>
      </c>
      <c r="E258" s="449">
        <v>340.0</v>
      </c>
      <c r="F258" s="158">
        <v>880.0</v>
      </c>
      <c r="G258" s="124">
        <v>17.0</v>
      </c>
      <c r="H258" s="124">
        <v>1.0</v>
      </c>
      <c r="I258" s="450">
        <v>340.0</v>
      </c>
    </row>
    <row r="259" ht="12.75" customHeight="1">
      <c r="A259" s="433">
        <f t="shared" ref="A259:A262" si="114">A258+1</f>
        <v>44446</v>
      </c>
      <c r="B259" s="189">
        <v>50.0</v>
      </c>
      <c r="C259" s="449">
        <v>70.69</v>
      </c>
      <c r="D259" s="449">
        <v>350.0</v>
      </c>
      <c r="E259" s="449">
        <v>120.0</v>
      </c>
      <c r="F259" s="158">
        <v>590.69</v>
      </c>
      <c r="G259" s="124">
        <v>11.0</v>
      </c>
      <c r="H259" s="124">
        <v>1.0</v>
      </c>
      <c r="I259" s="450">
        <v>120.0</v>
      </c>
    </row>
    <row r="260" ht="12.75" customHeight="1">
      <c r="A260" s="433">
        <f t="shared" si="114"/>
        <v>44447</v>
      </c>
      <c r="B260" s="189">
        <v>150.0</v>
      </c>
      <c r="C260" s="449">
        <v>121.72</v>
      </c>
      <c r="D260" s="449">
        <v>360.0</v>
      </c>
      <c r="E260" s="449">
        <v>190.0</v>
      </c>
      <c r="F260" s="158">
        <v>821.72</v>
      </c>
      <c r="G260" s="124">
        <v>15.0</v>
      </c>
      <c r="H260" s="124">
        <v>3.0</v>
      </c>
      <c r="I260" s="450">
        <v>190.0</v>
      </c>
    </row>
    <row r="261" ht="12.75" customHeight="1">
      <c r="A261" s="433">
        <f t="shared" si="114"/>
        <v>44448</v>
      </c>
      <c r="B261" s="189">
        <v>0.0</v>
      </c>
      <c r="C261" s="449">
        <v>353.45</v>
      </c>
      <c r="D261" s="449">
        <v>518.62</v>
      </c>
      <c r="E261" s="449">
        <v>88.62</v>
      </c>
      <c r="F261" s="158">
        <v>960.69</v>
      </c>
      <c r="G261" s="124">
        <v>14.0</v>
      </c>
      <c r="H261" s="124">
        <v>5.0</v>
      </c>
      <c r="I261" s="450">
        <v>90.0</v>
      </c>
    </row>
    <row r="262" ht="12.75" customHeight="1">
      <c r="A262" s="433">
        <f t="shared" si="114"/>
        <v>44449</v>
      </c>
      <c r="B262" s="452"/>
      <c r="C262" s="453"/>
      <c r="D262" s="453"/>
      <c r="E262" s="453"/>
      <c r="F262" s="453">
        <v>0.0</v>
      </c>
      <c r="G262" s="394"/>
      <c r="H262" s="394"/>
      <c r="I262" s="454"/>
    </row>
    <row r="263" ht="12.75" customHeight="1">
      <c r="A263" s="67"/>
      <c r="B263" s="157">
        <v>200.0</v>
      </c>
      <c r="C263" s="190">
        <v>616.55</v>
      </c>
      <c r="D263" s="190">
        <v>1697.93</v>
      </c>
      <c r="E263" s="190">
        <v>738.62</v>
      </c>
      <c r="F263" s="190">
        <v>3253.1</v>
      </c>
      <c r="G263" s="133">
        <v>57.0</v>
      </c>
      <c r="H263" s="451">
        <v>10.0</v>
      </c>
      <c r="I263" s="188">
        <v>740.0</v>
      </c>
    </row>
    <row r="264" ht="12.75" customHeight="1">
      <c r="A264" s="74"/>
      <c r="B264" s="75"/>
      <c r="C264" s="136"/>
      <c r="D264" s="136"/>
      <c r="E264" s="136"/>
      <c r="F264" s="136"/>
      <c r="G264" s="136"/>
      <c r="H264" s="137"/>
      <c r="I264" s="74"/>
    </row>
    <row r="265" ht="12.75" customHeight="1">
      <c r="A265" s="433">
        <f>A262+3</f>
        <v>44452</v>
      </c>
      <c r="B265" s="189">
        <v>270.0</v>
      </c>
      <c r="C265" s="449">
        <v>404.48</v>
      </c>
      <c r="D265" s="449">
        <v>1098.62</v>
      </c>
      <c r="E265" s="449">
        <v>140.0</v>
      </c>
      <c r="F265" s="158">
        <v>1913.1</v>
      </c>
      <c r="G265" s="124">
        <v>30.0</v>
      </c>
      <c r="H265" s="124">
        <v>7.0</v>
      </c>
      <c r="I265" s="450">
        <v>150.0</v>
      </c>
    </row>
    <row r="266" ht="12.75" customHeight="1">
      <c r="A266" s="455">
        <f t="shared" ref="A266:A269" si="115">A265+1</f>
        <v>44453</v>
      </c>
      <c r="B266" s="189">
        <v>140.0</v>
      </c>
      <c r="C266" s="449">
        <v>212.79</v>
      </c>
      <c r="D266" s="449">
        <v>468.62</v>
      </c>
      <c r="E266" s="449">
        <v>50.0</v>
      </c>
      <c r="F266" s="158">
        <v>871.41</v>
      </c>
      <c r="G266" s="124">
        <v>15.0</v>
      </c>
      <c r="H266" s="124">
        <v>4.0</v>
      </c>
      <c r="I266" s="450">
        <v>60.0</v>
      </c>
    </row>
    <row r="267" ht="12.75" customHeight="1">
      <c r="A267" s="455">
        <f t="shared" si="115"/>
        <v>44454</v>
      </c>
      <c r="B267" s="189">
        <v>190.0</v>
      </c>
      <c r="C267" s="449">
        <v>197.01</v>
      </c>
      <c r="D267" s="449">
        <v>300.0</v>
      </c>
      <c r="E267" s="449">
        <v>0.0</v>
      </c>
      <c r="F267" s="158">
        <v>687.01</v>
      </c>
      <c r="G267" s="124">
        <v>14.0</v>
      </c>
      <c r="H267" s="124">
        <v>5.0</v>
      </c>
      <c r="I267" s="450">
        <v>0.0</v>
      </c>
    </row>
    <row r="268" ht="12.75" customHeight="1">
      <c r="A268" s="455">
        <f t="shared" si="115"/>
        <v>44455</v>
      </c>
      <c r="B268" s="189">
        <v>159.31</v>
      </c>
      <c r="C268" s="449">
        <v>477.68</v>
      </c>
      <c r="D268" s="449">
        <v>1078.62</v>
      </c>
      <c r="E268" s="449">
        <v>330.0</v>
      </c>
      <c r="F268" s="158">
        <v>2045.61</v>
      </c>
      <c r="G268" s="124">
        <v>31.0</v>
      </c>
      <c r="H268" s="124">
        <v>8.0</v>
      </c>
      <c r="I268" s="450">
        <v>320.0</v>
      </c>
    </row>
    <row r="269" ht="12.75" customHeight="1">
      <c r="A269" s="455">
        <f t="shared" si="115"/>
        <v>44456</v>
      </c>
      <c r="B269" s="189">
        <v>109.31</v>
      </c>
      <c r="C269" s="449">
        <v>445.89</v>
      </c>
      <c r="D269" s="449">
        <v>607.93</v>
      </c>
      <c r="E269" s="449">
        <v>150.0</v>
      </c>
      <c r="F269" s="449">
        <v>1313.13</v>
      </c>
      <c r="G269" s="124">
        <v>24.0</v>
      </c>
      <c r="H269" s="124">
        <v>8.0</v>
      </c>
      <c r="I269" s="450">
        <v>150.0</v>
      </c>
    </row>
    <row r="270" ht="12.75" customHeight="1">
      <c r="A270" s="67"/>
      <c r="B270" s="157">
        <v>868.62</v>
      </c>
      <c r="C270" s="190">
        <v>1737.85</v>
      </c>
      <c r="D270" s="190">
        <v>3553.79</v>
      </c>
      <c r="E270" s="190">
        <v>670.0</v>
      </c>
      <c r="F270" s="190">
        <v>6830.26</v>
      </c>
      <c r="G270" s="133">
        <v>114.0</v>
      </c>
      <c r="H270" s="451">
        <v>32.0</v>
      </c>
      <c r="I270" s="188">
        <v>680.0</v>
      </c>
    </row>
    <row r="271" ht="12.75" customHeight="1">
      <c r="A271" s="74"/>
      <c r="B271" s="75"/>
      <c r="C271" s="136"/>
      <c r="D271" s="136"/>
      <c r="E271" s="136"/>
      <c r="F271" s="136"/>
      <c r="G271" s="136"/>
      <c r="H271" s="137"/>
      <c r="I271" s="74"/>
    </row>
    <row r="272" ht="12.75" customHeight="1">
      <c r="A272" s="198">
        <f>A269+3</f>
        <v>44459</v>
      </c>
      <c r="B272" s="181">
        <v>140.0</v>
      </c>
      <c r="C272" s="181">
        <v>253.48</v>
      </c>
      <c r="D272" s="181">
        <v>668.62</v>
      </c>
      <c r="E272" s="456">
        <v>50.0</v>
      </c>
      <c r="F272" s="156">
        <v>1112.1</v>
      </c>
      <c r="G272" s="124">
        <v>16.0</v>
      </c>
      <c r="H272" s="124">
        <v>4.0</v>
      </c>
      <c r="I272" s="450">
        <v>50.0</v>
      </c>
    </row>
    <row r="273" ht="12.75" customHeight="1">
      <c r="A273" s="457">
        <f t="shared" ref="A273:A276" si="116">A272+1</f>
        <v>44460</v>
      </c>
      <c r="B273" s="203">
        <v>140.0</v>
      </c>
      <c r="C273" s="203">
        <v>182.79</v>
      </c>
      <c r="D273" s="203">
        <v>708.62</v>
      </c>
      <c r="E273" s="458">
        <v>0.0</v>
      </c>
      <c r="F273" s="156">
        <v>1031.41</v>
      </c>
      <c r="G273" s="202">
        <v>17.0</v>
      </c>
      <c r="H273" s="202">
        <v>3.0</v>
      </c>
      <c r="I273" s="459">
        <v>0.0</v>
      </c>
    </row>
    <row r="274" ht="12.75" customHeight="1">
      <c r="A274" s="457">
        <f t="shared" si="116"/>
        <v>44461</v>
      </c>
      <c r="B274" s="203">
        <v>50.0</v>
      </c>
      <c r="C274" s="203">
        <v>0.0</v>
      </c>
      <c r="D274" s="203">
        <v>480.0</v>
      </c>
      <c r="E274" s="458">
        <v>100.0</v>
      </c>
      <c r="F274" s="156">
        <v>630.0</v>
      </c>
      <c r="G274" s="181">
        <v>13.0</v>
      </c>
      <c r="H274" s="181">
        <v>0.0</v>
      </c>
      <c r="I274" s="460">
        <v>100.0</v>
      </c>
    </row>
    <row r="275" ht="12.75" customHeight="1">
      <c r="A275" s="457">
        <f t="shared" si="116"/>
        <v>44462</v>
      </c>
      <c r="B275" s="203">
        <v>180.0</v>
      </c>
      <c r="C275" s="203">
        <v>153.51</v>
      </c>
      <c r="D275" s="203">
        <v>909.31</v>
      </c>
      <c r="E275" s="458">
        <v>150.0</v>
      </c>
      <c r="F275" s="156">
        <v>1392.82</v>
      </c>
      <c r="G275" s="203">
        <v>24.0</v>
      </c>
      <c r="H275" s="203">
        <v>3.0</v>
      </c>
      <c r="I275" s="461">
        <v>150.0</v>
      </c>
    </row>
    <row r="276" ht="12.75" customHeight="1">
      <c r="A276" s="457">
        <f t="shared" si="116"/>
        <v>44463</v>
      </c>
      <c r="B276" s="413">
        <v>100.0</v>
      </c>
      <c r="C276" s="413">
        <v>325.51</v>
      </c>
      <c r="D276" s="413">
        <v>620.0</v>
      </c>
      <c r="E276" s="412">
        <v>50.0</v>
      </c>
      <c r="F276" s="462">
        <v>1095.51</v>
      </c>
      <c r="G276" s="413">
        <v>20.0</v>
      </c>
      <c r="H276" s="413">
        <v>7.0</v>
      </c>
      <c r="I276" s="440">
        <v>50.0</v>
      </c>
    </row>
    <row r="277" ht="12.75" customHeight="1">
      <c r="A277" s="463"/>
      <c r="B277" s="157">
        <v>610.0</v>
      </c>
      <c r="C277" s="190">
        <v>915.29</v>
      </c>
      <c r="D277" s="190">
        <v>3386.55</v>
      </c>
      <c r="E277" s="190">
        <v>350.0</v>
      </c>
      <c r="F277" s="190">
        <v>5261.84</v>
      </c>
      <c r="G277" s="133">
        <v>90.0</v>
      </c>
      <c r="H277" s="451">
        <v>17.0</v>
      </c>
      <c r="I277" s="188">
        <v>350.0</v>
      </c>
    </row>
    <row r="278" ht="12.75" customHeight="1">
      <c r="A278" s="74"/>
      <c r="B278" s="75"/>
      <c r="C278" s="136"/>
      <c r="D278" s="136"/>
      <c r="E278" s="136"/>
      <c r="F278" s="136"/>
      <c r="G278" s="136"/>
      <c r="H278" s="137"/>
      <c r="I278" s="74"/>
    </row>
    <row r="279" ht="12.75" customHeight="1">
      <c r="A279" s="200">
        <f>A276+3</f>
        <v>44466</v>
      </c>
      <c r="B279" s="118">
        <v>190.0</v>
      </c>
      <c r="C279" s="118">
        <v>689.33</v>
      </c>
      <c r="D279" s="118">
        <v>777.93</v>
      </c>
      <c r="E279" s="118">
        <v>50.0</v>
      </c>
      <c r="F279" s="158">
        <v>1707.26</v>
      </c>
      <c r="G279" s="118">
        <v>30.0</v>
      </c>
      <c r="H279" s="118">
        <v>14.0</v>
      </c>
      <c r="I279" s="464">
        <v>50.0</v>
      </c>
    </row>
    <row r="280" ht="12.75" customHeight="1">
      <c r="A280" s="200">
        <f t="shared" ref="A280:A282" si="117">A279+1</f>
        <v>44467</v>
      </c>
      <c r="B280" s="124">
        <v>190.0</v>
      </c>
      <c r="C280" s="124">
        <v>182.79</v>
      </c>
      <c r="D280" s="124">
        <v>509.31</v>
      </c>
      <c r="E280" s="124">
        <v>100.0</v>
      </c>
      <c r="F280" s="158">
        <v>982.1</v>
      </c>
      <c r="G280" s="124">
        <v>17.0</v>
      </c>
      <c r="H280" s="124">
        <v>3.0</v>
      </c>
      <c r="I280" s="149">
        <v>100.0</v>
      </c>
    </row>
    <row r="281" ht="12.75" customHeight="1">
      <c r="A281" s="200">
        <f t="shared" si="117"/>
        <v>44468</v>
      </c>
      <c r="B281" s="124">
        <v>150.0</v>
      </c>
      <c r="C281" s="124">
        <v>82.82</v>
      </c>
      <c r="D281" s="124">
        <v>470.0</v>
      </c>
      <c r="E281" s="124">
        <v>100.0</v>
      </c>
      <c r="F281" s="158">
        <v>802.82</v>
      </c>
      <c r="G281" s="124">
        <v>17.0</v>
      </c>
      <c r="H281" s="124">
        <v>2.0</v>
      </c>
      <c r="I281" s="149">
        <v>100.0</v>
      </c>
    </row>
    <row r="282" ht="12.75" customHeight="1">
      <c r="A282" s="200">
        <f t="shared" si="117"/>
        <v>44469</v>
      </c>
      <c r="B282" s="124">
        <v>190.0</v>
      </c>
      <c r="C282" s="124">
        <v>545.86</v>
      </c>
      <c r="D282" s="124">
        <v>769.31</v>
      </c>
      <c r="E282" s="124">
        <v>138.62</v>
      </c>
      <c r="F282" s="158">
        <v>1643.79</v>
      </c>
      <c r="G282" s="124">
        <v>27.0</v>
      </c>
      <c r="H282" s="124">
        <v>9.0</v>
      </c>
      <c r="I282" s="149">
        <v>135.0</v>
      </c>
    </row>
    <row r="283" ht="12.75" customHeight="1">
      <c r="A283" s="67" t="s">
        <v>87</v>
      </c>
      <c r="B283" s="157">
        <v>720.0</v>
      </c>
      <c r="C283" s="190">
        <v>1500.8</v>
      </c>
      <c r="D283" s="190">
        <v>2526.55</v>
      </c>
      <c r="E283" s="190">
        <v>388.62</v>
      </c>
      <c r="F283" s="190">
        <v>5135.97</v>
      </c>
      <c r="G283" s="133">
        <v>91.0</v>
      </c>
      <c r="H283" s="451">
        <v>28.0</v>
      </c>
      <c r="I283" s="188">
        <v>385.0</v>
      </c>
    </row>
    <row r="284" ht="12.75" customHeight="1">
      <c r="A284" s="74"/>
      <c r="B284" s="75"/>
      <c r="C284" s="136"/>
      <c r="D284" s="136"/>
      <c r="E284" s="136"/>
      <c r="F284" s="136"/>
      <c r="G284" s="136"/>
      <c r="H284" s="137"/>
      <c r="I284" s="74"/>
    </row>
    <row r="285" ht="12.75" customHeight="1">
      <c r="A285" s="421">
        <v>44470.0</v>
      </c>
      <c r="B285" s="59">
        <v>90.0</v>
      </c>
      <c r="C285" s="59">
        <v>231.31</v>
      </c>
      <c r="D285" s="66">
        <v>429.31</v>
      </c>
      <c r="E285" s="59">
        <v>250.0</v>
      </c>
      <c r="F285" s="60">
        <f>SUM(B285:E285)</f>
        <v>1000.62</v>
      </c>
      <c r="G285" s="59">
        <v>18.0</v>
      </c>
      <c r="H285" s="59">
        <v>5.0</v>
      </c>
      <c r="I285" s="61">
        <v>250.0</v>
      </c>
    </row>
    <row r="286" ht="12.75" customHeight="1">
      <c r="A286" s="67"/>
      <c r="B286" s="68">
        <f t="shared" ref="B286:I286" si="118">SUM(B285)</f>
        <v>90</v>
      </c>
      <c r="C286" s="68">
        <f t="shared" si="118"/>
        <v>231.31</v>
      </c>
      <c r="D286" s="68">
        <f t="shared" si="118"/>
        <v>429.31</v>
      </c>
      <c r="E286" s="68">
        <f t="shared" si="118"/>
        <v>250</v>
      </c>
      <c r="F286" s="416">
        <f t="shared" si="118"/>
        <v>1000.62</v>
      </c>
      <c r="G286" s="70">
        <f t="shared" si="118"/>
        <v>18</v>
      </c>
      <c r="H286" s="70">
        <f t="shared" si="118"/>
        <v>5</v>
      </c>
      <c r="I286" s="465">
        <f t="shared" si="118"/>
        <v>250</v>
      </c>
    </row>
    <row r="287" ht="12.75" customHeight="1">
      <c r="A287" s="74"/>
      <c r="B287" s="92"/>
      <c r="C287" s="92"/>
      <c r="D287" s="92"/>
      <c r="E287" s="92"/>
      <c r="F287" s="75"/>
      <c r="G287" s="93"/>
      <c r="H287" s="93"/>
      <c r="I287" s="432"/>
    </row>
    <row r="288" ht="12.75" customHeight="1">
      <c r="A288" s="433">
        <f>A285+3</f>
        <v>44473</v>
      </c>
      <c r="B288" s="98">
        <v>140.0</v>
      </c>
      <c r="C288" s="99">
        <v>192.41</v>
      </c>
      <c r="D288" s="99">
        <v>639.31</v>
      </c>
      <c r="E288" s="99">
        <v>0.0</v>
      </c>
      <c r="F288" s="141">
        <f t="shared" ref="F288:F292" si="119">SUM(B288:E288)</f>
        <v>971.72</v>
      </c>
      <c r="G288" s="99">
        <v>16.0</v>
      </c>
      <c r="H288" s="99">
        <v>4.0</v>
      </c>
      <c r="I288" s="101">
        <v>0.0</v>
      </c>
    </row>
    <row r="289" ht="12.75" customHeight="1">
      <c r="A289" s="433">
        <f t="shared" ref="A289:A292" si="120">A288+1</f>
        <v>44474</v>
      </c>
      <c r="B289" s="112">
        <v>320.0</v>
      </c>
      <c r="C289" s="124">
        <v>192.41</v>
      </c>
      <c r="D289" s="124">
        <v>369.31</v>
      </c>
      <c r="E289" s="124">
        <v>0.0</v>
      </c>
      <c r="F289" s="141">
        <f t="shared" si="119"/>
        <v>881.72</v>
      </c>
      <c r="G289" s="124">
        <v>15.0</v>
      </c>
      <c r="H289" s="124">
        <v>4.0</v>
      </c>
      <c r="I289" s="149">
        <v>0.0</v>
      </c>
    </row>
    <row r="290" ht="12.75" customHeight="1">
      <c r="A290" s="433">
        <f t="shared" si="120"/>
        <v>44475</v>
      </c>
      <c r="B290" s="112">
        <v>170.0</v>
      </c>
      <c r="C290" s="124">
        <v>38.9</v>
      </c>
      <c r="D290" s="124">
        <v>450.0</v>
      </c>
      <c r="E290" s="124">
        <v>70.0</v>
      </c>
      <c r="F290" s="141">
        <f t="shared" si="119"/>
        <v>728.9</v>
      </c>
      <c r="G290" s="99">
        <v>14.0</v>
      </c>
      <c r="H290" s="99">
        <v>1.0</v>
      </c>
      <c r="I290" s="61">
        <v>70.0</v>
      </c>
    </row>
    <row r="291" ht="12.75" customHeight="1">
      <c r="A291" s="433">
        <f t="shared" si="120"/>
        <v>44476</v>
      </c>
      <c r="B291" s="112">
        <v>300.0</v>
      </c>
      <c r="C291" s="124">
        <v>407.71</v>
      </c>
      <c r="D291" s="124">
        <v>919.31</v>
      </c>
      <c r="E291" s="124">
        <v>209.31</v>
      </c>
      <c r="F291" s="141">
        <f t="shared" si="119"/>
        <v>1836.33</v>
      </c>
      <c r="G291" s="99">
        <v>29.0</v>
      </c>
      <c r="H291" s="99">
        <v>8.0</v>
      </c>
      <c r="I291" s="61">
        <v>200.0</v>
      </c>
    </row>
    <row r="292" ht="12.75" customHeight="1">
      <c r="A292" s="433">
        <f t="shared" si="120"/>
        <v>44477</v>
      </c>
      <c r="B292" s="112">
        <v>259.31</v>
      </c>
      <c r="C292" s="124">
        <v>505.89</v>
      </c>
      <c r="D292" s="124">
        <v>637.93</v>
      </c>
      <c r="E292" s="124">
        <v>50.0</v>
      </c>
      <c r="F292" s="141">
        <f t="shared" si="119"/>
        <v>1453.13</v>
      </c>
      <c r="G292" s="99">
        <v>26.0</v>
      </c>
      <c r="H292" s="99">
        <v>10.0</v>
      </c>
      <c r="I292" s="61">
        <v>50.0</v>
      </c>
    </row>
    <row r="293" ht="12.75" customHeight="1">
      <c r="A293" s="67"/>
      <c r="B293" s="91">
        <f t="shared" ref="B293:I293" si="121">SUM(B288:B292)</f>
        <v>1189.31</v>
      </c>
      <c r="C293" s="91">
        <f t="shared" si="121"/>
        <v>1337.32</v>
      </c>
      <c r="D293" s="91">
        <f t="shared" si="121"/>
        <v>3015.86</v>
      </c>
      <c r="E293" s="91">
        <f t="shared" si="121"/>
        <v>329.31</v>
      </c>
      <c r="F293" s="91">
        <f t="shared" si="121"/>
        <v>5871.8</v>
      </c>
      <c r="G293" s="70">
        <f t="shared" si="121"/>
        <v>100</v>
      </c>
      <c r="H293" s="70">
        <f t="shared" si="121"/>
        <v>27</v>
      </c>
      <c r="I293" s="91">
        <f t="shared" si="121"/>
        <v>320</v>
      </c>
    </row>
    <row r="294" ht="12.75" customHeight="1">
      <c r="A294" s="74"/>
      <c r="B294" s="74"/>
      <c r="C294" s="74"/>
      <c r="D294" s="74"/>
      <c r="E294" s="74"/>
      <c r="F294" s="74"/>
      <c r="G294" s="93"/>
      <c r="H294" s="93"/>
      <c r="I294" s="74"/>
    </row>
    <row r="295" ht="12.75" customHeight="1">
      <c r="A295" s="443">
        <f>A292+3</f>
        <v>44480</v>
      </c>
      <c r="B295" s="112">
        <v>199.31</v>
      </c>
      <c r="C295" s="124">
        <v>631.19</v>
      </c>
      <c r="D295" s="124">
        <v>938.62</v>
      </c>
      <c r="E295" s="124">
        <v>138.62</v>
      </c>
      <c r="F295" s="141">
        <f t="shared" ref="F295:F299" si="122">SUM(B295:E295)</f>
        <v>1907.74</v>
      </c>
      <c r="G295" s="99">
        <v>30.0</v>
      </c>
      <c r="H295" s="99">
        <v>11.0</v>
      </c>
      <c r="I295" s="61">
        <v>140.0</v>
      </c>
    </row>
    <row r="296" ht="12.75" customHeight="1">
      <c r="A296" s="443">
        <f t="shared" ref="A296:A299" si="123">A295+1</f>
        <v>44481</v>
      </c>
      <c r="B296" s="112">
        <v>100.0</v>
      </c>
      <c r="C296" s="124">
        <v>151.0</v>
      </c>
      <c r="D296" s="124">
        <v>670.0</v>
      </c>
      <c r="E296" s="124">
        <v>50.0</v>
      </c>
      <c r="F296" s="141">
        <f t="shared" si="122"/>
        <v>971</v>
      </c>
      <c r="G296" s="99">
        <v>17.0</v>
      </c>
      <c r="H296" s="99">
        <v>3.0</v>
      </c>
      <c r="I296" s="61">
        <v>50.0</v>
      </c>
    </row>
    <row r="297" ht="12.75" customHeight="1">
      <c r="A297" s="443">
        <f t="shared" si="123"/>
        <v>44482</v>
      </c>
      <c r="B297" s="112">
        <v>50.0</v>
      </c>
      <c r="C297" s="124">
        <v>0.0</v>
      </c>
      <c r="D297" s="124">
        <v>600.0</v>
      </c>
      <c r="E297" s="124">
        <v>80.0</v>
      </c>
      <c r="F297" s="141">
        <f t="shared" si="122"/>
        <v>730</v>
      </c>
      <c r="G297" s="99">
        <v>15.0</v>
      </c>
      <c r="H297" s="99">
        <v>0.0</v>
      </c>
      <c r="I297" s="61">
        <v>80.0</v>
      </c>
    </row>
    <row r="298" ht="12.75" customHeight="1">
      <c r="A298" s="443">
        <f t="shared" si="123"/>
        <v>44483</v>
      </c>
      <c r="B298" s="112">
        <v>19.31</v>
      </c>
      <c r="C298" s="124">
        <v>221.69</v>
      </c>
      <c r="D298" s="124">
        <v>1199.31</v>
      </c>
      <c r="E298" s="124">
        <v>280.0</v>
      </c>
      <c r="F298" s="141">
        <f t="shared" si="122"/>
        <v>1720.31</v>
      </c>
      <c r="G298" s="99">
        <v>24.0</v>
      </c>
      <c r="H298" s="99">
        <v>4.0</v>
      </c>
      <c r="I298" s="61">
        <v>280.0</v>
      </c>
    </row>
    <row r="299" ht="12.75" customHeight="1">
      <c r="A299" s="443">
        <f t="shared" si="123"/>
        <v>44484</v>
      </c>
      <c r="B299" s="112">
        <v>140.0</v>
      </c>
      <c r="C299" s="124">
        <v>182.79</v>
      </c>
      <c r="D299" s="124">
        <v>1018.0</v>
      </c>
      <c r="E299" s="124">
        <v>0.0</v>
      </c>
      <c r="F299" s="141">
        <f t="shared" si="122"/>
        <v>1340.79</v>
      </c>
      <c r="G299" s="99">
        <v>25.0</v>
      </c>
      <c r="H299" s="99">
        <v>3.0</v>
      </c>
      <c r="I299" s="61">
        <v>0.0</v>
      </c>
    </row>
    <row r="300" ht="12.75" customHeight="1">
      <c r="A300" s="67"/>
      <c r="B300" s="68">
        <f t="shared" ref="B300:G300" si="124">SUM(B295:B299)</f>
        <v>508.62</v>
      </c>
      <c r="C300" s="68">
        <f t="shared" si="124"/>
        <v>1186.67</v>
      </c>
      <c r="D300" s="68">
        <f t="shared" si="124"/>
        <v>4425.93</v>
      </c>
      <c r="E300" s="68">
        <f t="shared" si="124"/>
        <v>548.62</v>
      </c>
      <c r="F300" s="68">
        <f t="shared" si="124"/>
        <v>6669.84</v>
      </c>
      <c r="G300" s="140">
        <f t="shared" si="124"/>
        <v>111</v>
      </c>
      <c r="H300" s="140">
        <v>10.0</v>
      </c>
      <c r="I300" s="91">
        <f>SUM(I295:I299)</f>
        <v>550</v>
      </c>
    </row>
    <row r="301" ht="12.75" customHeight="1">
      <c r="A301" s="74"/>
      <c r="B301" s="75"/>
      <c r="C301" s="75"/>
      <c r="D301" s="75"/>
      <c r="E301" s="75"/>
      <c r="F301" s="75"/>
      <c r="G301" s="92"/>
      <c r="H301" s="92"/>
      <c r="I301" s="74"/>
    </row>
    <row r="302" ht="12.75" customHeight="1">
      <c r="A302" s="161">
        <f>A299+3</f>
        <v>44487</v>
      </c>
      <c r="B302" s="112">
        <v>150.0</v>
      </c>
      <c r="C302" s="112">
        <v>100.0</v>
      </c>
      <c r="D302" s="112">
        <v>100.69</v>
      </c>
      <c r="E302" s="112">
        <v>620.0</v>
      </c>
      <c r="F302" s="209">
        <f t="shared" ref="F302:F306" si="125">SUM(B302:E302)</f>
        <v>970.69</v>
      </c>
      <c r="G302" s="98">
        <v>17.0</v>
      </c>
      <c r="H302" s="101">
        <v>2.0</v>
      </c>
      <c r="I302" s="61">
        <v>100.0</v>
      </c>
    </row>
    <row r="303" ht="12.75" customHeight="1">
      <c r="A303" s="162">
        <f t="shared" ref="A303:A306" si="126">A302+1</f>
        <v>44488</v>
      </c>
      <c r="B303" s="112">
        <v>100.0</v>
      </c>
      <c r="C303" s="112">
        <v>121.72</v>
      </c>
      <c r="D303" s="112">
        <v>710.0</v>
      </c>
      <c r="E303" s="112">
        <v>0.0</v>
      </c>
      <c r="F303" s="209">
        <f t="shared" si="125"/>
        <v>931.72</v>
      </c>
      <c r="G303" s="98">
        <v>18.0</v>
      </c>
      <c r="H303" s="101">
        <v>3.0</v>
      </c>
      <c r="I303" s="61">
        <v>0.0</v>
      </c>
    </row>
    <row r="304" ht="12.75" customHeight="1">
      <c r="A304" s="162">
        <f t="shared" si="126"/>
        <v>44489</v>
      </c>
      <c r="B304" s="112">
        <v>50.0</v>
      </c>
      <c r="C304" s="112">
        <v>192.41</v>
      </c>
      <c r="D304" s="112">
        <v>469.31</v>
      </c>
      <c r="E304" s="112">
        <v>50.0</v>
      </c>
      <c r="F304" s="209">
        <f t="shared" si="125"/>
        <v>761.72</v>
      </c>
      <c r="G304" s="98">
        <v>15.0</v>
      </c>
      <c r="H304" s="101">
        <v>4.0</v>
      </c>
      <c r="I304" s="61">
        <v>50.0</v>
      </c>
    </row>
    <row r="305" ht="12.75" customHeight="1">
      <c r="A305" s="162">
        <f t="shared" si="126"/>
        <v>44490</v>
      </c>
      <c r="B305" s="112">
        <v>50.0</v>
      </c>
      <c r="C305" s="112">
        <v>294.89</v>
      </c>
      <c r="D305" s="112">
        <v>740.0</v>
      </c>
      <c r="E305" s="112">
        <v>140.0</v>
      </c>
      <c r="F305" s="209">
        <f t="shared" si="125"/>
        <v>1224.89</v>
      </c>
      <c r="G305" s="98">
        <v>20.0</v>
      </c>
      <c r="H305" s="101">
        <v>5.0</v>
      </c>
      <c r="I305" s="61">
        <v>140.0</v>
      </c>
    </row>
    <row r="306" ht="12.75" customHeight="1">
      <c r="A306" s="162">
        <f t="shared" si="126"/>
        <v>44491</v>
      </c>
      <c r="B306" s="112">
        <v>190.0</v>
      </c>
      <c r="C306" s="112">
        <v>263.1</v>
      </c>
      <c r="D306" s="112">
        <v>748.59</v>
      </c>
      <c r="E306" s="112">
        <v>19.31</v>
      </c>
      <c r="F306" s="209">
        <f t="shared" si="125"/>
        <v>1221</v>
      </c>
      <c r="G306" s="98">
        <v>18.0</v>
      </c>
      <c r="H306" s="101">
        <v>5.0</v>
      </c>
      <c r="I306" s="61">
        <v>20.0</v>
      </c>
    </row>
    <row r="307" ht="12.75" customHeight="1">
      <c r="A307" s="67"/>
      <c r="B307" s="68">
        <f t="shared" ref="B307:I307" si="127">SUM(B302:B306)</f>
        <v>540</v>
      </c>
      <c r="C307" s="68">
        <f t="shared" si="127"/>
        <v>972.12</v>
      </c>
      <c r="D307" s="68">
        <f t="shared" si="127"/>
        <v>2768.59</v>
      </c>
      <c r="E307" s="68">
        <f t="shared" si="127"/>
        <v>829.31</v>
      </c>
      <c r="F307" s="68">
        <f t="shared" si="127"/>
        <v>5110.02</v>
      </c>
      <c r="G307" s="140">
        <f t="shared" si="127"/>
        <v>88</v>
      </c>
      <c r="H307" s="140">
        <f t="shared" si="127"/>
        <v>19</v>
      </c>
      <c r="I307" s="91">
        <f t="shared" si="127"/>
        <v>310</v>
      </c>
    </row>
    <row r="308" ht="12.75" customHeight="1">
      <c r="A308" s="74"/>
      <c r="B308" s="75"/>
      <c r="C308" s="75"/>
      <c r="D308" s="75"/>
      <c r="E308" s="75"/>
      <c r="F308" s="75"/>
      <c r="G308" s="92"/>
      <c r="H308" s="92"/>
      <c r="I308" s="74"/>
    </row>
    <row r="309" ht="12.75" customHeight="1">
      <c r="A309" s="162">
        <f>A306+3</f>
        <v>44494</v>
      </c>
      <c r="B309" s="112">
        <v>50.0</v>
      </c>
      <c r="C309" s="112">
        <v>365.58</v>
      </c>
      <c r="D309" s="112">
        <v>1078.62</v>
      </c>
      <c r="E309" s="112">
        <v>119.31</v>
      </c>
      <c r="F309" s="209">
        <f t="shared" ref="F309:F313" si="128">SUM(B309:E309)</f>
        <v>1613.51</v>
      </c>
      <c r="G309" s="98">
        <v>28.0</v>
      </c>
      <c r="H309" s="101">
        <v>6.0</v>
      </c>
      <c r="I309" s="61">
        <v>120.0</v>
      </c>
    </row>
    <row r="310" ht="12.75" customHeight="1">
      <c r="A310" s="162">
        <f t="shared" ref="A310:A313" si="129">A309+1</f>
        <v>44495</v>
      </c>
      <c r="B310" s="112">
        <v>50.0</v>
      </c>
      <c r="C310" s="112">
        <v>436.27</v>
      </c>
      <c r="D310" s="112">
        <v>597.93</v>
      </c>
      <c r="E310" s="112">
        <v>50.0</v>
      </c>
      <c r="F310" s="209">
        <f t="shared" si="128"/>
        <v>1134.2</v>
      </c>
      <c r="G310" s="112">
        <v>19.0</v>
      </c>
      <c r="H310" s="112">
        <v>7.0</v>
      </c>
      <c r="I310" s="61">
        <v>50.0</v>
      </c>
    </row>
    <row r="311" ht="12.75" customHeight="1">
      <c r="A311" s="162">
        <f t="shared" si="129"/>
        <v>44496</v>
      </c>
      <c r="B311" s="112">
        <v>50.0</v>
      </c>
      <c r="C311" s="112">
        <v>187.39</v>
      </c>
      <c r="D311" s="112">
        <v>440.0</v>
      </c>
      <c r="E311" s="112">
        <v>100.0</v>
      </c>
      <c r="F311" s="209">
        <f t="shared" si="128"/>
        <v>777.39</v>
      </c>
      <c r="G311" s="112">
        <v>16.0</v>
      </c>
      <c r="H311" s="112">
        <v>4.0</v>
      </c>
      <c r="I311" s="61">
        <v>50.0</v>
      </c>
    </row>
    <row r="312" ht="12.75" customHeight="1">
      <c r="A312" s="162">
        <f t="shared" si="129"/>
        <v>44497</v>
      </c>
      <c r="B312" s="112">
        <v>170.0</v>
      </c>
      <c r="C312" s="112">
        <v>354.17</v>
      </c>
      <c r="D312" s="112">
        <v>907.93</v>
      </c>
      <c r="E312" s="112">
        <v>100.0</v>
      </c>
      <c r="F312" s="209">
        <f t="shared" si="128"/>
        <v>1532.1</v>
      </c>
      <c r="G312" s="112">
        <v>28.0</v>
      </c>
      <c r="H312" s="112">
        <v>6.0</v>
      </c>
      <c r="I312" s="61">
        <v>110.0</v>
      </c>
    </row>
    <row r="313" ht="12.75" customHeight="1">
      <c r="A313" s="162">
        <f t="shared" si="129"/>
        <v>44498</v>
      </c>
      <c r="B313" s="112">
        <v>50.0</v>
      </c>
      <c r="C313" s="112">
        <v>265.61</v>
      </c>
      <c r="D313" s="112">
        <v>698.62</v>
      </c>
      <c r="E313" s="112">
        <v>50.0</v>
      </c>
      <c r="F313" s="209">
        <f t="shared" si="128"/>
        <v>1064.23</v>
      </c>
      <c r="G313" s="112">
        <v>17.0</v>
      </c>
      <c r="H313" s="112">
        <v>5.0</v>
      </c>
      <c r="I313" s="61">
        <v>50.0</v>
      </c>
    </row>
    <row r="314" ht="12.75" customHeight="1">
      <c r="A314" s="67"/>
      <c r="B314" s="68">
        <f t="shared" ref="B314:I314" si="130">SUM(B309:B313)</f>
        <v>370</v>
      </c>
      <c r="C314" s="68">
        <f t="shared" si="130"/>
        <v>1609.02</v>
      </c>
      <c r="D314" s="68">
        <f t="shared" si="130"/>
        <v>3723.1</v>
      </c>
      <c r="E314" s="68">
        <f t="shared" si="130"/>
        <v>419.31</v>
      </c>
      <c r="F314" s="68">
        <f t="shared" si="130"/>
        <v>6121.43</v>
      </c>
      <c r="G314" s="128">
        <f t="shared" si="130"/>
        <v>108</v>
      </c>
      <c r="H314" s="128">
        <f t="shared" si="130"/>
        <v>28</v>
      </c>
      <c r="I314" s="145">
        <f t="shared" si="130"/>
        <v>380</v>
      </c>
    </row>
    <row r="315" ht="12.75" customHeight="1">
      <c r="A315" s="74"/>
      <c r="B315" s="75"/>
      <c r="C315" s="75"/>
      <c r="D315" s="75"/>
      <c r="E315" s="75"/>
      <c r="F315" s="75"/>
      <c r="G315" s="75"/>
      <c r="H315" s="75"/>
      <c r="I315" s="74"/>
    </row>
    <row r="316" ht="12.75" customHeight="1">
      <c r="A316" s="433">
        <v>44501.0</v>
      </c>
      <c r="B316" s="466"/>
      <c r="C316" s="467"/>
      <c r="D316" s="467"/>
      <c r="E316" s="467"/>
      <c r="F316" s="212"/>
      <c r="G316" s="176"/>
      <c r="H316" s="176"/>
      <c r="I316" s="468"/>
    </row>
    <row r="317" ht="12.75" customHeight="1">
      <c r="A317" s="433">
        <f t="shared" ref="A317:A320" si="131">A316+1</f>
        <v>44502</v>
      </c>
      <c r="B317" s="224">
        <v>250.0</v>
      </c>
      <c r="C317" s="225">
        <v>207.05</v>
      </c>
      <c r="D317" s="225">
        <v>1250.0</v>
      </c>
      <c r="E317" s="225">
        <v>90.0</v>
      </c>
      <c r="F317" s="222">
        <f t="shared" ref="F317:F320" si="132">SUM(B317:E317)</f>
        <v>1797.05</v>
      </c>
      <c r="G317" s="81">
        <v>31.0</v>
      </c>
      <c r="H317" s="81">
        <v>5.0</v>
      </c>
      <c r="I317" s="226">
        <v>90.0</v>
      </c>
    </row>
    <row r="318" ht="12.75" customHeight="1">
      <c r="A318" s="433">
        <f t="shared" si="131"/>
        <v>44503</v>
      </c>
      <c r="B318" s="224">
        <v>100.0</v>
      </c>
      <c r="C318" s="225">
        <v>194.5</v>
      </c>
      <c r="D318" s="225">
        <v>510.0</v>
      </c>
      <c r="E318" s="225">
        <v>0.0</v>
      </c>
      <c r="F318" s="222">
        <f t="shared" si="132"/>
        <v>804.5</v>
      </c>
      <c r="G318" s="81">
        <v>16.0</v>
      </c>
      <c r="H318" s="81">
        <v>5.0</v>
      </c>
      <c r="I318" s="226">
        <v>0.0</v>
      </c>
    </row>
    <row r="319" ht="12.75" customHeight="1">
      <c r="A319" s="433">
        <f t="shared" si="131"/>
        <v>44504</v>
      </c>
      <c r="B319" s="224">
        <v>0.0</v>
      </c>
      <c r="C319" s="225">
        <v>395.58</v>
      </c>
      <c r="D319" s="225">
        <v>1337.24</v>
      </c>
      <c r="E319" s="225">
        <v>0.0</v>
      </c>
      <c r="F319" s="222">
        <f t="shared" si="132"/>
        <v>1732.82</v>
      </c>
      <c r="G319" s="81">
        <v>27.0</v>
      </c>
      <c r="H319" s="81">
        <v>7.0</v>
      </c>
      <c r="I319" s="226">
        <v>0.0</v>
      </c>
    </row>
    <row r="320" ht="12.75" customHeight="1">
      <c r="A320" s="433">
        <f t="shared" si="131"/>
        <v>44505</v>
      </c>
      <c r="B320" s="224">
        <v>50.0</v>
      </c>
      <c r="C320" s="225">
        <v>103.82</v>
      </c>
      <c r="D320" s="225">
        <v>1140.0</v>
      </c>
      <c r="E320" s="225">
        <v>0.0</v>
      </c>
      <c r="F320" s="222">
        <f t="shared" si="132"/>
        <v>1293.82</v>
      </c>
      <c r="G320" s="81">
        <v>22.0</v>
      </c>
      <c r="H320" s="81">
        <v>3.0</v>
      </c>
      <c r="I320" s="226">
        <v>0.0</v>
      </c>
    </row>
    <row r="321" ht="12.75" customHeight="1">
      <c r="A321" s="131"/>
      <c r="B321" s="217">
        <f t="shared" ref="B321:I321" si="133">SUM(B316:B320)</f>
        <v>400</v>
      </c>
      <c r="C321" s="217">
        <f t="shared" si="133"/>
        <v>900.95</v>
      </c>
      <c r="D321" s="217">
        <f t="shared" si="133"/>
        <v>4237.24</v>
      </c>
      <c r="E321" s="217">
        <f t="shared" si="133"/>
        <v>90</v>
      </c>
      <c r="F321" s="217">
        <f t="shared" si="133"/>
        <v>5628.19</v>
      </c>
      <c r="G321" s="218">
        <f t="shared" si="133"/>
        <v>96</v>
      </c>
      <c r="H321" s="218">
        <f t="shared" si="133"/>
        <v>20</v>
      </c>
      <c r="I321" s="217">
        <f t="shared" si="133"/>
        <v>90</v>
      </c>
    </row>
    <row r="322" ht="12.75" customHeight="1">
      <c r="A322" s="148"/>
      <c r="B322" s="74"/>
      <c r="C322" s="74"/>
      <c r="D322" s="74"/>
      <c r="E322" s="74"/>
      <c r="F322" s="74"/>
      <c r="G322" s="74"/>
      <c r="H322" s="74"/>
      <c r="I322" s="74"/>
    </row>
    <row r="323" ht="12.75" customHeight="1">
      <c r="A323" s="421">
        <f>A320+3</f>
        <v>44508</v>
      </c>
      <c r="B323" s="227">
        <v>100.0</v>
      </c>
      <c r="C323" s="228">
        <v>141.38</v>
      </c>
      <c r="D323" s="228">
        <v>1139.31</v>
      </c>
      <c r="E323" s="228">
        <v>100.0</v>
      </c>
      <c r="F323" s="213">
        <f t="shared" ref="F323:F325" si="134">SUM(B323:E323)</f>
        <v>1480.69</v>
      </c>
      <c r="G323" s="81">
        <v>24.0</v>
      </c>
      <c r="H323" s="81">
        <v>2.0</v>
      </c>
      <c r="I323" s="229">
        <v>110.0</v>
      </c>
    </row>
    <row r="324" ht="12.75" customHeight="1">
      <c r="A324" s="421">
        <f t="shared" ref="A324:A327" si="135">A323+1</f>
        <v>44509</v>
      </c>
      <c r="B324" s="227">
        <v>70.0</v>
      </c>
      <c r="C324" s="228">
        <v>183.51</v>
      </c>
      <c r="D324" s="228">
        <v>399.31</v>
      </c>
      <c r="E324" s="228">
        <v>100.0</v>
      </c>
      <c r="F324" s="213">
        <f t="shared" si="134"/>
        <v>752.82</v>
      </c>
      <c r="G324" s="81">
        <v>13.0</v>
      </c>
      <c r="H324" s="81">
        <v>4.0</v>
      </c>
      <c r="I324" s="229">
        <v>100.0</v>
      </c>
    </row>
    <row r="325" ht="12.75" customHeight="1">
      <c r="A325" s="421">
        <f t="shared" si="135"/>
        <v>44510</v>
      </c>
      <c r="B325" s="227">
        <v>150.0</v>
      </c>
      <c r="C325" s="228">
        <v>119.21</v>
      </c>
      <c r="D325" s="228">
        <v>460.0</v>
      </c>
      <c r="E325" s="228">
        <v>100.0</v>
      </c>
      <c r="F325" s="213">
        <f t="shared" si="134"/>
        <v>829.21</v>
      </c>
      <c r="G325" s="81">
        <v>16.0</v>
      </c>
      <c r="H325" s="81">
        <v>3.0</v>
      </c>
      <c r="I325" s="229">
        <v>100.0</v>
      </c>
    </row>
    <row r="326" ht="12.75" customHeight="1">
      <c r="A326" s="421">
        <f t="shared" si="135"/>
        <v>44511</v>
      </c>
      <c r="B326" s="230"/>
      <c r="C326" s="231"/>
      <c r="D326" s="231"/>
      <c r="E326" s="231"/>
      <c r="F326" s="233"/>
      <c r="G326" s="84"/>
      <c r="H326" s="84"/>
      <c r="I326" s="232"/>
    </row>
    <row r="327" ht="12.75" customHeight="1">
      <c r="A327" s="421">
        <f t="shared" si="135"/>
        <v>44512</v>
      </c>
      <c r="B327" s="230"/>
      <c r="C327" s="231"/>
      <c r="D327" s="231"/>
      <c r="E327" s="231"/>
      <c r="F327" s="233"/>
      <c r="G327" s="84"/>
      <c r="H327" s="84"/>
      <c r="I327" s="232"/>
    </row>
    <row r="328" ht="12.75" customHeight="1">
      <c r="A328" s="67"/>
      <c r="B328" s="215">
        <f t="shared" ref="B328:I328" si="136">SUM(B323:B327)</f>
        <v>320</v>
      </c>
      <c r="C328" s="215">
        <f t="shared" si="136"/>
        <v>444.1</v>
      </c>
      <c r="D328" s="215">
        <f t="shared" si="136"/>
        <v>1998.62</v>
      </c>
      <c r="E328" s="215">
        <f t="shared" si="136"/>
        <v>300</v>
      </c>
      <c r="F328" s="216">
        <f t="shared" si="136"/>
        <v>3062.72</v>
      </c>
      <c r="G328" s="218">
        <f t="shared" si="136"/>
        <v>53</v>
      </c>
      <c r="H328" s="218">
        <f t="shared" si="136"/>
        <v>9</v>
      </c>
      <c r="I328" s="217">
        <f t="shared" si="136"/>
        <v>310</v>
      </c>
    </row>
    <row r="329" ht="12.75" customHeight="1">
      <c r="A329" s="74"/>
      <c r="B329" s="92"/>
      <c r="C329" s="92"/>
      <c r="D329" s="92"/>
      <c r="E329" s="92"/>
      <c r="F329" s="234"/>
      <c r="G329" s="74"/>
      <c r="H329" s="74"/>
      <c r="I329" s="94"/>
    </row>
    <row r="330" ht="12.75" customHeight="1">
      <c r="A330" s="433">
        <f>A327+3</f>
        <v>44515</v>
      </c>
      <c r="B330" s="220">
        <v>100.0</v>
      </c>
      <c r="C330" s="221">
        <v>82.82</v>
      </c>
      <c r="D330" s="221">
        <v>480.0</v>
      </c>
      <c r="E330" s="221">
        <v>150.0</v>
      </c>
      <c r="F330" s="235">
        <f t="shared" ref="F330:F334" si="137">SUM(B330:E330)</f>
        <v>812.82</v>
      </c>
      <c r="G330" s="59">
        <v>15.0</v>
      </c>
      <c r="H330" s="59">
        <v>2.0</v>
      </c>
      <c r="I330" s="223">
        <v>150.0</v>
      </c>
    </row>
    <row r="331" ht="12.75" customHeight="1">
      <c r="A331" s="433">
        <f t="shared" ref="A331:A334" si="138">A330+1</f>
        <v>44516</v>
      </c>
      <c r="B331" s="227">
        <v>100.0</v>
      </c>
      <c r="C331" s="228">
        <v>133.1</v>
      </c>
      <c r="D331" s="228">
        <v>669.31</v>
      </c>
      <c r="E331" s="228">
        <v>0.0</v>
      </c>
      <c r="F331" s="235">
        <f t="shared" si="137"/>
        <v>902.41</v>
      </c>
      <c r="G331" s="81">
        <v>17.0</v>
      </c>
      <c r="H331" s="81">
        <v>3.0</v>
      </c>
      <c r="I331" s="236">
        <v>0.0</v>
      </c>
    </row>
    <row r="332" ht="12.75" customHeight="1">
      <c r="A332" s="433">
        <f t="shared" si="138"/>
        <v>44517</v>
      </c>
      <c r="B332" s="227">
        <v>100.0</v>
      </c>
      <c r="C332" s="228">
        <v>189.9</v>
      </c>
      <c r="D332" s="228">
        <v>659.31</v>
      </c>
      <c r="E332" s="228">
        <v>0.0</v>
      </c>
      <c r="F332" s="235">
        <f t="shared" si="137"/>
        <v>949.21</v>
      </c>
      <c r="G332" s="81">
        <v>18.0</v>
      </c>
      <c r="H332" s="81">
        <v>4.0</v>
      </c>
      <c r="I332" s="236">
        <v>0.0</v>
      </c>
    </row>
    <row r="333" ht="12.75" customHeight="1">
      <c r="A333" s="433">
        <f t="shared" si="138"/>
        <v>44518</v>
      </c>
      <c r="B333" s="227">
        <v>90.0</v>
      </c>
      <c r="C333" s="228">
        <v>433.76</v>
      </c>
      <c r="D333" s="228">
        <v>1078.62</v>
      </c>
      <c r="E333" s="228">
        <v>89.31</v>
      </c>
      <c r="F333" s="235">
        <f t="shared" si="137"/>
        <v>1691.69</v>
      </c>
      <c r="G333" s="81">
        <v>28.0</v>
      </c>
      <c r="H333" s="81">
        <v>7.0</v>
      </c>
      <c r="I333" s="236">
        <v>90.0</v>
      </c>
    </row>
    <row r="334" ht="12.75" customHeight="1">
      <c r="A334" s="433">
        <f t="shared" si="138"/>
        <v>44519</v>
      </c>
      <c r="B334" s="227">
        <v>200.0</v>
      </c>
      <c r="C334" s="228">
        <v>181.0</v>
      </c>
      <c r="D334" s="228">
        <v>809.31</v>
      </c>
      <c r="E334" s="228">
        <v>70.0</v>
      </c>
      <c r="F334" s="235">
        <f t="shared" si="137"/>
        <v>1260.31</v>
      </c>
      <c r="G334" s="81">
        <v>23.0</v>
      </c>
      <c r="H334" s="81">
        <v>4.0</v>
      </c>
      <c r="I334" s="237">
        <v>70.0</v>
      </c>
    </row>
    <row r="335" ht="12.75" customHeight="1">
      <c r="A335" s="67"/>
      <c r="B335" s="215">
        <f t="shared" ref="B335:I335" si="139">SUM(B330:B334)</f>
        <v>590</v>
      </c>
      <c r="C335" s="215">
        <f t="shared" si="139"/>
        <v>1020.58</v>
      </c>
      <c r="D335" s="215">
        <f t="shared" si="139"/>
        <v>3696.55</v>
      </c>
      <c r="E335" s="215">
        <f t="shared" si="139"/>
        <v>309.31</v>
      </c>
      <c r="F335" s="216">
        <f t="shared" si="139"/>
        <v>5616.44</v>
      </c>
      <c r="G335" s="218">
        <f t="shared" si="139"/>
        <v>101</v>
      </c>
      <c r="H335" s="218">
        <f t="shared" si="139"/>
        <v>20</v>
      </c>
      <c r="I335" s="217">
        <f t="shared" si="139"/>
        <v>310</v>
      </c>
    </row>
    <row r="336" ht="12.75" customHeight="1">
      <c r="A336" s="74"/>
      <c r="B336" s="92"/>
      <c r="C336" s="92"/>
      <c r="D336" s="92"/>
      <c r="E336" s="92"/>
      <c r="F336" s="234"/>
      <c r="G336" s="94"/>
      <c r="H336" s="94"/>
      <c r="I336" s="94"/>
    </row>
    <row r="337" ht="12.75" customHeight="1">
      <c r="A337" s="433">
        <f>A334+3</f>
        <v>44522</v>
      </c>
      <c r="B337" s="220">
        <v>0.0</v>
      </c>
      <c r="C337" s="221">
        <v>448.4</v>
      </c>
      <c r="D337" s="221">
        <v>998.62</v>
      </c>
      <c r="E337" s="223">
        <v>0.0</v>
      </c>
      <c r="F337" s="238">
        <f t="shared" ref="F337:F341" si="140">SUM(B337:E337)</f>
        <v>1447.02</v>
      </c>
      <c r="G337" s="98">
        <v>26.0</v>
      </c>
      <c r="H337" s="99">
        <v>8.0</v>
      </c>
      <c r="I337" s="223">
        <v>0.0</v>
      </c>
    </row>
    <row r="338" ht="12.75" customHeight="1">
      <c r="A338" s="433">
        <f t="shared" ref="A338:A341" si="141">A337+1</f>
        <v>44523</v>
      </c>
      <c r="B338" s="224">
        <v>19.31</v>
      </c>
      <c r="C338" s="225">
        <v>182.79</v>
      </c>
      <c r="D338" s="225">
        <v>589.31</v>
      </c>
      <c r="E338" s="226">
        <v>100.0</v>
      </c>
      <c r="F338" s="238">
        <f t="shared" si="140"/>
        <v>891.41</v>
      </c>
      <c r="G338" s="103">
        <v>15.0</v>
      </c>
      <c r="H338" s="81">
        <v>3.0</v>
      </c>
      <c r="I338" s="226">
        <v>100.0</v>
      </c>
    </row>
    <row r="339" ht="12.75" customHeight="1">
      <c r="A339" s="433">
        <f t="shared" si="141"/>
        <v>44524</v>
      </c>
      <c r="B339" s="239">
        <v>0.0</v>
      </c>
      <c r="C339" s="240">
        <v>270.67</v>
      </c>
      <c r="D339" s="240">
        <v>511.67</v>
      </c>
      <c r="E339" s="241">
        <v>40.0</v>
      </c>
      <c r="F339" s="238">
        <f t="shared" si="140"/>
        <v>822.34</v>
      </c>
      <c r="G339" s="242">
        <v>19.0</v>
      </c>
      <c r="H339" s="89">
        <v>7.0</v>
      </c>
      <c r="I339" s="241">
        <v>40.0</v>
      </c>
    </row>
    <row r="340" ht="12.75" customHeight="1">
      <c r="A340" s="433">
        <f t="shared" si="141"/>
        <v>44525</v>
      </c>
      <c r="B340" s="239">
        <v>300.0</v>
      </c>
      <c r="C340" s="240">
        <v>224.2</v>
      </c>
      <c r="D340" s="240">
        <v>1109.31</v>
      </c>
      <c r="E340" s="241">
        <v>240.0</v>
      </c>
      <c r="F340" s="238">
        <f t="shared" si="140"/>
        <v>1873.51</v>
      </c>
      <c r="G340" s="242">
        <v>29.0</v>
      </c>
      <c r="H340" s="89">
        <v>4.0</v>
      </c>
      <c r="I340" s="241">
        <v>250.0</v>
      </c>
    </row>
    <row r="341" ht="12.75" customHeight="1">
      <c r="A341" s="433">
        <f t="shared" si="141"/>
        <v>44526</v>
      </c>
      <c r="B341" s="239">
        <v>50.0</v>
      </c>
      <c r="C341" s="240">
        <v>112.1</v>
      </c>
      <c r="D341" s="240">
        <v>590.0</v>
      </c>
      <c r="E341" s="241">
        <v>50.0</v>
      </c>
      <c r="F341" s="469">
        <f t="shared" si="140"/>
        <v>802.1</v>
      </c>
      <c r="G341" s="242">
        <v>14.0</v>
      </c>
      <c r="H341" s="89">
        <v>2.0</v>
      </c>
      <c r="I341" s="241">
        <v>50.0</v>
      </c>
    </row>
    <row r="342" ht="12.75" customHeight="1">
      <c r="A342" s="67"/>
      <c r="B342" s="217">
        <f t="shared" ref="B342:E342" si="142">SUM(B337:B341)</f>
        <v>369.31</v>
      </c>
      <c r="C342" s="217">
        <f t="shared" si="142"/>
        <v>1238.16</v>
      </c>
      <c r="D342" s="217">
        <f t="shared" si="142"/>
        <v>3798.91</v>
      </c>
      <c r="E342" s="217">
        <f t="shared" si="142"/>
        <v>430</v>
      </c>
      <c r="F342" s="216">
        <f>SUM(F336:F341)</f>
        <v>5836.38</v>
      </c>
      <c r="G342" s="218">
        <f t="shared" ref="G342:I342" si="143">SUM(G337:G341)</f>
        <v>103</v>
      </c>
      <c r="H342" s="218">
        <f t="shared" si="143"/>
        <v>24</v>
      </c>
      <c r="I342" s="217">
        <f t="shared" si="143"/>
        <v>440</v>
      </c>
    </row>
    <row r="343" ht="12.75" customHeight="1">
      <c r="A343" s="74"/>
      <c r="B343" s="74"/>
      <c r="C343" s="74"/>
      <c r="D343" s="74"/>
      <c r="E343" s="74"/>
      <c r="F343" s="234"/>
      <c r="G343" s="74"/>
      <c r="H343" s="74"/>
      <c r="I343" s="74"/>
    </row>
    <row r="344" ht="12.75" customHeight="1">
      <c r="A344" s="433">
        <f>A341+3</f>
        <v>44529</v>
      </c>
      <c r="B344" s="227">
        <v>0.0</v>
      </c>
      <c r="C344" s="470">
        <v>294.89</v>
      </c>
      <c r="D344" s="470">
        <v>588.62</v>
      </c>
      <c r="E344" s="227">
        <v>100.0</v>
      </c>
      <c r="F344" s="60">
        <f t="shared" ref="F344:F345" si="144">SUM(B344:E344)</f>
        <v>983.51</v>
      </c>
      <c r="G344" s="112">
        <v>18.0</v>
      </c>
      <c r="H344" s="59">
        <v>4.0</v>
      </c>
      <c r="I344" s="229">
        <v>100.0</v>
      </c>
    </row>
    <row r="345" ht="12.75" customHeight="1">
      <c r="A345" s="433">
        <f>A344+1</f>
        <v>44530</v>
      </c>
      <c r="B345" s="239">
        <v>100.0</v>
      </c>
      <c r="C345" s="240">
        <v>121.72</v>
      </c>
      <c r="D345" s="240">
        <v>570.0</v>
      </c>
      <c r="E345" s="239">
        <v>80.0</v>
      </c>
      <c r="F345" s="139">
        <f t="shared" si="144"/>
        <v>871.72</v>
      </c>
      <c r="G345" s="242">
        <v>17.0</v>
      </c>
      <c r="H345" s="89">
        <v>3.0</v>
      </c>
      <c r="I345" s="241">
        <v>80.0</v>
      </c>
    </row>
    <row r="346" ht="12.75" customHeight="1">
      <c r="A346" s="131"/>
      <c r="B346" s="215">
        <f t="shared" ref="B346:I346" si="145">SUM(B344:B345)</f>
        <v>100</v>
      </c>
      <c r="C346" s="471">
        <f t="shared" si="145"/>
        <v>416.61</v>
      </c>
      <c r="D346" s="471">
        <f t="shared" si="145"/>
        <v>1158.62</v>
      </c>
      <c r="E346" s="471">
        <f t="shared" si="145"/>
        <v>180</v>
      </c>
      <c r="F346" s="471">
        <f t="shared" si="145"/>
        <v>1855.23</v>
      </c>
      <c r="G346" s="133">
        <f t="shared" si="145"/>
        <v>35</v>
      </c>
      <c r="H346" s="133">
        <f t="shared" si="145"/>
        <v>7</v>
      </c>
      <c r="I346" s="472">
        <f t="shared" si="145"/>
        <v>180</v>
      </c>
    </row>
    <row r="347" ht="12.75" customHeight="1">
      <c r="A347" s="148"/>
      <c r="B347" s="75"/>
      <c r="C347" s="136"/>
      <c r="D347" s="136"/>
      <c r="E347" s="136"/>
      <c r="F347" s="136"/>
      <c r="G347" s="136"/>
      <c r="H347" s="136"/>
      <c r="I347" s="137"/>
    </row>
    <row r="348" ht="12.75" customHeight="1">
      <c r="A348" s="421">
        <v>44531.0</v>
      </c>
      <c r="B348" s="247">
        <v>50.0</v>
      </c>
      <c r="C348" s="81">
        <v>80.31</v>
      </c>
      <c r="D348" s="81">
        <v>470.0</v>
      </c>
      <c r="E348" s="81">
        <v>50.0</v>
      </c>
      <c r="F348" s="60">
        <f t="shared" ref="F348:F350" si="146">SUM(B348:E348)</f>
        <v>650.31</v>
      </c>
      <c r="G348" s="81">
        <v>14.0</v>
      </c>
      <c r="H348" s="81">
        <v>2.0</v>
      </c>
      <c r="I348" s="83">
        <v>50.0</v>
      </c>
    </row>
    <row r="349" ht="12.75" customHeight="1">
      <c r="A349" s="421">
        <f t="shared" ref="A349:A350" si="147">A348+1</f>
        <v>44532</v>
      </c>
      <c r="B349" s="247">
        <v>270.0</v>
      </c>
      <c r="C349" s="81">
        <v>281.69</v>
      </c>
      <c r="D349" s="81">
        <v>1069.31</v>
      </c>
      <c r="E349" s="81">
        <v>100.0</v>
      </c>
      <c r="F349" s="60">
        <f t="shared" si="146"/>
        <v>1721</v>
      </c>
      <c r="G349" s="81">
        <v>29.0</v>
      </c>
      <c r="H349" s="81">
        <v>6.0</v>
      </c>
      <c r="I349" s="83">
        <v>100.0</v>
      </c>
    </row>
    <row r="350" ht="12.75" customHeight="1">
      <c r="A350" s="421">
        <f t="shared" si="147"/>
        <v>44533</v>
      </c>
      <c r="B350" s="81">
        <v>100.0</v>
      </c>
      <c r="C350" s="81">
        <v>212.07</v>
      </c>
      <c r="D350" s="81">
        <v>827.93</v>
      </c>
      <c r="E350" s="81">
        <v>170.0</v>
      </c>
      <c r="F350" s="60">
        <f t="shared" si="146"/>
        <v>1310</v>
      </c>
      <c r="G350" s="81">
        <v>24.0</v>
      </c>
      <c r="H350" s="81">
        <v>3.0</v>
      </c>
      <c r="I350" s="83">
        <v>170.0</v>
      </c>
    </row>
    <row r="351" ht="12.75" customHeight="1">
      <c r="A351" s="67"/>
      <c r="B351" s="68">
        <f t="shared" ref="B351:I351" si="148">SUM(B348:B350)</f>
        <v>420</v>
      </c>
      <c r="C351" s="68">
        <f t="shared" si="148"/>
        <v>574.07</v>
      </c>
      <c r="D351" s="68">
        <f t="shared" si="148"/>
        <v>2367.24</v>
      </c>
      <c r="E351" s="68">
        <f t="shared" si="148"/>
        <v>320</v>
      </c>
      <c r="F351" s="68">
        <f t="shared" si="148"/>
        <v>3681.31</v>
      </c>
      <c r="G351" s="70">
        <f t="shared" si="148"/>
        <v>67</v>
      </c>
      <c r="H351" s="70">
        <f t="shared" si="148"/>
        <v>11</v>
      </c>
      <c r="I351" s="91">
        <f t="shared" si="148"/>
        <v>320</v>
      </c>
    </row>
    <row r="352" ht="12.75" customHeight="1">
      <c r="A352" s="74"/>
      <c r="B352" s="75"/>
      <c r="C352" s="75"/>
      <c r="D352" s="75"/>
      <c r="E352" s="75"/>
      <c r="F352" s="75"/>
      <c r="G352" s="76"/>
      <c r="H352" s="76"/>
      <c r="I352" s="74"/>
    </row>
    <row r="353" ht="12.75" customHeight="1">
      <c r="A353" s="455">
        <f>A350+3</f>
        <v>44536</v>
      </c>
      <c r="B353" s="59">
        <v>0.0</v>
      </c>
      <c r="C353" s="59">
        <v>375.2</v>
      </c>
      <c r="D353" s="59">
        <v>1029.31</v>
      </c>
      <c r="E353" s="59">
        <v>19.31</v>
      </c>
      <c r="F353" s="60">
        <f t="shared" ref="F353:F357" si="149">SUM(B353:E353)</f>
        <v>1423.82</v>
      </c>
      <c r="G353" s="59">
        <v>25.0</v>
      </c>
      <c r="H353" s="59">
        <v>7.0</v>
      </c>
      <c r="I353" s="61">
        <v>20.0</v>
      </c>
    </row>
    <row r="354" ht="12.75" customHeight="1">
      <c r="A354" s="433">
        <f t="shared" ref="A354:A357" si="150">A353+1</f>
        <v>44537</v>
      </c>
      <c r="B354" s="59">
        <v>90.0</v>
      </c>
      <c r="C354" s="59">
        <v>448.4</v>
      </c>
      <c r="D354" s="59">
        <v>338.62</v>
      </c>
      <c r="E354" s="59">
        <v>0.0</v>
      </c>
      <c r="F354" s="141">
        <f t="shared" si="149"/>
        <v>877.02</v>
      </c>
      <c r="G354" s="124">
        <v>16.0</v>
      </c>
      <c r="H354" s="124">
        <v>8.0</v>
      </c>
      <c r="I354" s="61">
        <v>0.0</v>
      </c>
    </row>
    <row r="355" ht="12.75" customHeight="1">
      <c r="A355" s="433">
        <f t="shared" si="150"/>
        <v>44538</v>
      </c>
      <c r="B355" s="59">
        <v>50.0</v>
      </c>
      <c r="C355" s="59">
        <v>80.31</v>
      </c>
      <c r="D355" s="59">
        <v>900.0</v>
      </c>
      <c r="E355" s="59">
        <v>0.0</v>
      </c>
      <c r="F355" s="141">
        <f t="shared" si="149"/>
        <v>1030.31</v>
      </c>
      <c r="G355" s="124">
        <v>19.0</v>
      </c>
      <c r="H355" s="124">
        <v>2.0</v>
      </c>
      <c r="I355" s="61">
        <v>0.0</v>
      </c>
    </row>
    <row r="356" ht="12.75" customHeight="1">
      <c r="A356" s="433">
        <f t="shared" si="150"/>
        <v>44539</v>
      </c>
      <c r="B356" s="59">
        <v>159.31</v>
      </c>
      <c r="C356" s="59">
        <v>324.17</v>
      </c>
      <c r="D356" s="59">
        <v>1110.0</v>
      </c>
      <c r="E356" s="59">
        <v>69.31</v>
      </c>
      <c r="F356" s="141">
        <f t="shared" si="149"/>
        <v>1662.79</v>
      </c>
      <c r="G356" s="59">
        <v>25.0</v>
      </c>
      <c r="H356" s="59">
        <v>5.0</v>
      </c>
      <c r="I356" s="61">
        <v>70.0</v>
      </c>
    </row>
    <row r="357" ht="12.75" customHeight="1">
      <c r="A357" s="433">
        <f t="shared" si="150"/>
        <v>44540</v>
      </c>
      <c r="B357" s="211">
        <v>0.0</v>
      </c>
      <c r="C357" s="211">
        <v>70.69</v>
      </c>
      <c r="D357" s="211">
        <v>199.31</v>
      </c>
      <c r="E357" s="211">
        <v>50.0</v>
      </c>
      <c r="F357" s="141">
        <f t="shared" si="149"/>
        <v>320</v>
      </c>
      <c r="G357" s="211">
        <v>4.0</v>
      </c>
      <c r="H357" s="211">
        <v>1.0</v>
      </c>
      <c r="I357" s="473">
        <v>150.0</v>
      </c>
    </row>
    <row r="358" ht="12.75" customHeight="1">
      <c r="A358" s="67"/>
      <c r="B358" s="68">
        <f t="shared" ref="B358:I358" si="151">SUM(B353:B357)</f>
        <v>299.31</v>
      </c>
      <c r="C358" s="68">
        <f t="shared" si="151"/>
        <v>1298.77</v>
      </c>
      <c r="D358" s="68">
        <f t="shared" si="151"/>
        <v>3577.24</v>
      </c>
      <c r="E358" s="68">
        <f t="shared" si="151"/>
        <v>138.62</v>
      </c>
      <c r="F358" s="249">
        <f t="shared" si="151"/>
        <v>5313.94</v>
      </c>
      <c r="G358" s="218">
        <f t="shared" si="151"/>
        <v>89</v>
      </c>
      <c r="H358" s="140">
        <f t="shared" si="151"/>
        <v>23</v>
      </c>
      <c r="I358" s="91">
        <f t="shared" si="151"/>
        <v>240</v>
      </c>
    </row>
    <row r="359" ht="12.75" customHeight="1">
      <c r="A359" s="74"/>
      <c r="B359" s="75"/>
      <c r="C359" s="75"/>
      <c r="D359" s="75"/>
      <c r="E359" s="75"/>
      <c r="F359" s="234"/>
      <c r="G359" s="74"/>
      <c r="H359" s="75"/>
      <c r="I359" s="74"/>
    </row>
    <row r="360" ht="12.75" customHeight="1">
      <c r="A360" s="443">
        <f>A357+3</f>
        <v>44543</v>
      </c>
      <c r="B360" s="59">
        <v>100.0</v>
      </c>
      <c r="C360" s="59">
        <v>100.69</v>
      </c>
      <c r="D360" s="59">
        <v>609.31</v>
      </c>
      <c r="E360" s="59">
        <v>100.0</v>
      </c>
      <c r="F360" s="141">
        <f t="shared" ref="F360:F364" si="152">SUM(B360:E360)</f>
        <v>910</v>
      </c>
      <c r="G360" s="59">
        <v>15.0</v>
      </c>
      <c r="H360" s="59">
        <v>2.0</v>
      </c>
      <c r="I360" s="61">
        <v>100.0</v>
      </c>
    </row>
    <row r="361" ht="12.75" customHeight="1">
      <c r="A361" s="443">
        <f t="shared" ref="A361:A364" si="153">A360+1</f>
        <v>44544</v>
      </c>
      <c r="B361" s="81">
        <v>150.0</v>
      </c>
      <c r="C361" s="81">
        <v>228.79</v>
      </c>
      <c r="D361" s="81">
        <v>538.62</v>
      </c>
      <c r="E361" s="81">
        <v>70.0</v>
      </c>
      <c r="F361" s="60">
        <f t="shared" si="152"/>
        <v>987.41</v>
      </c>
      <c r="G361" s="81">
        <v>16.0</v>
      </c>
      <c r="H361" s="81">
        <v>4.0</v>
      </c>
      <c r="I361" s="83">
        <v>70.0</v>
      </c>
    </row>
    <row r="362" ht="12.75" customHeight="1">
      <c r="A362" s="443">
        <f t="shared" si="153"/>
        <v>44545</v>
      </c>
      <c r="B362" s="81">
        <v>50.0</v>
      </c>
      <c r="C362" s="81">
        <v>243.44</v>
      </c>
      <c r="D362" s="81">
        <v>540.0</v>
      </c>
      <c r="E362" s="81">
        <v>50.0</v>
      </c>
      <c r="F362" s="60">
        <f t="shared" si="152"/>
        <v>883.44</v>
      </c>
      <c r="G362" s="81">
        <v>18.0</v>
      </c>
      <c r="H362" s="81">
        <v>6.0</v>
      </c>
      <c r="I362" s="83">
        <v>50.0</v>
      </c>
    </row>
    <row r="363" ht="12.75" customHeight="1">
      <c r="A363" s="443">
        <f t="shared" si="153"/>
        <v>44546</v>
      </c>
      <c r="B363" s="81">
        <v>150.0</v>
      </c>
      <c r="C363" s="81">
        <v>294.89</v>
      </c>
      <c r="D363" s="81">
        <v>929.31</v>
      </c>
      <c r="E363" s="81">
        <v>128.62</v>
      </c>
      <c r="F363" s="60">
        <f t="shared" si="152"/>
        <v>1502.82</v>
      </c>
      <c r="G363" s="81">
        <v>24.0</v>
      </c>
      <c r="H363" s="81">
        <v>5.0</v>
      </c>
      <c r="I363" s="83">
        <v>120.0</v>
      </c>
    </row>
    <row r="364" ht="12.75" customHeight="1">
      <c r="A364" s="443">
        <f t="shared" si="153"/>
        <v>44547</v>
      </c>
      <c r="B364" s="81">
        <v>50.0</v>
      </c>
      <c r="C364" s="81">
        <v>407.71</v>
      </c>
      <c r="D364" s="81">
        <v>349.31</v>
      </c>
      <c r="E364" s="81">
        <v>120.0</v>
      </c>
      <c r="F364" s="60">
        <f t="shared" si="152"/>
        <v>927.02</v>
      </c>
      <c r="G364" s="81">
        <v>16.0</v>
      </c>
      <c r="H364" s="81">
        <v>8.0</v>
      </c>
      <c r="I364" s="83">
        <v>120.0</v>
      </c>
    </row>
    <row r="365" ht="12.75" customHeight="1">
      <c r="A365" s="131"/>
      <c r="B365" s="68">
        <f t="shared" ref="B365:I365" si="154">SUM(B360:B364)</f>
        <v>500</v>
      </c>
      <c r="C365" s="68">
        <f t="shared" si="154"/>
        <v>1275.52</v>
      </c>
      <c r="D365" s="68">
        <f t="shared" si="154"/>
        <v>2966.55</v>
      </c>
      <c r="E365" s="68">
        <f t="shared" si="154"/>
        <v>468.62</v>
      </c>
      <c r="F365" s="68">
        <f t="shared" si="154"/>
        <v>5210.69</v>
      </c>
      <c r="G365" s="70">
        <f t="shared" si="154"/>
        <v>89</v>
      </c>
      <c r="H365" s="70">
        <f t="shared" si="154"/>
        <v>25</v>
      </c>
      <c r="I365" s="91">
        <f t="shared" si="154"/>
        <v>460</v>
      </c>
    </row>
    <row r="366" ht="12.75" customHeight="1">
      <c r="A366" s="148"/>
      <c r="B366" s="75"/>
      <c r="C366" s="75"/>
      <c r="D366" s="75"/>
      <c r="E366" s="75"/>
      <c r="F366" s="75"/>
      <c r="G366" s="76"/>
      <c r="H366" s="76"/>
      <c r="I366" s="74"/>
    </row>
    <row r="367" ht="12.75" customHeight="1">
      <c r="A367" s="443">
        <f>A364+3</f>
        <v>44550</v>
      </c>
      <c r="B367" s="84"/>
      <c r="C367" s="84"/>
      <c r="D367" s="84"/>
      <c r="E367" s="84"/>
      <c r="F367" s="84">
        <f t="shared" ref="F367:F371" si="155">SUM(B367:E367)</f>
        <v>0</v>
      </c>
      <c r="G367" s="84"/>
      <c r="H367" s="84"/>
      <c r="I367" s="86"/>
    </row>
    <row r="368" ht="12.75" customHeight="1">
      <c r="A368" s="443">
        <f t="shared" ref="A368:A371" si="156">A367+1</f>
        <v>44551</v>
      </c>
      <c r="B368" s="84"/>
      <c r="C368" s="84"/>
      <c r="D368" s="84"/>
      <c r="E368" s="84"/>
      <c r="F368" s="84">
        <f t="shared" si="155"/>
        <v>0</v>
      </c>
      <c r="G368" s="84"/>
      <c r="H368" s="84"/>
      <c r="I368" s="86"/>
    </row>
    <row r="369" ht="12.75" customHeight="1">
      <c r="A369" s="443">
        <f t="shared" si="156"/>
        <v>44552</v>
      </c>
      <c r="B369" s="84"/>
      <c r="C369" s="84"/>
      <c r="D369" s="84"/>
      <c r="E369" s="84"/>
      <c r="F369" s="84">
        <f t="shared" si="155"/>
        <v>0</v>
      </c>
      <c r="G369" s="84"/>
      <c r="H369" s="84"/>
      <c r="I369" s="86"/>
    </row>
    <row r="370" ht="12.75" customHeight="1">
      <c r="A370" s="443">
        <f t="shared" si="156"/>
        <v>44553</v>
      </c>
      <c r="B370" s="84"/>
      <c r="C370" s="84"/>
      <c r="D370" s="84"/>
      <c r="E370" s="84"/>
      <c r="F370" s="151">
        <f t="shared" si="155"/>
        <v>0</v>
      </c>
      <c r="G370" s="84"/>
      <c r="H370" s="84"/>
      <c r="I370" s="86"/>
    </row>
    <row r="371" ht="12.75" customHeight="1">
      <c r="A371" s="443">
        <f t="shared" si="156"/>
        <v>44554</v>
      </c>
      <c r="B371" s="84"/>
      <c r="C371" s="84"/>
      <c r="D371" s="84"/>
      <c r="E371" s="84"/>
      <c r="F371" s="151">
        <f t="shared" si="155"/>
        <v>0</v>
      </c>
      <c r="G371" s="84"/>
      <c r="H371" s="84"/>
      <c r="I371" s="86"/>
    </row>
    <row r="372" ht="12.75" customHeight="1">
      <c r="A372" s="131"/>
      <c r="B372" s="68">
        <f t="shared" ref="B372:I372" si="157">SUM(B367:B371)</f>
        <v>0</v>
      </c>
      <c r="C372" s="68">
        <f t="shared" si="157"/>
        <v>0</v>
      </c>
      <c r="D372" s="68">
        <f t="shared" si="157"/>
        <v>0</v>
      </c>
      <c r="E372" s="68">
        <f t="shared" si="157"/>
        <v>0</v>
      </c>
      <c r="F372" s="68">
        <f t="shared" si="157"/>
        <v>0</v>
      </c>
      <c r="G372" s="70">
        <f t="shared" si="157"/>
        <v>0</v>
      </c>
      <c r="H372" s="70">
        <f t="shared" si="157"/>
        <v>0</v>
      </c>
      <c r="I372" s="91">
        <f t="shared" si="157"/>
        <v>0</v>
      </c>
    </row>
    <row r="373" ht="12.75" customHeight="1">
      <c r="A373" s="148"/>
      <c r="B373" s="75"/>
      <c r="C373" s="75"/>
      <c r="D373" s="75"/>
      <c r="E373" s="75"/>
      <c r="F373" s="75"/>
      <c r="G373" s="76"/>
      <c r="H373" s="76"/>
      <c r="I373" s="74"/>
    </row>
    <row r="374" ht="12.75" customHeight="1">
      <c r="A374" s="443">
        <f>A371+3</f>
        <v>44557</v>
      </c>
      <c r="B374" s="84"/>
      <c r="C374" s="84"/>
      <c r="D374" s="84"/>
      <c r="E374" s="84"/>
      <c r="F374" s="85">
        <f t="shared" ref="F374:F375" si="158">SUM(B374:E374)</f>
        <v>0</v>
      </c>
      <c r="G374" s="84"/>
      <c r="H374" s="84"/>
      <c r="I374" s="86"/>
    </row>
    <row r="375" ht="12.75" customHeight="1">
      <c r="A375" s="443">
        <f t="shared" ref="A375:A378" si="159">A374+1</f>
        <v>44558</v>
      </c>
      <c r="B375" s="84"/>
      <c r="C375" s="84"/>
      <c r="D375" s="84"/>
      <c r="E375" s="84"/>
      <c r="F375" s="85">
        <f t="shared" si="158"/>
        <v>0</v>
      </c>
      <c r="G375" s="84"/>
      <c r="H375" s="84"/>
      <c r="I375" s="86"/>
    </row>
    <row r="376" ht="12.75" customHeight="1">
      <c r="A376" s="443">
        <f t="shared" si="159"/>
        <v>44559</v>
      </c>
      <c r="B376" s="84"/>
      <c r="C376" s="84"/>
      <c r="D376" s="84"/>
      <c r="E376" s="84"/>
      <c r="F376" s="85"/>
      <c r="G376" s="84"/>
      <c r="H376" s="84"/>
      <c r="I376" s="86"/>
    </row>
    <row r="377" ht="12.75" customHeight="1">
      <c r="A377" s="443">
        <f t="shared" si="159"/>
        <v>44560</v>
      </c>
      <c r="B377" s="84"/>
      <c r="C377" s="84"/>
      <c r="D377" s="84"/>
      <c r="E377" s="84"/>
      <c r="F377" s="85">
        <f t="shared" ref="F377:F378" si="160">SUM(B377:E377)</f>
        <v>0</v>
      </c>
      <c r="G377" s="84"/>
      <c r="H377" s="84"/>
      <c r="I377" s="86"/>
    </row>
    <row r="378" ht="12.75" customHeight="1">
      <c r="A378" s="443">
        <f t="shared" si="159"/>
        <v>44561</v>
      </c>
      <c r="B378" s="84"/>
      <c r="C378" s="84"/>
      <c r="D378" s="84"/>
      <c r="E378" s="84"/>
      <c r="F378" s="85">
        <f t="shared" si="160"/>
        <v>0</v>
      </c>
      <c r="G378" s="84"/>
      <c r="H378" s="84"/>
      <c r="I378" s="86"/>
    </row>
    <row r="379" ht="12.75" customHeight="1">
      <c r="A379" s="474"/>
      <c r="B379" s="68">
        <f t="shared" ref="B379:I379" si="161">SUM(B374:B378)</f>
        <v>0</v>
      </c>
      <c r="C379" s="68">
        <f t="shared" si="161"/>
        <v>0</v>
      </c>
      <c r="D379" s="68">
        <f t="shared" si="161"/>
        <v>0</v>
      </c>
      <c r="E379" s="68">
        <f t="shared" si="161"/>
        <v>0</v>
      </c>
      <c r="F379" s="68">
        <f t="shared" si="161"/>
        <v>0</v>
      </c>
      <c r="G379" s="70">
        <f t="shared" si="161"/>
        <v>0</v>
      </c>
      <c r="H379" s="70">
        <f t="shared" si="161"/>
        <v>0</v>
      </c>
      <c r="I379" s="91">
        <f t="shared" si="161"/>
        <v>0</v>
      </c>
    </row>
    <row r="380" ht="12.75" customHeight="1">
      <c r="A380" s="475"/>
      <c r="B380" s="75"/>
      <c r="C380" s="75"/>
      <c r="D380" s="75"/>
      <c r="E380" s="75"/>
      <c r="F380" s="75"/>
      <c r="G380" s="76"/>
      <c r="H380" s="76"/>
      <c r="I380" s="74"/>
    </row>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538">
    <mergeCell ref="H24:H25"/>
    <mergeCell ref="I24:I25"/>
    <mergeCell ref="A24:A25"/>
    <mergeCell ref="B24:B25"/>
    <mergeCell ref="C24:C25"/>
    <mergeCell ref="D24:D25"/>
    <mergeCell ref="E24:E25"/>
    <mergeCell ref="F24:F25"/>
    <mergeCell ref="G24:G25"/>
    <mergeCell ref="H31:H32"/>
    <mergeCell ref="I31:I32"/>
    <mergeCell ref="L31:M31"/>
    <mergeCell ref="A31:A32"/>
    <mergeCell ref="B31:B32"/>
    <mergeCell ref="C31:C32"/>
    <mergeCell ref="D31:D32"/>
    <mergeCell ref="E31:E32"/>
    <mergeCell ref="F31:F32"/>
    <mergeCell ref="G31:G32"/>
    <mergeCell ref="H38:H39"/>
    <mergeCell ref="I38:I39"/>
    <mergeCell ref="L41:M41"/>
    <mergeCell ref="A38:A39"/>
    <mergeCell ref="B38:B39"/>
    <mergeCell ref="C38:C39"/>
    <mergeCell ref="D38:D39"/>
    <mergeCell ref="E38:E39"/>
    <mergeCell ref="F38:F39"/>
    <mergeCell ref="G38:G39"/>
    <mergeCell ref="I45:I46"/>
    <mergeCell ref="L50:M50"/>
    <mergeCell ref="B45:B46"/>
    <mergeCell ref="C45:C46"/>
    <mergeCell ref="D45:D46"/>
    <mergeCell ref="E45:E46"/>
    <mergeCell ref="F45:F46"/>
    <mergeCell ref="G45:G46"/>
    <mergeCell ref="H45:H46"/>
    <mergeCell ref="H80:H81"/>
    <mergeCell ref="I80:I81"/>
    <mergeCell ref="A80:A81"/>
    <mergeCell ref="B80:B81"/>
    <mergeCell ref="C80:C81"/>
    <mergeCell ref="D80:D81"/>
    <mergeCell ref="E80:E81"/>
    <mergeCell ref="F80:F81"/>
    <mergeCell ref="G80:G81"/>
    <mergeCell ref="H87:H88"/>
    <mergeCell ref="I87:I88"/>
    <mergeCell ref="L87:M87"/>
    <mergeCell ref="A87:A88"/>
    <mergeCell ref="B87:B88"/>
    <mergeCell ref="C87:C88"/>
    <mergeCell ref="D87:D88"/>
    <mergeCell ref="E87:E88"/>
    <mergeCell ref="F87:F88"/>
    <mergeCell ref="G87:G88"/>
    <mergeCell ref="H92:H93"/>
    <mergeCell ref="I92:I93"/>
    <mergeCell ref="A92:A93"/>
    <mergeCell ref="B92:B93"/>
    <mergeCell ref="C92:C93"/>
    <mergeCell ref="D92:D93"/>
    <mergeCell ref="E92:E93"/>
    <mergeCell ref="F92:F93"/>
    <mergeCell ref="G92:G93"/>
    <mergeCell ref="H3:H4"/>
    <mergeCell ref="I3:I4"/>
    <mergeCell ref="L5:M5"/>
    <mergeCell ref="A3:A4"/>
    <mergeCell ref="B3:B4"/>
    <mergeCell ref="C3:C4"/>
    <mergeCell ref="D3:D4"/>
    <mergeCell ref="E3:E4"/>
    <mergeCell ref="F3:F4"/>
    <mergeCell ref="G3:G4"/>
    <mergeCell ref="H10:H11"/>
    <mergeCell ref="I10:I11"/>
    <mergeCell ref="L14:M14"/>
    <mergeCell ref="A10:A11"/>
    <mergeCell ref="B10:B11"/>
    <mergeCell ref="C10:C11"/>
    <mergeCell ref="D10:D11"/>
    <mergeCell ref="E10:E11"/>
    <mergeCell ref="F10:F11"/>
    <mergeCell ref="G10:G11"/>
    <mergeCell ref="H17:H18"/>
    <mergeCell ref="I17:I18"/>
    <mergeCell ref="L22:M22"/>
    <mergeCell ref="A17:A18"/>
    <mergeCell ref="B17:B18"/>
    <mergeCell ref="C17:C18"/>
    <mergeCell ref="D17:D18"/>
    <mergeCell ref="E17:E18"/>
    <mergeCell ref="F17:F18"/>
    <mergeCell ref="G17:G18"/>
    <mergeCell ref="H59:H60"/>
    <mergeCell ref="I59:I60"/>
    <mergeCell ref="L59:M59"/>
    <mergeCell ref="H96:H97"/>
    <mergeCell ref="I96:I97"/>
    <mergeCell ref="L96:M96"/>
    <mergeCell ref="A96:A97"/>
    <mergeCell ref="B96:B97"/>
    <mergeCell ref="C96:C97"/>
    <mergeCell ref="D96:D97"/>
    <mergeCell ref="E96:E97"/>
    <mergeCell ref="F96:F97"/>
    <mergeCell ref="G96:G97"/>
    <mergeCell ref="H103:H104"/>
    <mergeCell ref="I103:I104"/>
    <mergeCell ref="L105:M105"/>
    <mergeCell ref="A103:A104"/>
    <mergeCell ref="B103:B104"/>
    <mergeCell ref="C103:C104"/>
    <mergeCell ref="D103:D104"/>
    <mergeCell ref="E103:E104"/>
    <mergeCell ref="F103:F104"/>
    <mergeCell ref="G103:G104"/>
    <mergeCell ref="H110:H111"/>
    <mergeCell ref="I110:I111"/>
    <mergeCell ref="A110:A111"/>
    <mergeCell ref="B110:B111"/>
    <mergeCell ref="C110:C111"/>
    <mergeCell ref="D110:D111"/>
    <mergeCell ref="E110:E111"/>
    <mergeCell ref="F110:F111"/>
    <mergeCell ref="G110:G111"/>
    <mergeCell ref="H117:H118"/>
    <mergeCell ref="I117:I118"/>
    <mergeCell ref="A117:A118"/>
    <mergeCell ref="B117:B118"/>
    <mergeCell ref="C117:C118"/>
    <mergeCell ref="D117:D118"/>
    <mergeCell ref="E117:E118"/>
    <mergeCell ref="F117:F118"/>
    <mergeCell ref="G117:G118"/>
    <mergeCell ref="C52:C53"/>
    <mergeCell ref="D52:D53"/>
    <mergeCell ref="E52:E53"/>
    <mergeCell ref="F52:F53"/>
    <mergeCell ref="G52:G53"/>
    <mergeCell ref="H52:H53"/>
    <mergeCell ref="I52:I53"/>
    <mergeCell ref="B52:B53"/>
    <mergeCell ref="B59:B60"/>
    <mergeCell ref="C59:C60"/>
    <mergeCell ref="D59:D60"/>
    <mergeCell ref="E59:E60"/>
    <mergeCell ref="F59:F60"/>
    <mergeCell ref="G59:G60"/>
    <mergeCell ref="H66:H67"/>
    <mergeCell ref="I66:I67"/>
    <mergeCell ref="L69:M69"/>
    <mergeCell ref="A66:A67"/>
    <mergeCell ref="B66:B67"/>
    <mergeCell ref="C66:C67"/>
    <mergeCell ref="D66:D67"/>
    <mergeCell ref="E66:E67"/>
    <mergeCell ref="F66:F67"/>
    <mergeCell ref="G66:G67"/>
    <mergeCell ref="H73:H74"/>
    <mergeCell ref="I73:I74"/>
    <mergeCell ref="L78:M78"/>
    <mergeCell ref="A73:A74"/>
    <mergeCell ref="B73:B74"/>
    <mergeCell ref="C73:C74"/>
    <mergeCell ref="D73:D74"/>
    <mergeCell ref="E73:E74"/>
    <mergeCell ref="F73:F74"/>
    <mergeCell ref="G73:G74"/>
    <mergeCell ref="G131:G132"/>
    <mergeCell ref="H131:H132"/>
    <mergeCell ref="H152:H153"/>
    <mergeCell ref="I152:I153"/>
    <mergeCell ref="A152:A153"/>
    <mergeCell ref="B152:B153"/>
    <mergeCell ref="C152:C153"/>
    <mergeCell ref="D152:D153"/>
    <mergeCell ref="E152:E153"/>
    <mergeCell ref="F152:F153"/>
    <mergeCell ref="G152:G153"/>
    <mergeCell ref="H155:H156"/>
    <mergeCell ref="I155:I156"/>
    <mergeCell ref="A155:A156"/>
    <mergeCell ref="B155:B156"/>
    <mergeCell ref="C155:C156"/>
    <mergeCell ref="D155:D156"/>
    <mergeCell ref="E155:E156"/>
    <mergeCell ref="F155:F156"/>
    <mergeCell ref="G155:G156"/>
    <mergeCell ref="H161:H162"/>
    <mergeCell ref="I161:I162"/>
    <mergeCell ref="A161:A162"/>
    <mergeCell ref="B161:B162"/>
    <mergeCell ref="C161:C162"/>
    <mergeCell ref="D161:D162"/>
    <mergeCell ref="E161:E162"/>
    <mergeCell ref="F161:F162"/>
    <mergeCell ref="G161:G162"/>
    <mergeCell ref="H168:H169"/>
    <mergeCell ref="I168:I169"/>
    <mergeCell ref="A168:A169"/>
    <mergeCell ref="B168:B169"/>
    <mergeCell ref="C168:C169"/>
    <mergeCell ref="D168:D169"/>
    <mergeCell ref="E168:E169"/>
    <mergeCell ref="F168:F169"/>
    <mergeCell ref="G168:G169"/>
    <mergeCell ref="H175:H176"/>
    <mergeCell ref="I175:I176"/>
    <mergeCell ref="A175:A176"/>
    <mergeCell ref="B175:B176"/>
    <mergeCell ref="C175:C176"/>
    <mergeCell ref="D175:D176"/>
    <mergeCell ref="E175:E176"/>
    <mergeCell ref="F175:F176"/>
    <mergeCell ref="G175:G176"/>
    <mergeCell ref="H182:H183"/>
    <mergeCell ref="I182:I183"/>
    <mergeCell ref="A182:A183"/>
    <mergeCell ref="B182:B183"/>
    <mergeCell ref="C182:C183"/>
    <mergeCell ref="D182:D183"/>
    <mergeCell ref="E182:E183"/>
    <mergeCell ref="F182:F183"/>
    <mergeCell ref="G182:G183"/>
    <mergeCell ref="H187:H188"/>
    <mergeCell ref="I187:I188"/>
    <mergeCell ref="A187:A188"/>
    <mergeCell ref="B187:B188"/>
    <mergeCell ref="C187:C188"/>
    <mergeCell ref="D187:D188"/>
    <mergeCell ref="E187:E188"/>
    <mergeCell ref="F187:F188"/>
    <mergeCell ref="G187:G188"/>
    <mergeCell ref="H191:H192"/>
    <mergeCell ref="I191:I192"/>
    <mergeCell ref="A191:A192"/>
    <mergeCell ref="B191:B192"/>
    <mergeCell ref="C191:C192"/>
    <mergeCell ref="D191:D192"/>
    <mergeCell ref="E191:E192"/>
    <mergeCell ref="F191:F192"/>
    <mergeCell ref="G191:G192"/>
    <mergeCell ref="H198:H199"/>
    <mergeCell ref="I198:I199"/>
    <mergeCell ref="A198:A199"/>
    <mergeCell ref="B198:B199"/>
    <mergeCell ref="C198:C199"/>
    <mergeCell ref="D198:D199"/>
    <mergeCell ref="E198:E199"/>
    <mergeCell ref="F198:F199"/>
    <mergeCell ref="G198:G199"/>
    <mergeCell ref="H205:H206"/>
    <mergeCell ref="I205:I206"/>
    <mergeCell ref="A205:A206"/>
    <mergeCell ref="B205:B206"/>
    <mergeCell ref="C205:C206"/>
    <mergeCell ref="D205:D206"/>
    <mergeCell ref="E205:E206"/>
    <mergeCell ref="F205:F206"/>
    <mergeCell ref="G205:G206"/>
    <mergeCell ref="H212:H213"/>
    <mergeCell ref="I212:I213"/>
    <mergeCell ref="A212:A213"/>
    <mergeCell ref="B212:B213"/>
    <mergeCell ref="C212:C213"/>
    <mergeCell ref="D212:D213"/>
    <mergeCell ref="E212:E213"/>
    <mergeCell ref="F212:F213"/>
    <mergeCell ref="G212:G213"/>
    <mergeCell ref="H219:H220"/>
    <mergeCell ref="I219:I220"/>
    <mergeCell ref="A219:A220"/>
    <mergeCell ref="B219:B220"/>
    <mergeCell ref="C219:C220"/>
    <mergeCell ref="D219:D220"/>
    <mergeCell ref="E219:E220"/>
    <mergeCell ref="F219:F220"/>
    <mergeCell ref="G219:G220"/>
    <mergeCell ref="H226:H227"/>
    <mergeCell ref="I226:I227"/>
    <mergeCell ref="A226:A227"/>
    <mergeCell ref="B226:B227"/>
    <mergeCell ref="C226:C227"/>
    <mergeCell ref="D226:D227"/>
    <mergeCell ref="E226:E227"/>
    <mergeCell ref="F226:F227"/>
    <mergeCell ref="G226:G227"/>
    <mergeCell ref="H233:H234"/>
    <mergeCell ref="I233:I234"/>
    <mergeCell ref="A233:A234"/>
    <mergeCell ref="B233:B234"/>
    <mergeCell ref="C233:C234"/>
    <mergeCell ref="D233:D234"/>
    <mergeCell ref="E233:E234"/>
    <mergeCell ref="F233:F234"/>
    <mergeCell ref="G233:G234"/>
    <mergeCell ref="H240:H241"/>
    <mergeCell ref="I240:I241"/>
    <mergeCell ref="A240:A241"/>
    <mergeCell ref="B240:B241"/>
    <mergeCell ref="C240:C241"/>
    <mergeCell ref="D240:D241"/>
    <mergeCell ref="E240:E241"/>
    <mergeCell ref="F240:F241"/>
    <mergeCell ref="G240:G241"/>
    <mergeCell ref="H247:H248"/>
    <mergeCell ref="I247:I248"/>
    <mergeCell ref="A247:A248"/>
    <mergeCell ref="B247:B248"/>
    <mergeCell ref="C247:C248"/>
    <mergeCell ref="D247:D248"/>
    <mergeCell ref="E247:E248"/>
    <mergeCell ref="F247:F248"/>
    <mergeCell ref="G247:G248"/>
    <mergeCell ref="H251:H252"/>
    <mergeCell ref="I251:I252"/>
    <mergeCell ref="A251:A252"/>
    <mergeCell ref="B251:B252"/>
    <mergeCell ref="C251:C252"/>
    <mergeCell ref="D251:D252"/>
    <mergeCell ref="E251:E252"/>
    <mergeCell ref="F251:F252"/>
    <mergeCell ref="G251:G252"/>
    <mergeCell ref="H256:H257"/>
    <mergeCell ref="I256:I257"/>
    <mergeCell ref="A256:A257"/>
    <mergeCell ref="B256:B257"/>
    <mergeCell ref="C256:C257"/>
    <mergeCell ref="D256:D257"/>
    <mergeCell ref="E256:E257"/>
    <mergeCell ref="F256:F257"/>
    <mergeCell ref="G256:G257"/>
    <mergeCell ref="H263:H264"/>
    <mergeCell ref="I263:I264"/>
    <mergeCell ref="A263:A264"/>
    <mergeCell ref="B263:B264"/>
    <mergeCell ref="C263:C264"/>
    <mergeCell ref="D263:D264"/>
    <mergeCell ref="E263:E264"/>
    <mergeCell ref="F263:F264"/>
    <mergeCell ref="G263:G264"/>
    <mergeCell ref="H270:H271"/>
    <mergeCell ref="I270:I271"/>
    <mergeCell ref="A270:A271"/>
    <mergeCell ref="B270:B271"/>
    <mergeCell ref="C270:C271"/>
    <mergeCell ref="D270:D271"/>
    <mergeCell ref="E270:E271"/>
    <mergeCell ref="F270:F271"/>
    <mergeCell ref="G270:G271"/>
    <mergeCell ref="H277:H278"/>
    <mergeCell ref="I277:I278"/>
    <mergeCell ref="A277:A278"/>
    <mergeCell ref="B277:B278"/>
    <mergeCell ref="C277:C278"/>
    <mergeCell ref="D277:D278"/>
    <mergeCell ref="E277:E278"/>
    <mergeCell ref="F277:F278"/>
    <mergeCell ref="G277:G278"/>
    <mergeCell ref="H283:H284"/>
    <mergeCell ref="I283:I284"/>
    <mergeCell ref="A283:A284"/>
    <mergeCell ref="B283:B284"/>
    <mergeCell ref="C283:C284"/>
    <mergeCell ref="D283:D284"/>
    <mergeCell ref="E283:E284"/>
    <mergeCell ref="F283:F284"/>
    <mergeCell ref="G283:G284"/>
    <mergeCell ref="H335:H336"/>
    <mergeCell ref="I335:I336"/>
    <mergeCell ref="A335:A336"/>
    <mergeCell ref="B335:B336"/>
    <mergeCell ref="C335:C336"/>
    <mergeCell ref="D335:D336"/>
    <mergeCell ref="E335:E336"/>
    <mergeCell ref="F335:F336"/>
    <mergeCell ref="G335:G336"/>
    <mergeCell ref="H342:H343"/>
    <mergeCell ref="I342:I343"/>
    <mergeCell ref="A342:A343"/>
    <mergeCell ref="B342:B343"/>
    <mergeCell ref="C342:C343"/>
    <mergeCell ref="D342:D343"/>
    <mergeCell ref="E342:E343"/>
    <mergeCell ref="F342:F343"/>
    <mergeCell ref="G342:G343"/>
    <mergeCell ref="H346:H347"/>
    <mergeCell ref="I346:I347"/>
    <mergeCell ref="A346:A347"/>
    <mergeCell ref="B346:B347"/>
    <mergeCell ref="C346:C347"/>
    <mergeCell ref="D346:D347"/>
    <mergeCell ref="E346:E347"/>
    <mergeCell ref="F346:F347"/>
    <mergeCell ref="G346:G347"/>
    <mergeCell ref="H351:H352"/>
    <mergeCell ref="I351:I352"/>
    <mergeCell ref="A351:A352"/>
    <mergeCell ref="B351:B352"/>
    <mergeCell ref="C351:C352"/>
    <mergeCell ref="D351:D352"/>
    <mergeCell ref="E351:E352"/>
    <mergeCell ref="F351:F352"/>
    <mergeCell ref="G351:G352"/>
    <mergeCell ref="H358:H359"/>
    <mergeCell ref="I358:I359"/>
    <mergeCell ref="A358:A359"/>
    <mergeCell ref="B358:B359"/>
    <mergeCell ref="C358:C359"/>
    <mergeCell ref="D358:D359"/>
    <mergeCell ref="E358:E359"/>
    <mergeCell ref="F358:F359"/>
    <mergeCell ref="G358:G359"/>
    <mergeCell ref="H365:H366"/>
    <mergeCell ref="I365:I366"/>
    <mergeCell ref="A365:A366"/>
    <mergeCell ref="B365:B366"/>
    <mergeCell ref="C365:C366"/>
    <mergeCell ref="D365:D366"/>
    <mergeCell ref="E365:E366"/>
    <mergeCell ref="F365:F366"/>
    <mergeCell ref="G365:G366"/>
    <mergeCell ref="H372:H373"/>
    <mergeCell ref="I372:I373"/>
    <mergeCell ref="A372:A373"/>
    <mergeCell ref="B372:B373"/>
    <mergeCell ref="C372:C373"/>
    <mergeCell ref="D372:D373"/>
    <mergeCell ref="E372:E373"/>
    <mergeCell ref="F372:F373"/>
    <mergeCell ref="G372:G373"/>
    <mergeCell ref="C124:C125"/>
    <mergeCell ref="D124:D125"/>
    <mergeCell ref="E124:E125"/>
    <mergeCell ref="F124:F125"/>
    <mergeCell ref="G124:G125"/>
    <mergeCell ref="H124:H125"/>
    <mergeCell ref="I124:I125"/>
    <mergeCell ref="B124:B125"/>
    <mergeCell ref="B131:B132"/>
    <mergeCell ref="C131:C132"/>
    <mergeCell ref="D131:D132"/>
    <mergeCell ref="E131:E132"/>
    <mergeCell ref="F131:F132"/>
    <mergeCell ref="I131:I132"/>
    <mergeCell ref="G138:G139"/>
    <mergeCell ref="H138:H139"/>
    <mergeCell ref="I138:I139"/>
    <mergeCell ref="A131:A132"/>
    <mergeCell ref="A138:A139"/>
    <mergeCell ref="B138:B139"/>
    <mergeCell ref="C138:C139"/>
    <mergeCell ref="D138:D139"/>
    <mergeCell ref="E138:E139"/>
    <mergeCell ref="F138:F139"/>
    <mergeCell ref="H145:H146"/>
    <mergeCell ref="I145:I146"/>
    <mergeCell ref="A145:A146"/>
    <mergeCell ref="B145:B146"/>
    <mergeCell ref="C145:C146"/>
    <mergeCell ref="D145:D146"/>
    <mergeCell ref="E145:E146"/>
    <mergeCell ref="F145:F146"/>
    <mergeCell ref="G145:G146"/>
    <mergeCell ref="B379:B380"/>
    <mergeCell ref="C379:C380"/>
    <mergeCell ref="D379:D380"/>
    <mergeCell ref="E379:E380"/>
    <mergeCell ref="F379:F380"/>
    <mergeCell ref="G379:G380"/>
    <mergeCell ref="H379:H380"/>
    <mergeCell ref="I379:I380"/>
    <mergeCell ref="H286:H287"/>
    <mergeCell ref="I286:I287"/>
    <mergeCell ref="A286:A287"/>
    <mergeCell ref="B286:B287"/>
    <mergeCell ref="C286:C287"/>
    <mergeCell ref="D286:D287"/>
    <mergeCell ref="E286:E287"/>
    <mergeCell ref="F286:F287"/>
    <mergeCell ref="G286:G287"/>
    <mergeCell ref="H293:H294"/>
    <mergeCell ref="I293:I294"/>
    <mergeCell ref="A293:A294"/>
    <mergeCell ref="B293:B294"/>
    <mergeCell ref="C293:C294"/>
    <mergeCell ref="D293:D294"/>
    <mergeCell ref="E293:E294"/>
    <mergeCell ref="F293:F294"/>
    <mergeCell ref="G293:G294"/>
    <mergeCell ref="H300:H301"/>
    <mergeCell ref="I300:I301"/>
    <mergeCell ref="A300:A301"/>
    <mergeCell ref="B300:B301"/>
    <mergeCell ref="C300:C301"/>
    <mergeCell ref="D300:D301"/>
    <mergeCell ref="E300:E301"/>
    <mergeCell ref="F300:F301"/>
    <mergeCell ref="G300:G301"/>
    <mergeCell ref="H307:H308"/>
    <mergeCell ref="I307:I308"/>
    <mergeCell ref="A307:A308"/>
    <mergeCell ref="B307:B308"/>
    <mergeCell ref="C307:C308"/>
    <mergeCell ref="D307:D308"/>
    <mergeCell ref="E307:E308"/>
    <mergeCell ref="F307:F308"/>
    <mergeCell ref="G307:G308"/>
    <mergeCell ref="H314:H315"/>
    <mergeCell ref="I314:I315"/>
    <mergeCell ref="A314:A315"/>
    <mergeCell ref="B314:B315"/>
    <mergeCell ref="C314:C315"/>
    <mergeCell ref="D314:D315"/>
    <mergeCell ref="E314:E315"/>
    <mergeCell ref="F314:F315"/>
    <mergeCell ref="G314:G315"/>
    <mergeCell ref="H321:H322"/>
    <mergeCell ref="I321:I322"/>
    <mergeCell ref="A321:A322"/>
    <mergeCell ref="B321:B322"/>
    <mergeCell ref="C321:C322"/>
    <mergeCell ref="D321:D322"/>
    <mergeCell ref="E321:E322"/>
    <mergeCell ref="F321:F322"/>
    <mergeCell ref="G321:G322"/>
    <mergeCell ref="H328:H329"/>
    <mergeCell ref="I328:I329"/>
    <mergeCell ref="A328:A329"/>
    <mergeCell ref="B328:B329"/>
    <mergeCell ref="C328:C329"/>
    <mergeCell ref="D328:D329"/>
    <mergeCell ref="E328:E329"/>
    <mergeCell ref="F328:F329"/>
    <mergeCell ref="G328:G329"/>
  </mergeCells>
  <printOptions/>
  <pageMargins bottom="0.75" footer="0.0" header="0.0" left="0.7" right="0.7" top="0.75"/>
  <pageSetup paperSize="9" orientation="portrait"/>
  <drawing r:id="rId1"/>
</worksheet>
</file>

<file path=xl/worksheets/sheet1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B0F0"/>
    <pageSetUpPr/>
  </sheetPr>
  <sheetViews>
    <sheetView workbookViewId="0"/>
  </sheetViews>
  <sheetFormatPr customHeight="1" defaultColWidth="12.63" defaultRowHeight="15.0"/>
  <cols>
    <col customWidth="1" min="1" max="1" width="19.13"/>
    <col customWidth="1" min="2" max="10" width="10.63"/>
    <col customWidth="1" min="11" max="11" width="13.63"/>
    <col customWidth="1" min="12" max="13" width="10.63"/>
    <col customWidth="1" min="14" max="14" width="20.5"/>
    <col customWidth="1" min="15" max="25" width="10.63"/>
  </cols>
  <sheetData>
    <row r="1">
      <c r="A1" s="55" t="s">
        <v>61</v>
      </c>
      <c r="B1" s="55" t="s">
        <v>62</v>
      </c>
      <c r="C1" s="55" t="s">
        <v>63</v>
      </c>
      <c r="D1" s="55" t="s">
        <v>45</v>
      </c>
      <c r="E1" s="55" t="s">
        <v>46</v>
      </c>
      <c r="F1" s="55" t="s">
        <v>64</v>
      </c>
      <c r="G1" s="56" t="s">
        <v>65</v>
      </c>
      <c r="H1" s="55" t="s">
        <v>66</v>
      </c>
      <c r="I1" s="57" t="s">
        <v>67</v>
      </c>
      <c r="K1" s="63" t="s">
        <v>189</v>
      </c>
    </row>
    <row r="2">
      <c r="A2" s="476">
        <v>44564.0</v>
      </c>
      <c r="B2" s="138"/>
      <c r="C2" s="138"/>
      <c r="D2" s="138"/>
      <c r="E2" s="138"/>
      <c r="F2" s="85">
        <f t="shared" ref="F2:F6" si="1">SUM(B2:E2)</f>
        <v>0</v>
      </c>
      <c r="G2" s="138"/>
      <c r="H2" s="138"/>
      <c r="I2" s="146"/>
      <c r="K2" s="63"/>
    </row>
    <row r="3">
      <c r="A3" s="476">
        <f t="shared" ref="A3:A6" si="2">A2+1</f>
        <v>44565</v>
      </c>
      <c r="B3" s="138"/>
      <c r="C3" s="138"/>
      <c r="D3" s="138"/>
      <c r="E3" s="138"/>
      <c r="F3" s="85">
        <f t="shared" si="1"/>
        <v>0</v>
      </c>
      <c r="G3" s="138"/>
      <c r="H3" s="138"/>
      <c r="I3" s="146"/>
      <c r="K3" s="64"/>
      <c r="L3" s="477">
        <f>L4+M4</f>
        <v>110</v>
      </c>
      <c r="M3" s="478"/>
      <c r="N3" s="66"/>
    </row>
    <row r="4">
      <c r="A4" s="476">
        <f t="shared" si="2"/>
        <v>44566</v>
      </c>
      <c r="B4" s="138"/>
      <c r="C4" s="138"/>
      <c r="D4" s="138"/>
      <c r="E4" s="138"/>
      <c r="F4" s="85">
        <f t="shared" si="1"/>
        <v>0</v>
      </c>
      <c r="G4" s="138"/>
      <c r="H4" s="138"/>
      <c r="I4" s="146"/>
      <c r="K4" s="64"/>
      <c r="L4" s="72">
        <f t="shared" ref="L4:N4" si="3">SUM(L6:L10)</f>
        <v>104</v>
      </c>
      <c r="M4" s="72">
        <f t="shared" si="3"/>
        <v>6</v>
      </c>
      <c r="N4" s="336">
        <f t="shared" si="3"/>
        <v>9784.14</v>
      </c>
    </row>
    <row r="5">
      <c r="A5" s="476">
        <f t="shared" si="2"/>
        <v>44567</v>
      </c>
      <c r="B5" s="59">
        <v>50.0</v>
      </c>
      <c r="C5" s="59">
        <v>365.1</v>
      </c>
      <c r="D5" s="59">
        <v>1349.31</v>
      </c>
      <c r="E5" s="59">
        <v>50.0</v>
      </c>
      <c r="F5" s="60">
        <f t="shared" si="1"/>
        <v>1814.41</v>
      </c>
      <c r="G5" s="59">
        <v>30.0</v>
      </c>
      <c r="H5" s="59">
        <v>9.0</v>
      </c>
      <c r="I5" s="61">
        <v>50.0</v>
      </c>
      <c r="K5" s="78" t="s">
        <v>69</v>
      </c>
      <c r="L5" s="79">
        <v>90.0</v>
      </c>
      <c r="M5" s="79">
        <v>70.69</v>
      </c>
      <c r="N5" s="66"/>
    </row>
    <row r="6">
      <c r="A6" s="476">
        <f t="shared" si="2"/>
        <v>44568</v>
      </c>
      <c r="B6" s="59">
        <v>0.0</v>
      </c>
      <c r="C6" s="59">
        <v>212.07</v>
      </c>
      <c r="D6" s="59">
        <v>1220.0</v>
      </c>
      <c r="E6" s="59">
        <v>0.0</v>
      </c>
      <c r="F6" s="60">
        <f t="shared" si="1"/>
        <v>1432.07</v>
      </c>
      <c r="G6" s="59">
        <v>25.0</v>
      </c>
      <c r="H6" s="59">
        <v>3.0</v>
      </c>
      <c r="I6" s="61">
        <v>0.0</v>
      </c>
      <c r="K6" s="81" t="s">
        <v>70</v>
      </c>
      <c r="L6" s="81">
        <v>17.0</v>
      </c>
      <c r="M6" s="81">
        <v>1.0</v>
      </c>
      <c r="N6" s="82">
        <f t="shared" ref="N6:N10" si="5">L6*$L$5+M6*$M$5</f>
        <v>1600.69</v>
      </c>
    </row>
    <row r="7">
      <c r="A7" s="67"/>
      <c r="B7" s="68">
        <f t="shared" ref="B7:I7" si="4">SUM(B2:B6)</f>
        <v>50</v>
      </c>
      <c r="C7" s="68">
        <f t="shared" si="4"/>
        <v>577.17</v>
      </c>
      <c r="D7" s="68">
        <f t="shared" si="4"/>
        <v>2569.31</v>
      </c>
      <c r="E7" s="68">
        <f t="shared" si="4"/>
        <v>50</v>
      </c>
      <c r="F7" s="69">
        <f t="shared" si="4"/>
        <v>3246.48</v>
      </c>
      <c r="G7" s="70">
        <f t="shared" si="4"/>
        <v>55</v>
      </c>
      <c r="H7" s="70">
        <f t="shared" si="4"/>
        <v>12</v>
      </c>
      <c r="I7" s="71">
        <f t="shared" si="4"/>
        <v>50</v>
      </c>
      <c r="K7" s="81" t="s">
        <v>71</v>
      </c>
      <c r="L7" s="81">
        <v>25.0</v>
      </c>
      <c r="M7" s="81">
        <v>2.0</v>
      </c>
      <c r="N7" s="82">
        <f t="shared" si="5"/>
        <v>2391.38</v>
      </c>
    </row>
    <row r="8">
      <c r="A8" s="74"/>
      <c r="B8" s="75"/>
      <c r="C8" s="75"/>
      <c r="D8" s="75"/>
      <c r="E8" s="75"/>
      <c r="F8" s="76"/>
      <c r="G8" s="76"/>
      <c r="H8" s="76"/>
      <c r="I8" s="77"/>
      <c r="K8" s="81" t="s">
        <v>72</v>
      </c>
      <c r="L8" s="81">
        <v>31.0</v>
      </c>
      <c r="M8" s="81">
        <v>2.0</v>
      </c>
      <c r="N8" s="82">
        <f t="shared" si="5"/>
        <v>2931.38</v>
      </c>
    </row>
    <row r="9">
      <c r="A9" s="476">
        <f>A6+3</f>
        <v>44571</v>
      </c>
      <c r="B9" s="59">
        <v>69.31</v>
      </c>
      <c r="C9" s="59">
        <v>274.58</v>
      </c>
      <c r="D9" s="59">
        <v>469.31</v>
      </c>
      <c r="E9" s="59">
        <v>50.0</v>
      </c>
      <c r="F9" s="60">
        <f t="shared" ref="F9:F13" si="6">SUM(B9:E9)</f>
        <v>863.2</v>
      </c>
      <c r="G9" s="59">
        <v>16.0</v>
      </c>
      <c r="H9" s="59">
        <v>5.0</v>
      </c>
      <c r="I9" s="61">
        <v>50.0</v>
      </c>
      <c r="K9" s="81" t="s">
        <v>73</v>
      </c>
      <c r="L9" s="81">
        <v>25.0</v>
      </c>
      <c r="M9" s="81">
        <v>1.0</v>
      </c>
      <c r="N9" s="82">
        <f t="shared" si="5"/>
        <v>2320.69</v>
      </c>
    </row>
    <row r="10">
      <c r="A10" s="476">
        <f t="shared" ref="A10:A13" si="7">A9+1</f>
        <v>44572</v>
      </c>
      <c r="B10" s="81">
        <v>140.0</v>
      </c>
      <c r="C10" s="81">
        <v>124.23</v>
      </c>
      <c r="D10" s="81">
        <v>430.0</v>
      </c>
      <c r="E10" s="81">
        <v>50.0</v>
      </c>
      <c r="F10" s="60">
        <f t="shared" si="6"/>
        <v>744.23</v>
      </c>
      <c r="G10" s="81">
        <v>13.0</v>
      </c>
      <c r="H10" s="81">
        <v>3.0</v>
      </c>
      <c r="I10" s="83">
        <v>50.0</v>
      </c>
      <c r="K10" s="81" t="s">
        <v>74</v>
      </c>
      <c r="L10" s="81">
        <v>6.0</v>
      </c>
      <c r="M10" s="81">
        <v>0.0</v>
      </c>
      <c r="N10" s="82">
        <f t="shared" si="5"/>
        <v>540</v>
      </c>
    </row>
    <row r="11">
      <c r="A11" s="476">
        <f t="shared" si="7"/>
        <v>44573</v>
      </c>
      <c r="B11" s="81">
        <v>0.0</v>
      </c>
      <c r="C11" s="81">
        <v>77.8</v>
      </c>
      <c r="D11" s="81">
        <v>790.0</v>
      </c>
      <c r="E11" s="81">
        <v>120.0</v>
      </c>
      <c r="F11" s="60">
        <f t="shared" si="6"/>
        <v>987.8</v>
      </c>
      <c r="G11" s="81">
        <v>19.0</v>
      </c>
      <c r="H11" s="81">
        <v>2.0</v>
      </c>
      <c r="I11" s="83">
        <v>120.0</v>
      </c>
    </row>
    <row r="12">
      <c r="A12" s="476">
        <f t="shared" si="7"/>
        <v>44574</v>
      </c>
      <c r="B12" s="81">
        <v>0.0</v>
      </c>
      <c r="C12" s="81">
        <v>253.48</v>
      </c>
      <c r="D12" s="81">
        <v>1168.62</v>
      </c>
      <c r="E12" s="81">
        <v>190.0</v>
      </c>
      <c r="F12" s="60">
        <f t="shared" si="6"/>
        <v>1612.1</v>
      </c>
      <c r="G12" s="81">
        <v>26.0</v>
      </c>
      <c r="H12" s="81">
        <v>4.0</v>
      </c>
      <c r="I12" s="83">
        <v>200.0</v>
      </c>
      <c r="K12" s="64"/>
      <c r="L12" s="477">
        <f>L13+M13</f>
        <v>78</v>
      </c>
      <c r="M12" s="478"/>
      <c r="N12" s="66"/>
    </row>
    <row r="13">
      <c r="A13" s="476">
        <f t="shared" si="7"/>
        <v>44575</v>
      </c>
      <c r="B13" s="81">
        <v>140.0</v>
      </c>
      <c r="C13" s="81">
        <v>70.69</v>
      </c>
      <c r="D13" s="81">
        <v>119.31</v>
      </c>
      <c r="E13" s="81">
        <v>50.0</v>
      </c>
      <c r="F13" s="60">
        <f t="shared" si="6"/>
        <v>380</v>
      </c>
      <c r="G13" s="81">
        <v>21.0</v>
      </c>
      <c r="H13" s="81">
        <v>1.0</v>
      </c>
      <c r="I13" s="83"/>
      <c r="K13" s="64"/>
      <c r="L13" s="72">
        <f t="shared" ref="L13:N13" si="8">SUM(L15:L19)</f>
        <v>65</v>
      </c>
      <c r="M13" s="72">
        <f t="shared" si="8"/>
        <v>13</v>
      </c>
      <c r="N13" s="336">
        <f t="shared" si="8"/>
        <v>6768.97</v>
      </c>
    </row>
    <row r="14">
      <c r="A14" s="67"/>
      <c r="B14" s="68">
        <f t="shared" ref="B14:I14" si="9">SUM(B9:B13)</f>
        <v>349.31</v>
      </c>
      <c r="C14" s="68">
        <f t="shared" si="9"/>
        <v>800.78</v>
      </c>
      <c r="D14" s="68">
        <f t="shared" si="9"/>
        <v>2977.24</v>
      </c>
      <c r="E14" s="68">
        <f t="shared" si="9"/>
        <v>460</v>
      </c>
      <c r="F14" s="68">
        <f t="shared" si="9"/>
        <v>4587.33</v>
      </c>
      <c r="G14" s="70">
        <f t="shared" si="9"/>
        <v>95</v>
      </c>
      <c r="H14" s="70">
        <f t="shared" si="9"/>
        <v>15</v>
      </c>
      <c r="I14" s="71">
        <f t="shared" si="9"/>
        <v>420</v>
      </c>
      <c r="K14" s="95" t="s">
        <v>75</v>
      </c>
      <c r="L14" s="79">
        <v>90.0</v>
      </c>
      <c r="M14" s="79">
        <v>70.69</v>
      </c>
      <c r="N14" s="66"/>
    </row>
    <row r="15">
      <c r="A15" s="74"/>
      <c r="B15" s="92"/>
      <c r="C15" s="92"/>
      <c r="D15" s="92"/>
      <c r="E15" s="92"/>
      <c r="F15" s="75"/>
      <c r="G15" s="93"/>
      <c r="H15" s="93"/>
      <c r="I15" s="77"/>
      <c r="K15" s="81" t="s">
        <v>70</v>
      </c>
      <c r="L15" s="81">
        <v>17.0</v>
      </c>
      <c r="M15" s="81">
        <v>5.0</v>
      </c>
      <c r="N15" s="82">
        <f t="shared" ref="N15:N18" si="10">L15*$L$14+M15*$M$14</f>
        <v>1883.45</v>
      </c>
    </row>
    <row r="16">
      <c r="A16" s="476">
        <f>A13+3</f>
        <v>44578</v>
      </c>
      <c r="B16" s="81">
        <v>190.0</v>
      </c>
      <c r="C16" s="81">
        <v>487.3</v>
      </c>
      <c r="D16" s="81">
        <v>807.93</v>
      </c>
      <c r="E16" s="81">
        <v>100.0</v>
      </c>
      <c r="F16" s="60">
        <f t="shared" ref="F16:F20" si="11">SUM(B16:E16)</f>
        <v>1585.23</v>
      </c>
      <c r="G16" s="81">
        <v>26.0</v>
      </c>
      <c r="H16" s="81">
        <v>9.0</v>
      </c>
      <c r="I16" s="81">
        <v>110.0</v>
      </c>
      <c r="K16" s="81" t="s">
        <v>71</v>
      </c>
      <c r="L16" s="81">
        <v>23.0</v>
      </c>
      <c r="M16" s="81">
        <v>3.0</v>
      </c>
      <c r="N16" s="82">
        <f t="shared" si="10"/>
        <v>2282.07</v>
      </c>
    </row>
    <row r="17">
      <c r="A17" s="476">
        <f t="shared" ref="A17:A20" si="12">A16+1</f>
        <v>44579</v>
      </c>
      <c r="B17" s="59">
        <v>50.0</v>
      </c>
      <c r="C17" s="59">
        <v>182.79</v>
      </c>
      <c r="D17" s="59">
        <v>658.62</v>
      </c>
      <c r="E17" s="59">
        <v>0.0</v>
      </c>
      <c r="F17" s="60">
        <f t="shared" si="11"/>
        <v>891.41</v>
      </c>
      <c r="G17" s="59">
        <v>15.0</v>
      </c>
      <c r="H17" s="59">
        <v>3.0</v>
      </c>
      <c r="I17" s="61">
        <v>0.0</v>
      </c>
      <c r="K17" s="81" t="s">
        <v>72</v>
      </c>
      <c r="L17" s="81">
        <v>16.0</v>
      </c>
      <c r="M17" s="81">
        <v>3.0</v>
      </c>
      <c r="N17" s="82">
        <f t="shared" si="10"/>
        <v>1652.07</v>
      </c>
    </row>
    <row r="18">
      <c r="A18" s="476">
        <f t="shared" si="12"/>
        <v>44580</v>
      </c>
      <c r="B18" s="81">
        <v>120.0</v>
      </c>
      <c r="C18" s="81">
        <v>160.62</v>
      </c>
      <c r="D18" s="81">
        <v>660.0</v>
      </c>
      <c r="E18" s="81">
        <v>50.0</v>
      </c>
      <c r="F18" s="60">
        <f t="shared" si="11"/>
        <v>990.62</v>
      </c>
      <c r="G18" s="81">
        <v>19.0</v>
      </c>
      <c r="H18" s="81">
        <v>4.0</v>
      </c>
      <c r="I18" s="83">
        <v>50.0</v>
      </c>
      <c r="K18" s="81" t="s">
        <v>73</v>
      </c>
      <c r="L18" s="81">
        <v>9.0</v>
      </c>
      <c r="M18" s="81">
        <v>2.0</v>
      </c>
      <c r="N18" s="82">
        <f t="shared" si="10"/>
        <v>951.38</v>
      </c>
    </row>
    <row r="19">
      <c r="A19" s="476">
        <f t="shared" si="12"/>
        <v>44581</v>
      </c>
      <c r="B19" s="81">
        <v>210.0</v>
      </c>
      <c r="C19" s="81">
        <v>182.79</v>
      </c>
      <c r="D19" s="81">
        <v>1198.62</v>
      </c>
      <c r="E19" s="81">
        <v>150.0</v>
      </c>
      <c r="F19" s="60">
        <f t="shared" si="11"/>
        <v>1741.41</v>
      </c>
      <c r="G19" s="81">
        <v>27.0</v>
      </c>
      <c r="H19" s="81">
        <v>3.0</v>
      </c>
      <c r="I19" s="83">
        <v>150.0</v>
      </c>
    </row>
    <row r="20">
      <c r="A20" s="476">
        <f t="shared" si="12"/>
        <v>44582</v>
      </c>
      <c r="B20" s="81">
        <v>90.0</v>
      </c>
      <c r="C20" s="81">
        <v>236.33</v>
      </c>
      <c r="D20" s="81">
        <v>1190.0</v>
      </c>
      <c r="E20" s="81">
        <v>100.0</v>
      </c>
      <c r="F20" s="60">
        <f t="shared" si="11"/>
        <v>1616.33</v>
      </c>
      <c r="G20" s="81">
        <v>25.0</v>
      </c>
      <c r="H20" s="81">
        <v>5.0</v>
      </c>
      <c r="I20" s="83">
        <v>100.0</v>
      </c>
      <c r="K20" s="64"/>
      <c r="L20" s="477">
        <f>L21+M21</f>
        <v>96</v>
      </c>
      <c r="M20" s="478"/>
      <c r="N20" s="66"/>
    </row>
    <row r="21">
      <c r="A21" s="67"/>
      <c r="B21" s="68">
        <f t="shared" ref="B21:I21" si="13">SUM(B16:B20)</f>
        <v>660</v>
      </c>
      <c r="C21" s="68">
        <f t="shared" si="13"/>
        <v>1249.83</v>
      </c>
      <c r="D21" s="68">
        <f t="shared" si="13"/>
        <v>4515.17</v>
      </c>
      <c r="E21" s="68">
        <f t="shared" si="13"/>
        <v>400</v>
      </c>
      <c r="F21" s="68">
        <f t="shared" si="13"/>
        <v>6825</v>
      </c>
      <c r="G21" s="70">
        <f t="shared" si="13"/>
        <v>112</v>
      </c>
      <c r="H21" s="70">
        <f t="shared" si="13"/>
        <v>24</v>
      </c>
      <c r="I21" s="68">
        <f t="shared" si="13"/>
        <v>410</v>
      </c>
      <c r="K21" s="66"/>
      <c r="L21" s="72">
        <f t="shared" ref="L21:N21" si="14">SUM(L23:L27)</f>
        <v>83</v>
      </c>
      <c r="M21" s="72">
        <f t="shared" si="14"/>
        <v>13</v>
      </c>
      <c r="N21" s="336">
        <f t="shared" si="14"/>
        <v>8388.97</v>
      </c>
    </row>
    <row r="22">
      <c r="A22" s="74"/>
      <c r="B22" s="75"/>
      <c r="C22" s="75"/>
      <c r="D22" s="75"/>
      <c r="E22" s="75"/>
      <c r="F22" s="75"/>
      <c r="G22" s="76"/>
      <c r="H22" s="76"/>
      <c r="I22" s="75"/>
      <c r="K22" s="95" t="s">
        <v>76</v>
      </c>
      <c r="L22" s="96">
        <v>90.0</v>
      </c>
      <c r="M22" s="96">
        <v>70.69</v>
      </c>
      <c r="N22" s="66"/>
    </row>
    <row r="23">
      <c r="A23" s="476">
        <f>A20+3</f>
        <v>44585</v>
      </c>
      <c r="B23" s="81">
        <v>0.0</v>
      </c>
      <c r="C23" s="81">
        <v>378.43</v>
      </c>
      <c r="D23" s="81">
        <v>608.62</v>
      </c>
      <c r="E23" s="81">
        <v>0.0</v>
      </c>
      <c r="F23" s="60">
        <f t="shared" ref="F23:F27" si="15">SUM(B23:E23)</f>
        <v>987.05</v>
      </c>
      <c r="G23" s="81">
        <v>18.0</v>
      </c>
      <c r="H23" s="81">
        <v>8.0</v>
      </c>
      <c r="I23" s="83">
        <v>0.0</v>
      </c>
      <c r="K23" s="81" t="s">
        <v>70</v>
      </c>
      <c r="L23" s="81">
        <v>25.0</v>
      </c>
      <c r="M23" s="81">
        <v>5.0</v>
      </c>
      <c r="N23" s="82">
        <f t="shared" ref="N23:N27" si="16">L23*$L$22+M23*$M$22</f>
        <v>2603.45</v>
      </c>
    </row>
    <row r="24">
      <c r="A24" s="476">
        <f t="shared" ref="A24:A27" si="17">A23+1</f>
        <v>44586</v>
      </c>
      <c r="B24" s="81">
        <v>50.0</v>
      </c>
      <c r="C24" s="81">
        <v>224.2</v>
      </c>
      <c r="D24" s="81">
        <v>558.62</v>
      </c>
      <c r="E24" s="81">
        <v>0.0</v>
      </c>
      <c r="F24" s="60">
        <f t="shared" si="15"/>
        <v>832.82</v>
      </c>
      <c r="G24" s="81">
        <v>15.0</v>
      </c>
      <c r="H24" s="81">
        <v>4.0</v>
      </c>
      <c r="I24" s="83">
        <v>0.0</v>
      </c>
      <c r="K24" s="81" t="s">
        <v>71</v>
      </c>
      <c r="L24" s="81">
        <v>9.0</v>
      </c>
      <c r="M24" s="81">
        <v>1.0</v>
      </c>
      <c r="N24" s="82">
        <f t="shared" si="16"/>
        <v>880.69</v>
      </c>
    </row>
    <row r="25">
      <c r="A25" s="476">
        <f t="shared" si="17"/>
        <v>44587</v>
      </c>
      <c r="B25" s="81">
        <v>90.0</v>
      </c>
      <c r="C25" s="81">
        <v>112.1</v>
      </c>
      <c r="D25" s="81">
        <v>730.0</v>
      </c>
      <c r="E25" s="81">
        <v>69.3</v>
      </c>
      <c r="F25" s="60">
        <f t="shared" si="15"/>
        <v>1001.4</v>
      </c>
      <c r="G25" s="81">
        <v>18.0</v>
      </c>
      <c r="H25" s="81">
        <v>2.0</v>
      </c>
      <c r="I25" s="83">
        <v>60.0</v>
      </c>
      <c r="K25" s="81" t="s">
        <v>72</v>
      </c>
      <c r="L25" s="81">
        <v>20.0</v>
      </c>
      <c r="M25" s="81">
        <v>3.0</v>
      </c>
      <c r="N25" s="82">
        <f t="shared" si="16"/>
        <v>2012.07</v>
      </c>
    </row>
    <row r="26">
      <c r="A26" s="476">
        <f t="shared" si="17"/>
        <v>44588</v>
      </c>
      <c r="B26" s="81">
        <v>420.0</v>
      </c>
      <c r="C26" s="81">
        <v>398.71</v>
      </c>
      <c r="D26" s="81">
        <v>858.62</v>
      </c>
      <c r="E26" s="81">
        <v>0.0</v>
      </c>
      <c r="F26" s="60">
        <f t="shared" si="15"/>
        <v>1677.33</v>
      </c>
      <c r="G26" s="81">
        <v>28.0</v>
      </c>
      <c r="H26" s="81">
        <v>8.0</v>
      </c>
      <c r="I26" s="83">
        <v>0.0</v>
      </c>
      <c r="K26" s="81" t="s">
        <v>73</v>
      </c>
      <c r="L26" s="81">
        <v>18.0</v>
      </c>
      <c r="M26" s="81">
        <v>1.0</v>
      </c>
      <c r="N26" s="82">
        <f t="shared" si="16"/>
        <v>1690.69</v>
      </c>
    </row>
    <row r="27">
      <c r="A27" s="476">
        <f t="shared" si="17"/>
        <v>44589</v>
      </c>
      <c r="B27" s="81">
        <v>90.0</v>
      </c>
      <c r="C27" s="81">
        <v>265.61</v>
      </c>
      <c r="D27" s="81">
        <v>770.0</v>
      </c>
      <c r="E27" s="81">
        <v>50.0</v>
      </c>
      <c r="F27" s="60">
        <f t="shared" si="15"/>
        <v>1175.61</v>
      </c>
      <c r="G27" s="81">
        <v>20.0</v>
      </c>
      <c r="H27" s="81">
        <v>5.0</v>
      </c>
      <c r="I27" s="83">
        <v>50.0</v>
      </c>
      <c r="K27" s="81" t="s">
        <v>74</v>
      </c>
      <c r="L27" s="81">
        <v>11.0</v>
      </c>
      <c r="M27" s="81">
        <v>3.0</v>
      </c>
      <c r="N27" s="82">
        <f t="shared" si="16"/>
        <v>1202.07</v>
      </c>
    </row>
    <row r="28">
      <c r="A28" s="67"/>
      <c r="B28" s="68">
        <f t="shared" ref="B28:I28" si="18">SUM(B23:B27)</f>
        <v>650</v>
      </c>
      <c r="C28" s="68">
        <f t="shared" si="18"/>
        <v>1379.05</v>
      </c>
      <c r="D28" s="68">
        <f t="shared" si="18"/>
        <v>3525.86</v>
      </c>
      <c r="E28" s="68">
        <f t="shared" si="18"/>
        <v>119.3</v>
      </c>
      <c r="F28" s="68">
        <f t="shared" si="18"/>
        <v>5674.21</v>
      </c>
      <c r="G28" s="70">
        <f t="shared" si="18"/>
        <v>99</v>
      </c>
      <c r="H28" s="70">
        <f t="shared" si="18"/>
        <v>27</v>
      </c>
      <c r="I28" s="91">
        <f t="shared" si="18"/>
        <v>110</v>
      </c>
      <c r="K28" s="66"/>
      <c r="L28" s="66"/>
      <c r="M28" s="66"/>
      <c r="N28" s="385"/>
    </row>
    <row r="29">
      <c r="A29" s="74"/>
      <c r="B29" s="75"/>
      <c r="C29" s="75"/>
      <c r="D29" s="75"/>
      <c r="E29" s="75"/>
      <c r="F29" s="75"/>
      <c r="G29" s="76"/>
      <c r="H29" s="76"/>
      <c r="I29" s="74"/>
      <c r="K29" s="66"/>
      <c r="L29" s="477">
        <f>L30+M30</f>
        <v>90</v>
      </c>
      <c r="M29" s="478"/>
      <c r="N29" s="66"/>
    </row>
    <row r="30">
      <c r="A30" s="476">
        <f>A27+3</f>
        <v>44592</v>
      </c>
      <c r="B30" s="81">
        <v>230.0</v>
      </c>
      <c r="C30" s="81">
        <v>87.41</v>
      </c>
      <c r="D30" s="81">
        <v>980.0</v>
      </c>
      <c r="E30" s="81">
        <v>200.0</v>
      </c>
      <c r="F30" s="60">
        <f>SUM(B30:E30)</f>
        <v>1497.41</v>
      </c>
      <c r="G30" s="81">
        <v>26.0</v>
      </c>
      <c r="H30" s="81">
        <v>2.0</v>
      </c>
      <c r="I30" s="83">
        <v>200.0</v>
      </c>
      <c r="K30" s="66"/>
      <c r="L30" s="479">
        <f t="shared" ref="L30:N30" si="19">SUM(L32:L36)</f>
        <v>78</v>
      </c>
      <c r="M30" s="479">
        <f t="shared" si="19"/>
        <v>12</v>
      </c>
      <c r="N30" s="73">
        <f t="shared" si="19"/>
        <v>7868.28</v>
      </c>
    </row>
    <row r="31">
      <c r="A31" s="67"/>
      <c r="B31" s="70">
        <f t="shared" ref="B31:I31" si="20">SUM(B30)</f>
        <v>230</v>
      </c>
      <c r="C31" s="70">
        <f t="shared" si="20"/>
        <v>87.41</v>
      </c>
      <c r="D31" s="70">
        <f t="shared" si="20"/>
        <v>980</v>
      </c>
      <c r="E31" s="70">
        <f t="shared" si="20"/>
        <v>200</v>
      </c>
      <c r="F31" s="68">
        <f t="shared" si="20"/>
        <v>1497.41</v>
      </c>
      <c r="G31" s="70">
        <f t="shared" si="20"/>
        <v>26</v>
      </c>
      <c r="H31" s="70">
        <f t="shared" si="20"/>
        <v>2</v>
      </c>
      <c r="I31" s="91">
        <f t="shared" si="20"/>
        <v>200</v>
      </c>
      <c r="K31" s="95" t="s">
        <v>77</v>
      </c>
      <c r="L31" s="96">
        <v>90.0</v>
      </c>
      <c r="M31" s="96">
        <v>70.69</v>
      </c>
      <c r="N31" s="66"/>
    </row>
    <row r="32">
      <c r="A32" s="74"/>
      <c r="B32" s="76"/>
      <c r="C32" s="76"/>
      <c r="D32" s="76"/>
      <c r="E32" s="76"/>
      <c r="F32" s="75"/>
      <c r="G32" s="76"/>
      <c r="H32" s="76"/>
      <c r="I32" s="74"/>
      <c r="K32" s="81" t="s">
        <v>70</v>
      </c>
      <c r="L32" s="480">
        <v>7.0</v>
      </c>
      <c r="M32" s="480">
        <v>1.0</v>
      </c>
      <c r="N32" s="82">
        <f t="shared" ref="N32:N36" si="21">L32*$L$31+M32*$M$31</f>
        <v>700.69</v>
      </c>
    </row>
    <row r="33">
      <c r="A33" s="476">
        <v>44593.0</v>
      </c>
      <c r="B33" s="59">
        <v>100.0</v>
      </c>
      <c r="C33" s="59">
        <v>253.48</v>
      </c>
      <c r="D33" s="59">
        <v>1059.31</v>
      </c>
      <c r="E33" s="59">
        <v>50.0</v>
      </c>
      <c r="F33" s="60">
        <f t="shared" ref="F33:F36" si="22">SUM(B33:E33)</f>
        <v>1462.79</v>
      </c>
      <c r="G33" s="59">
        <v>23.0</v>
      </c>
      <c r="H33" s="59">
        <v>4.0</v>
      </c>
      <c r="I33" s="61">
        <v>50.0</v>
      </c>
      <c r="K33" s="81" t="s">
        <v>71</v>
      </c>
      <c r="L33" s="480">
        <v>14.0</v>
      </c>
      <c r="M33" s="480">
        <v>2.0</v>
      </c>
      <c r="N33" s="82">
        <f t="shared" si="21"/>
        <v>1401.38</v>
      </c>
    </row>
    <row r="34">
      <c r="A34" s="476">
        <f t="shared" ref="A34:A36" si="23">A33+1</f>
        <v>44594</v>
      </c>
      <c r="B34" s="81">
        <v>120.0</v>
      </c>
      <c r="C34" s="81">
        <v>208.39</v>
      </c>
      <c r="D34" s="81">
        <v>380.0</v>
      </c>
      <c r="E34" s="81">
        <v>100.0</v>
      </c>
      <c r="F34" s="60">
        <f t="shared" si="22"/>
        <v>808.39</v>
      </c>
      <c r="G34" s="81">
        <v>18.0</v>
      </c>
      <c r="H34" s="81">
        <v>5.0</v>
      </c>
      <c r="I34" s="83">
        <v>100.0</v>
      </c>
      <c r="K34" s="81" t="s">
        <v>72</v>
      </c>
      <c r="L34" s="480">
        <v>31.0</v>
      </c>
      <c r="M34" s="480">
        <v>1.0</v>
      </c>
      <c r="N34" s="82">
        <f t="shared" si="21"/>
        <v>2860.69</v>
      </c>
    </row>
    <row r="35">
      <c r="A35" s="476">
        <f t="shared" si="23"/>
        <v>44595</v>
      </c>
      <c r="B35" s="81">
        <v>100.0</v>
      </c>
      <c r="C35" s="81">
        <v>236.33</v>
      </c>
      <c r="D35" s="81">
        <v>900.0</v>
      </c>
      <c r="E35" s="81">
        <v>90.0</v>
      </c>
      <c r="F35" s="60">
        <f t="shared" si="22"/>
        <v>1326.33</v>
      </c>
      <c r="G35" s="81">
        <v>24.0</v>
      </c>
      <c r="H35" s="81">
        <v>5.0</v>
      </c>
      <c r="I35" s="83">
        <v>90.0</v>
      </c>
      <c r="K35" s="81" t="s">
        <v>73</v>
      </c>
      <c r="L35" s="480">
        <v>11.0</v>
      </c>
      <c r="M35" s="480">
        <v>3.0</v>
      </c>
      <c r="N35" s="82">
        <f t="shared" si="21"/>
        <v>1202.07</v>
      </c>
    </row>
    <row r="36">
      <c r="A36" s="476">
        <f t="shared" si="23"/>
        <v>44596</v>
      </c>
      <c r="B36" s="81">
        <v>360.0</v>
      </c>
      <c r="C36" s="81">
        <v>182.79</v>
      </c>
      <c r="D36" s="81">
        <v>690.0</v>
      </c>
      <c r="E36" s="81">
        <v>219.31</v>
      </c>
      <c r="F36" s="60">
        <f t="shared" si="22"/>
        <v>1452.1</v>
      </c>
      <c r="G36" s="81">
        <v>24.0</v>
      </c>
      <c r="H36" s="81">
        <v>3.0</v>
      </c>
      <c r="I36" s="83">
        <v>220.0</v>
      </c>
      <c r="K36" s="81" t="s">
        <v>74</v>
      </c>
      <c r="L36" s="480">
        <v>15.0</v>
      </c>
      <c r="M36" s="480">
        <v>5.0</v>
      </c>
      <c r="N36" s="82">
        <f t="shared" si="21"/>
        <v>1703.45</v>
      </c>
    </row>
    <row r="37">
      <c r="A37" s="67"/>
      <c r="B37" s="68">
        <f t="shared" ref="B37:I37" si="24">SUM(B33:B36)</f>
        <v>680</v>
      </c>
      <c r="C37" s="68">
        <f t="shared" si="24"/>
        <v>880.99</v>
      </c>
      <c r="D37" s="68">
        <f t="shared" si="24"/>
        <v>3029.31</v>
      </c>
      <c r="E37" s="68">
        <f t="shared" si="24"/>
        <v>459.31</v>
      </c>
      <c r="F37" s="68">
        <f t="shared" si="24"/>
        <v>5049.61</v>
      </c>
      <c r="G37" s="70">
        <f t="shared" si="24"/>
        <v>89</v>
      </c>
      <c r="H37" s="70">
        <f t="shared" si="24"/>
        <v>17</v>
      </c>
      <c r="I37" s="69">
        <f t="shared" si="24"/>
        <v>460</v>
      </c>
    </row>
    <row r="38">
      <c r="A38" s="74"/>
      <c r="B38" s="92"/>
      <c r="C38" s="92"/>
      <c r="D38" s="92"/>
      <c r="E38" s="92"/>
      <c r="F38" s="92"/>
      <c r="G38" s="93"/>
      <c r="H38" s="93"/>
      <c r="I38" s="93"/>
      <c r="K38" s="66"/>
      <c r="L38" s="477">
        <f>L39+M39</f>
        <v>64</v>
      </c>
      <c r="M38" s="478"/>
      <c r="N38" s="66"/>
    </row>
    <row r="39">
      <c r="A39" s="476">
        <f>A36+3</f>
        <v>44599</v>
      </c>
      <c r="B39" s="98">
        <v>90.0</v>
      </c>
      <c r="C39" s="99">
        <v>194.92</v>
      </c>
      <c r="D39" s="99">
        <v>540.0</v>
      </c>
      <c r="E39" s="99">
        <v>50.0</v>
      </c>
      <c r="F39" s="100">
        <f t="shared" ref="F39:F43" si="26">SUM(B39:E39)</f>
        <v>874.92</v>
      </c>
      <c r="G39" s="99">
        <v>16.0</v>
      </c>
      <c r="H39" s="99">
        <v>4.0</v>
      </c>
      <c r="I39" s="101">
        <v>50.0</v>
      </c>
      <c r="K39" s="66"/>
      <c r="L39" s="479">
        <f t="shared" ref="L39:N39" si="25">SUM(L41:L45)</f>
        <v>55</v>
      </c>
      <c r="M39" s="479">
        <f t="shared" si="25"/>
        <v>9</v>
      </c>
      <c r="N39" s="73">
        <f t="shared" si="25"/>
        <v>5586.21</v>
      </c>
    </row>
    <row r="40">
      <c r="A40" s="476">
        <f t="shared" ref="A40:A43" si="27">A39+1</f>
        <v>44600</v>
      </c>
      <c r="B40" s="81">
        <v>150.0</v>
      </c>
      <c r="C40" s="81">
        <v>294.89</v>
      </c>
      <c r="D40" s="81">
        <v>1038.62</v>
      </c>
      <c r="E40" s="66">
        <v>140.0</v>
      </c>
      <c r="F40" s="104">
        <f t="shared" si="26"/>
        <v>1623.51</v>
      </c>
      <c r="G40" s="81">
        <v>28.0</v>
      </c>
      <c r="H40" s="81">
        <v>5.0</v>
      </c>
      <c r="I40" s="83">
        <v>150.0</v>
      </c>
      <c r="K40" s="78" t="s">
        <v>78</v>
      </c>
      <c r="L40" s="96">
        <v>90.0</v>
      </c>
      <c r="M40" s="96">
        <v>70.69</v>
      </c>
      <c r="N40" s="66"/>
    </row>
    <row r="41">
      <c r="A41" s="476">
        <f t="shared" si="27"/>
        <v>44601</v>
      </c>
      <c r="B41" s="103">
        <v>0.0</v>
      </c>
      <c r="C41" s="81">
        <v>82.82</v>
      </c>
      <c r="D41" s="81">
        <v>660.0</v>
      </c>
      <c r="E41" s="81">
        <v>150.0</v>
      </c>
      <c r="F41" s="104">
        <f t="shared" si="26"/>
        <v>892.82</v>
      </c>
      <c r="G41" s="81">
        <v>18.0</v>
      </c>
      <c r="H41" s="81">
        <v>2.0</v>
      </c>
      <c r="I41" s="83">
        <v>150.0</v>
      </c>
      <c r="K41" s="81" t="s">
        <v>70</v>
      </c>
      <c r="L41" s="480">
        <v>15.0</v>
      </c>
      <c r="M41" s="480">
        <v>1.0</v>
      </c>
      <c r="N41" s="82">
        <f t="shared" ref="N41:N45" si="28">L41*$L$40+M41*$M$40</f>
        <v>1420.69</v>
      </c>
    </row>
    <row r="42">
      <c r="A42" s="476">
        <f t="shared" si="27"/>
        <v>44602</v>
      </c>
      <c r="B42" s="103">
        <v>230.0</v>
      </c>
      <c r="C42" s="81">
        <v>253.48</v>
      </c>
      <c r="D42" s="81">
        <v>977.93</v>
      </c>
      <c r="E42" s="81">
        <v>100.0</v>
      </c>
      <c r="F42" s="104">
        <f t="shared" si="26"/>
        <v>1561.41</v>
      </c>
      <c r="G42" s="81">
        <v>24.0</v>
      </c>
      <c r="H42" s="81">
        <v>4.0</v>
      </c>
      <c r="I42" s="83">
        <v>100.0</v>
      </c>
      <c r="K42" s="81" t="s">
        <v>71</v>
      </c>
      <c r="L42" s="480">
        <v>19.0</v>
      </c>
      <c r="M42" s="480">
        <v>3.0</v>
      </c>
      <c r="N42" s="82">
        <f t="shared" si="28"/>
        <v>1922.07</v>
      </c>
    </row>
    <row r="43">
      <c r="A43" s="476">
        <f t="shared" si="27"/>
        <v>44603</v>
      </c>
      <c r="B43" s="105">
        <v>50.0</v>
      </c>
      <c r="C43" s="106">
        <v>182.79</v>
      </c>
      <c r="D43" s="106">
        <v>609.31</v>
      </c>
      <c r="E43" s="106">
        <v>90.0</v>
      </c>
      <c r="F43" s="107">
        <f t="shared" si="26"/>
        <v>932.1</v>
      </c>
      <c r="G43" s="106">
        <v>19.0</v>
      </c>
      <c r="H43" s="106">
        <v>3.0</v>
      </c>
      <c r="I43" s="108">
        <v>90.0</v>
      </c>
      <c r="K43" s="81" t="s">
        <v>72</v>
      </c>
      <c r="L43" s="480">
        <v>10.0</v>
      </c>
      <c r="M43" s="480">
        <v>3.0</v>
      </c>
      <c r="N43" s="82">
        <f t="shared" si="28"/>
        <v>1112.07</v>
      </c>
    </row>
    <row r="44">
      <c r="A44" s="67"/>
      <c r="B44" s="91">
        <f t="shared" ref="B44:I44" si="29">SUM(B39:B43)</f>
        <v>520</v>
      </c>
      <c r="C44" s="91">
        <f t="shared" si="29"/>
        <v>1008.9</v>
      </c>
      <c r="D44" s="91">
        <f t="shared" si="29"/>
        <v>3825.86</v>
      </c>
      <c r="E44" s="91">
        <f t="shared" si="29"/>
        <v>530</v>
      </c>
      <c r="F44" s="91">
        <f t="shared" si="29"/>
        <v>5884.76</v>
      </c>
      <c r="G44" s="70">
        <f t="shared" si="29"/>
        <v>105</v>
      </c>
      <c r="H44" s="70">
        <f t="shared" si="29"/>
        <v>18</v>
      </c>
      <c r="I44" s="91">
        <f t="shared" si="29"/>
        <v>540</v>
      </c>
      <c r="K44" s="81" t="s">
        <v>73</v>
      </c>
      <c r="L44" s="480">
        <v>11.0</v>
      </c>
      <c r="M44" s="480">
        <v>2.0</v>
      </c>
      <c r="N44" s="82">
        <f t="shared" si="28"/>
        <v>1131.38</v>
      </c>
    </row>
    <row r="45">
      <c r="A45" s="74"/>
      <c r="B45" s="74"/>
      <c r="C45" s="74"/>
      <c r="D45" s="74"/>
      <c r="E45" s="74"/>
      <c r="F45" s="74"/>
      <c r="G45" s="76"/>
      <c r="H45" s="76"/>
      <c r="I45" s="74"/>
      <c r="K45" s="81" t="s">
        <v>74</v>
      </c>
      <c r="L45" s="480"/>
      <c r="M45" s="480"/>
      <c r="N45" s="82">
        <f t="shared" si="28"/>
        <v>0</v>
      </c>
    </row>
    <row r="46">
      <c r="A46" s="476">
        <f>A43+3</f>
        <v>44606</v>
      </c>
      <c r="B46" s="112">
        <v>140.0</v>
      </c>
      <c r="C46" s="112">
        <v>248.46</v>
      </c>
      <c r="D46" s="112">
        <v>1120.0</v>
      </c>
      <c r="E46" s="112">
        <v>50.0</v>
      </c>
      <c r="F46" s="107">
        <f t="shared" ref="F46:F50" si="30">SUM(B46:E46)</f>
        <v>1558.46</v>
      </c>
      <c r="G46" s="59">
        <v>29.0</v>
      </c>
      <c r="H46" s="59">
        <v>6.0</v>
      </c>
      <c r="I46" s="61">
        <v>50.0</v>
      </c>
    </row>
    <row r="47">
      <c r="A47" s="476">
        <f t="shared" ref="A47:A50" si="31">A46+1</f>
        <v>44607</v>
      </c>
      <c r="B47" s="103">
        <v>90.0</v>
      </c>
      <c r="C47" s="103">
        <v>275.23</v>
      </c>
      <c r="D47" s="103">
        <v>1050.0</v>
      </c>
      <c r="E47" s="103">
        <v>90.0</v>
      </c>
      <c r="F47" s="107">
        <f t="shared" si="30"/>
        <v>1505.23</v>
      </c>
      <c r="G47" s="81">
        <v>28.0</v>
      </c>
      <c r="H47" s="81">
        <v>6.0</v>
      </c>
      <c r="I47" s="83">
        <v>100.0</v>
      </c>
      <c r="K47" s="66"/>
      <c r="L47" s="477">
        <f>L48+M48</f>
        <v>75</v>
      </c>
      <c r="M47" s="478"/>
      <c r="N47" s="66"/>
    </row>
    <row r="48">
      <c r="A48" s="476">
        <f t="shared" si="31"/>
        <v>44608</v>
      </c>
      <c r="B48" s="103">
        <v>170.0</v>
      </c>
      <c r="C48" s="103">
        <v>112.1</v>
      </c>
      <c r="D48" s="103">
        <v>559.31</v>
      </c>
      <c r="E48" s="103">
        <v>50.0</v>
      </c>
      <c r="F48" s="107">
        <f t="shared" si="30"/>
        <v>891.41</v>
      </c>
      <c r="G48" s="81">
        <v>19.0</v>
      </c>
      <c r="H48" s="81">
        <v>2.0</v>
      </c>
      <c r="I48" s="83">
        <v>50.0</v>
      </c>
      <c r="K48" s="66"/>
      <c r="L48" s="479">
        <f t="shared" ref="L48:M48" si="32">SUM(L50:L54)</f>
        <v>68</v>
      </c>
      <c r="M48" s="479">
        <f t="shared" si="32"/>
        <v>7</v>
      </c>
      <c r="N48" s="73">
        <f>SUM(N49:N54)</f>
        <v>6622.74</v>
      </c>
    </row>
    <row r="49">
      <c r="A49" s="476">
        <f t="shared" si="31"/>
        <v>44609</v>
      </c>
      <c r="B49" s="103">
        <v>190.0</v>
      </c>
      <c r="C49" s="103">
        <v>307.02</v>
      </c>
      <c r="D49" s="103">
        <v>669.31</v>
      </c>
      <c r="E49" s="103">
        <v>50.0</v>
      </c>
      <c r="F49" s="107">
        <f t="shared" si="30"/>
        <v>1216.33</v>
      </c>
      <c r="G49" s="81">
        <v>23.0</v>
      </c>
      <c r="H49" s="81">
        <v>6.0</v>
      </c>
      <c r="I49" s="83">
        <v>50.0</v>
      </c>
      <c r="K49" s="78" t="s">
        <v>79</v>
      </c>
      <c r="L49" s="79">
        <v>90.0</v>
      </c>
      <c r="M49" s="79">
        <v>71.82</v>
      </c>
      <c r="N49" s="66"/>
    </row>
    <row r="50">
      <c r="A50" s="476">
        <f t="shared" si="31"/>
        <v>44610</v>
      </c>
      <c r="B50" s="103">
        <v>100.0</v>
      </c>
      <c r="C50" s="103">
        <v>212.79</v>
      </c>
      <c r="D50" s="103">
        <v>870.0</v>
      </c>
      <c r="E50" s="103">
        <v>50.0</v>
      </c>
      <c r="F50" s="107">
        <f t="shared" si="30"/>
        <v>1232.79</v>
      </c>
      <c r="G50" s="81">
        <v>20.0</v>
      </c>
      <c r="H50" s="81">
        <v>4.0</v>
      </c>
      <c r="I50" s="83">
        <v>50.0</v>
      </c>
      <c r="K50" s="81" t="s">
        <v>70</v>
      </c>
      <c r="L50" s="81">
        <v>12.0</v>
      </c>
      <c r="M50" s="81">
        <v>0.0</v>
      </c>
      <c r="N50" s="82">
        <f t="shared" ref="N50:N54" si="34">L50*$L$49+M50*$M$49</f>
        <v>1080</v>
      </c>
    </row>
    <row r="51">
      <c r="A51" s="67"/>
      <c r="B51" s="91">
        <f t="shared" ref="B51:I51" si="33">SUM(B46:B50)</f>
        <v>690</v>
      </c>
      <c r="C51" s="91">
        <f t="shared" si="33"/>
        <v>1155.6</v>
      </c>
      <c r="D51" s="91">
        <f t="shared" si="33"/>
        <v>4268.62</v>
      </c>
      <c r="E51" s="91">
        <f t="shared" si="33"/>
        <v>290</v>
      </c>
      <c r="F51" s="91">
        <f t="shared" si="33"/>
        <v>6404.22</v>
      </c>
      <c r="G51" s="140">
        <f t="shared" si="33"/>
        <v>119</v>
      </c>
      <c r="H51" s="133">
        <f t="shared" si="33"/>
        <v>24</v>
      </c>
      <c r="I51" s="132">
        <f t="shared" si="33"/>
        <v>300</v>
      </c>
      <c r="K51" s="81" t="s">
        <v>71</v>
      </c>
      <c r="L51" s="81">
        <v>20.0</v>
      </c>
      <c r="M51" s="81">
        <v>0.0</v>
      </c>
      <c r="N51" s="82">
        <f t="shared" si="34"/>
        <v>1800</v>
      </c>
    </row>
    <row r="52">
      <c r="A52" s="74"/>
      <c r="B52" s="74"/>
      <c r="C52" s="74"/>
      <c r="D52" s="74"/>
      <c r="E52" s="74"/>
      <c r="F52" s="74"/>
      <c r="G52" s="75"/>
      <c r="H52" s="136"/>
      <c r="I52" s="116"/>
      <c r="K52" s="81" t="s">
        <v>72</v>
      </c>
      <c r="L52" s="81">
        <v>18.0</v>
      </c>
      <c r="M52" s="81">
        <v>4.0</v>
      </c>
      <c r="N52" s="82">
        <f t="shared" si="34"/>
        <v>1907.28</v>
      </c>
    </row>
    <row r="53">
      <c r="A53" s="476">
        <f>A50+3</f>
        <v>44613</v>
      </c>
      <c r="B53" s="103">
        <v>0.0</v>
      </c>
      <c r="C53" s="103">
        <v>448.4</v>
      </c>
      <c r="D53" s="103">
        <v>1158.62</v>
      </c>
      <c r="E53" s="103">
        <v>69.31</v>
      </c>
      <c r="F53" s="107">
        <f t="shared" ref="F53:F57" si="35">SUM(B53:E53)</f>
        <v>1676.33</v>
      </c>
      <c r="G53" s="81"/>
      <c r="H53" s="81"/>
      <c r="I53" s="83">
        <v>70.0</v>
      </c>
      <c r="K53" s="81" t="s">
        <v>73</v>
      </c>
      <c r="L53" s="81">
        <v>18.0</v>
      </c>
      <c r="M53" s="81">
        <v>3.0</v>
      </c>
      <c r="N53" s="82">
        <f t="shared" si="34"/>
        <v>1835.46</v>
      </c>
    </row>
    <row r="54">
      <c r="A54" s="476">
        <f t="shared" ref="A54:A57" si="36">A53+1</f>
        <v>44614</v>
      </c>
      <c r="B54" s="103">
        <v>370.0</v>
      </c>
      <c r="C54" s="103">
        <v>182.79</v>
      </c>
      <c r="D54" s="103">
        <v>770.0</v>
      </c>
      <c r="E54" s="103">
        <v>130.0</v>
      </c>
      <c r="F54" s="107">
        <f t="shared" si="35"/>
        <v>1452.79</v>
      </c>
      <c r="G54" s="81">
        <v>26.0</v>
      </c>
      <c r="H54" s="81">
        <v>3.0</v>
      </c>
      <c r="I54" s="83">
        <v>120.0</v>
      </c>
      <c r="K54" s="81" t="s">
        <v>74</v>
      </c>
      <c r="L54" s="81"/>
      <c r="M54" s="81"/>
      <c r="N54" s="82">
        <f t="shared" si="34"/>
        <v>0</v>
      </c>
    </row>
    <row r="55">
      <c r="A55" s="476">
        <f t="shared" si="36"/>
        <v>44615</v>
      </c>
      <c r="B55" s="124">
        <v>290.0</v>
      </c>
      <c r="C55" s="124">
        <v>38.9</v>
      </c>
      <c r="D55" s="124">
        <v>390.0</v>
      </c>
      <c r="E55" s="124">
        <v>0.0</v>
      </c>
      <c r="F55" s="107">
        <f t="shared" si="35"/>
        <v>718.9</v>
      </c>
      <c r="G55" s="66">
        <v>13.0</v>
      </c>
      <c r="H55" s="59">
        <v>1.0</v>
      </c>
      <c r="I55" s="61">
        <v>0.0</v>
      </c>
    </row>
    <row r="56">
      <c r="A56" s="476">
        <f t="shared" si="36"/>
        <v>44616</v>
      </c>
      <c r="B56" s="59">
        <v>100.0</v>
      </c>
      <c r="C56" s="59">
        <v>224.92</v>
      </c>
      <c r="D56" s="59">
        <v>900.0</v>
      </c>
      <c r="E56" s="59">
        <v>150.0</v>
      </c>
      <c r="F56" s="107">
        <f t="shared" si="35"/>
        <v>1374.92</v>
      </c>
      <c r="G56" s="59">
        <v>26.0</v>
      </c>
      <c r="H56" s="59">
        <v>5.0</v>
      </c>
      <c r="I56" s="61">
        <v>150.0</v>
      </c>
      <c r="K56" s="66"/>
      <c r="L56" s="477">
        <f>L57+M57</f>
        <v>54</v>
      </c>
      <c r="M56" s="478"/>
      <c r="N56" s="66"/>
    </row>
    <row r="57">
      <c r="A57" s="476">
        <f t="shared" si="36"/>
        <v>44617</v>
      </c>
      <c r="B57" s="138"/>
      <c r="C57" s="138"/>
      <c r="D57" s="138"/>
      <c r="E57" s="138"/>
      <c r="F57" s="185">
        <f t="shared" si="35"/>
        <v>0</v>
      </c>
      <c r="G57" s="154"/>
      <c r="H57" s="154"/>
      <c r="I57" s="154"/>
      <c r="K57" s="66"/>
      <c r="L57" s="481">
        <f t="shared" ref="L57:M57" si="37">SUM(L59:L63)</f>
        <v>47</v>
      </c>
      <c r="M57" s="481">
        <f t="shared" si="37"/>
        <v>7</v>
      </c>
      <c r="N57" s="73">
        <f>SUM(N58:N63)</f>
        <v>4732.74</v>
      </c>
    </row>
    <row r="58">
      <c r="A58" s="67"/>
      <c r="B58" s="91">
        <f t="shared" ref="B58:I58" si="38">SUM(B53:B57)</f>
        <v>760</v>
      </c>
      <c r="C58" s="91">
        <f t="shared" si="38"/>
        <v>895.01</v>
      </c>
      <c r="D58" s="91">
        <f t="shared" si="38"/>
        <v>3218.62</v>
      </c>
      <c r="E58" s="91">
        <f t="shared" si="38"/>
        <v>349.31</v>
      </c>
      <c r="F58" s="91">
        <f t="shared" si="38"/>
        <v>5222.94</v>
      </c>
      <c r="G58" s="70">
        <f t="shared" si="38"/>
        <v>65</v>
      </c>
      <c r="H58" s="70">
        <f t="shared" si="38"/>
        <v>9</v>
      </c>
      <c r="I58" s="91">
        <f t="shared" si="38"/>
        <v>340</v>
      </c>
      <c r="K58" s="333" t="s">
        <v>80</v>
      </c>
      <c r="L58" s="79">
        <v>90.0</v>
      </c>
      <c r="M58" s="79">
        <v>71.82</v>
      </c>
      <c r="N58" s="66"/>
    </row>
    <row r="59">
      <c r="A59" s="74"/>
      <c r="B59" s="74"/>
      <c r="C59" s="74"/>
      <c r="D59" s="74"/>
      <c r="E59" s="74"/>
      <c r="F59" s="74"/>
      <c r="G59" s="76"/>
      <c r="H59" s="76"/>
      <c r="I59" s="74"/>
      <c r="K59" s="81" t="s">
        <v>70</v>
      </c>
      <c r="L59" s="81">
        <v>18.0</v>
      </c>
      <c r="M59" s="81">
        <v>3.0</v>
      </c>
      <c r="N59" s="82">
        <f t="shared" ref="N59:N63" si="39">L59*$L$58+M59*$M$58</f>
        <v>1835.46</v>
      </c>
    </row>
    <row r="60">
      <c r="A60" s="476">
        <f>A57+3</f>
        <v>44620</v>
      </c>
      <c r="B60" s="59">
        <v>100.0</v>
      </c>
      <c r="C60" s="59">
        <v>377.71</v>
      </c>
      <c r="D60" s="59">
        <v>910.0</v>
      </c>
      <c r="E60" s="59">
        <v>90.0</v>
      </c>
      <c r="F60" s="107">
        <f>SUM(B60:E60)</f>
        <v>1477.71</v>
      </c>
      <c r="G60" s="66">
        <v>27.0</v>
      </c>
      <c r="H60" s="66">
        <v>7.0</v>
      </c>
      <c r="I60" s="66">
        <v>100.0</v>
      </c>
      <c r="K60" s="81" t="s">
        <v>71</v>
      </c>
      <c r="L60" s="81">
        <v>11.0</v>
      </c>
      <c r="M60" s="81">
        <v>2.0</v>
      </c>
      <c r="N60" s="82">
        <f t="shared" si="39"/>
        <v>1133.64</v>
      </c>
    </row>
    <row r="61">
      <c r="A61" s="67"/>
      <c r="B61" s="91">
        <f t="shared" ref="B61:I61" si="40">SUM(B60)</f>
        <v>100</v>
      </c>
      <c r="C61" s="91">
        <f t="shared" si="40"/>
        <v>377.71</v>
      </c>
      <c r="D61" s="91">
        <f t="shared" si="40"/>
        <v>910</v>
      </c>
      <c r="E61" s="91">
        <f t="shared" si="40"/>
        <v>90</v>
      </c>
      <c r="F61" s="91">
        <f t="shared" si="40"/>
        <v>1477.71</v>
      </c>
      <c r="G61" s="70">
        <f t="shared" si="40"/>
        <v>27</v>
      </c>
      <c r="H61" s="70">
        <f t="shared" si="40"/>
        <v>7</v>
      </c>
      <c r="I61" s="91">
        <f t="shared" si="40"/>
        <v>100</v>
      </c>
      <c r="K61" s="81" t="s">
        <v>72</v>
      </c>
      <c r="L61" s="81">
        <v>18.0</v>
      </c>
      <c r="M61" s="81">
        <v>2.0</v>
      </c>
      <c r="N61" s="82">
        <f t="shared" si="39"/>
        <v>1763.64</v>
      </c>
    </row>
    <row r="62">
      <c r="A62" s="74"/>
      <c r="B62" s="74"/>
      <c r="C62" s="74"/>
      <c r="D62" s="74"/>
      <c r="E62" s="74"/>
      <c r="F62" s="74"/>
      <c r="G62" s="76"/>
      <c r="H62" s="76"/>
      <c r="I62" s="74"/>
      <c r="K62" s="81" t="s">
        <v>73</v>
      </c>
      <c r="L62" s="81"/>
      <c r="M62" s="81"/>
      <c r="N62" s="82">
        <f t="shared" si="39"/>
        <v>0</v>
      </c>
    </row>
    <row r="63">
      <c r="A63" s="476">
        <v>44621.0</v>
      </c>
      <c r="B63" s="81">
        <v>169.31</v>
      </c>
      <c r="C63" s="81">
        <v>141.38</v>
      </c>
      <c r="D63" s="81">
        <v>650.0</v>
      </c>
      <c r="E63" s="81">
        <v>100.0</v>
      </c>
      <c r="F63" s="60">
        <f t="shared" ref="F63:F66" si="41">SUM(B63:E63)</f>
        <v>1060.69</v>
      </c>
      <c r="G63" s="81">
        <v>16.0</v>
      </c>
      <c r="H63" s="81">
        <v>2.0</v>
      </c>
      <c r="I63" s="83">
        <v>100.0</v>
      </c>
      <c r="K63" s="81" t="s">
        <v>74</v>
      </c>
      <c r="L63" s="81"/>
      <c r="M63" s="81"/>
      <c r="N63" s="82">
        <f t="shared" si="39"/>
        <v>0</v>
      </c>
    </row>
    <row r="64">
      <c r="A64" s="476">
        <f t="shared" ref="A64:A66" si="42">A63+1</f>
        <v>44622</v>
      </c>
      <c r="B64" s="81">
        <v>160.0</v>
      </c>
      <c r="C64" s="81">
        <v>266.33</v>
      </c>
      <c r="D64" s="81">
        <v>420.0</v>
      </c>
      <c r="E64" s="81">
        <v>0.0</v>
      </c>
      <c r="F64" s="60">
        <f t="shared" si="41"/>
        <v>846.33</v>
      </c>
      <c r="G64" s="81">
        <v>16.0</v>
      </c>
      <c r="H64" s="81">
        <v>6.0</v>
      </c>
      <c r="I64" s="81">
        <v>0.0</v>
      </c>
    </row>
    <row r="65">
      <c r="A65" s="476">
        <f t="shared" si="42"/>
        <v>44623</v>
      </c>
      <c r="B65" s="81">
        <v>100.0</v>
      </c>
      <c r="C65" s="81">
        <v>265.61</v>
      </c>
      <c r="D65" s="81">
        <v>918.62</v>
      </c>
      <c r="E65" s="81">
        <v>150.0</v>
      </c>
      <c r="F65" s="60">
        <f t="shared" si="41"/>
        <v>1434.23</v>
      </c>
      <c r="G65" s="81">
        <v>24.0</v>
      </c>
      <c r="H65" s="81">
        <v>5.0</v>
      </c>
      <c r="I65" s="81">
        <v>150.0</v>
      </c>
      <c r="K65" s="66"/>
      <c r="L65" s="477">
        <f>L66+M66</f>
        <v>29</v>
      </c>
      <c r="M65" s="478"/>
      <c r="N65" s="66"/>
    </row>
    <row r="66">
      <c r="A66" s="476">
        <f t="shared" si="42"/>
        <v>44624</v>
      </c>
      <c r="B66" s="81">
        <v>100.0</v>
      </c>
      <c r="C66" s="81">
        <v>265.61</v>
      </c>
      <c r="D66" s="81">
        <v>1128.62</v>
      </c>
      <c r="E66" s="81">
        <v>100.0</v>
      </c>
      <c r="F66" s="60">
        <f t="shared" si="41"/>
        <v>1594.23</v>
      </c>
      <c r="G66" s="81">
        <v>26.0</v>
      </c>
      <c r="H66" s="81">
        <v>5.0</v>
      </c>
      <c r="I66" s="81">
        <v>90.0</v>
      </c>
      <c r="K66" s="66"/>
      <c r="L66" s="481">
        <f t="shared" ref="L66:N66" si="43">SUM(L68:L72)</f>
        <v>18</v>
      </c>
      <c r="M66" s="481">
        <f t="shared" si="43"/>
        <v>11</v>
      </c>
      <c r="N66" s="482">
        <f t="shared" si="43"/>
        <v>2410.02</v>
      </c>
    </row>
    <row r="67">
      <c r="A67" s="67"/>
      <c r="B67" s="68">
        <f t="shared" ref="B67:I67" si="44">SUM(B63:B66)</f>
        <v>529.31</v>
      </c>
      <c r="C67" s="68">
        <f t="shared" si="44"/>
        <v>938.93</v>
      </c>
      <c r="D67" s="68">
        <f t="shared" si="44"/>
        <v>3117.24</v>
      </c>
      <c r="E67" s="68">
        <f t="shared" si="44"/>
        <v>350</v>
      </c>
      <c r="F67" s="68">
        <f t="shared" si="44"/>
        <v>4935.48</v>
      </c>
      <c r="G67" s="70">
        <f t="shared" si="44"/>
        <v>82</v>
      </c>
      <c r="H67" s="70">
        <f t="shared" si="44"/>
        <v>18</v>
      </c>
      <c r="I67" s="91">
        <f t="shared" si="44"/>
        <v>340</v>
      </c>
      <c r="K67" s="333" t="s">
        <v>81</v>
      </c>
      <c r="L67" s="426">
        <v>90.0</v>
      </c>
      <c r="M67" s="426">
        <v>71.82</v>
      </c>
      <c r="N67" s="81"/>
    </row>
    <row r="68">
      <c r="A68" s="74"/>
      <c r="B68" s="92"/>
      <c r="C68" s="92"/>
      <c r="D68" s="92"/>
      <c r="E68" s="92"/>
      <c r="F68" s="75"/>
      <c r="G68" s="93"/>
      <c r="H68" s="93"/>
      <c r="I68" s="94"/>
      <c r="K68" s="81" t="s">
        <v>70</v>
      </c>
      <c r="L68" s="81">
        <v>15.0</v>
      </c>
      <c r="M68" s="81">
        <v>10.0</v>
      </c>
      <c r="N68" s="82">
        <f t="shared" ref="N68:N72" si="45">L68*$L$67+M68*$M$67</f>
        <v>2068.2</v>
      </c>
    </row>
    <row r="69">
      <c r="A69" s="476">
        <f>A66+3</f>
        <v>44627</v>
      </c>
      <c r="B69" s="98">
        <v>140.0</v>
      </c>
      <c r="C69" s="99">
        <v>70.69</v>
      </c>
      <c r="D69" s="99">
        <v>529.31</v>
      </c>
      <c r="E69" s="99">
        <v>100.0</v>
      </c>
      <c r="F69" s="60">
        <f t="shared" ref="F69:F73" si="46">SUM(B69:E69)</f>
        <v>840</v>
      </c>
      <c r="G69" s="99">
        <v>15.0</v>
      </c>
      <c r="H69" s="99">
        <v>1.0</v>
      </c>
      <c r="I69" s="101">
        <v>100.0</v>
      </c>
      <c r="K69" s="59" t="s">
        <v>71</v>
      </c>
      <c r="L69" s="84"/>
      <c r="M69" s="84"/>
      <c r="N69" s="82">
        <f t="shared" si="45"/>
        <v>0</v>
      </c>
    </row>
    <row r="70">
      <c r="A70" s="476">
        <f t="shared" ref="A70:A73" si="47">A69+1</f>
        <v>44628</v>
      </c>
      <c r="B70" s="103">
        <v>100.0</v>
      </c>
      <c r="C70" s="81">
        <v>265.61</v>
      </c>
      <c r="D70" s="81">
        <v>520.0</v>
      </c>
      <c r="E70" s="81">
        <v>88.62</v>
      </c>
      <c r="F70" s="60">
        <f t="shared" si="46"/>
        <v>974.23</v>
      </c>
      <c r="G70" s="81">
        <v>15.0</v>
      </c>
      <c r="H70" s="81">
        <v>5.0</v>
      </c>
      <c r="I70" s="83">
        <v>90.0</v>
      </c>
      <c r="K70" s="59" t="s">
        <v>72</v>
      </c>
      <c r="L70" s="84"/>
      <c r="M70" s="84"/>
      <c r="N70" s="82">
        <f t="shared" si="45"/>
        <v>0</v>
      </c>
    </row>
    <row r="71">
      <c r="A71" s="476">
        <f t="shared" si="47"/>
        <v>44629</v>
      </c>
      <c r="B71" s="103">
        <v>100.0</v>
      </c>
      <c r="C71" s="81">
        <v>158.11</v>
      </c>
      <c r="D71" s="81">
        <v>570.0</v>
      </c>
      <c r="E71" s="81">
        <v>0.0</v>
      </c>
      <c r="F71" s="60">
        <f t="shared" si="46"/>
        <v>828.11</v>
      </c>
      <c r="G71" s="81">
        <v>17.0</v>
      </c>
      <c r="H71" s="81">
        <v>4.0</v>
      </c>
      <c r="I71" s="83">
        <v>0.0</v>
      </c>
      <c r="K71" s="59" t="s">
        <v>73</v>
      </c>
      <c r="L71" s="84"/>
      <c r="M71" s="84"/>
      <c r="N71" s="82">
        <f t="shared" si="45"/>
        <v>0</v>
      </c>
    </row>
    <row r="72">
      <c r="A72" s="476">
        <f t="shared" si="47"/>
        <v>44630</v>
      </c>
      <c r="B72" s="103">
        <v>100.0</v>
      </c>
      <c r="C72" s="81">
        <v>112.1</v>
      </c>
      <c r="D72" s="81">
        <v>560.0</v>
      </c>
      <c r="E72" s="81">
        <v>50.0</v>
      </c>
      <c r="F72" s="60">
        <f t="shared" si="46"/>
        <v>822.1</v>
      </c>
      <c r="G72" s="81">
        <v>15.0</v>
      </c>
      <c r="H72" s="81">
        <v>2.0</v>
      </c>
      <c r="I72" s="83">
        <v>50.0</v>
      </c>
      <c r="K72" s="59" t="s">
        <v>74</v>
      </c>
      <c r="L72" s="81">
        <v>3.0</v>
      </c>
      <c r="M72" s="81">
        <v>1.0</v>
      </c>
      <c r="N72" s="82">
        <f t="shared" si="45"/>
        <v>341.82</v>
      </c>
    </row>
    <row r="73">
      <c r="A73" s="476">
        <f t="shared" si="47"/>
        <v>44631</v>
      </c>
      <c r="B73" s="184"/>
      <c r="C73" s="172"/>
      <c r="D73" s="172"/>
      <c r="E73" s="172"/>
      <c r="F73" s="85">
        <f t="shared" si="46"/>
        <v>0</v>
      </c>
      <c r="G73" s="172"/>
      <c r="H73" s="172"/>
      <c r="I73" s="173"/>
    </row>
    <row r="74">
      <c r="A74" s="67"/>
      <c r="B74" s="121">
        <f t="shared" ref="B74:I74" si="48">SUM(B69:B73)</f>
        <v>440</v>
      </c>
      <c r="C74" s="121">
        <f t="shared" si="48"/>
        <v>606.51</v>
      </c>
      <c r="D74" s="121">
        <f t="shared" si="48"/>
        <v>2179.31</v>
      </c>
      <c r="E74" s="121">
        <f t="shared" si="48"/>
        <v>238.62</v>
      </c>
      <c r="F74" s="132">
        <f t="shared" si="48"/>
        <v>3464.44</v>
      </c>
      <c r="G74" s="122">
        <f t="shared" si="48"/>
        <v>62</v>
      </c>
      <c r="H74" s="122">
        <f t="shared" si="48"/>
        <v>12</v>
      </c>
      <c r="I74" s="121">
        <f t="shared" si="48"/>
        <v>240</v>
      </c>
      <c r="K74" s="64"/>
      <c r="L74" s="477">
        <f>L75+M75</f>
        <v>115</v>
      </c>
      <c r="M74" s="478"/>
      <c r="N74" s="66"/>
    </row>
    <row r="75">
      <c r="A75" s="74"/>
      <c r="B75" s="75"/>
      <c r="C75" s="75"/>
      <c r="D75" s="75"/>
      <c r="E75" s="75"/>
      <c r="F75" s="136"/>
      <c r="G75" s="75"/>
      <c r="H75" s="75"/>
      <c r="I75" s="75"/>
      <c r="K75" s="64"/>
      <c r="L75" s="483">
        <f t="shared" ref="L75:N75" si="49">SUM(L77:L81)</f>
        <v>101</v>
      </c>
      <c r="M75" s="483">
        <f t="shared" si="49"/>
        <v>14</v>
      </c>
      <c r="N75" s="73">
        <f t="shared" si="49"/>
        <v>10095.48</v>
      </c>
    </row>
    <row r="76">
      <c r="A76" s="476">
        <f>A73+3</f>
        <v>44634</v>
      </c>
      <c r="B76" s="98">
        <v>190.0</v>
      </c>
      <c r="C76" s="99">
        <v>436.27</v>
      </c>
      <c r="D76" s="99">
        <v>1107.24</v>
      </c>
      <c r="E76" s="99">
        <v>0.0</v>
      </c>
      <c r="F76" s="60">
        <f t="shared" ref="F76:F80" si="50">SUM(B76:E76)</f>
        <v>1733.51</v>
      </c>
      <c r="G76" s="99">
        <v>27.0</v>
      </c>
      <c r="H76" s="99">
        <v>7.0</v>
      </c>
      <c r="I76" s="101">
        <v>0.0</v>
      </c>
      <c r="K76" s="95" t="s">
        <v>82</v>
      </c>
      <c r="L76" s="79">
        <v>90.0</v>
      </c>
      <c r="M76" s="79">
        <v>71.82</v>
      </c>
      <c r="N76" s="66"/>
    </row>
    <row r="77">
      <c r="A77" s="476">
        <f t="shared" ref="A77:A80" si="51">A76+1</f>
        <v>44635</v>
      </c>
      <c r="B77" s="103">
        <v>50.0</v>
      </c>
      <c r="C77" s="81">
        <v>0.0</v>
      </c>
      <c r="D77" s="81">
        <v>790.0</v>
      </c>
      <c r="E77" s="81">
        <v>100.0</v>
      </c>
      <c r="F77" s="60">
        <f t="shared" si="50"/>
        <v>940</v>
      </c>
      <c r="G77" s="81">
        <v>17.0</v>
      </c>
      <c r="H77" s="81">
        <v>0.0</v>
      </c>
      <c r="I77" s="83">
        <v>100.0</v>
      </c>
      <c r="K77" s="81" t="s">
        <v>70</v>
      </c>
      <c r="L77" s="118">
        <v>17.0</v>
      </c>
      <c r="M77" s="118">
        <v>3.0</v>
      </c>
      <c r="N77" s="82">
        <f t="shared" ref="N77:N81" si="52">L77*$L$76+M77*$M$76</f>
        <v>1745.46</v>
      </c>
    </row>
    <row r="78">
      <c r="A78" s="476">
        <f t="shared" si="51"/>
        <v>44636</v>
      </c>
      <c r="B78" s="103">
        <v>90.0</v>
      </c>
      <c r="C78" s="81">
        <v>426.82</v>
      </c>
      <c r="D78" s="81">
        <v>708.62</v>
      </c>
      <c r="E78" s="81">
        <v>0.0</v>
      </c>
      <c r="F78" s="60">
        <f t="shared" si="50"/>
        <v>1225.44</v>
      </c>
      <c r="G78" s="81">
        <v>23.0</v>
      </c>
      <c r="H78" s="81">
        <v>10.0</v>
      </c>
      <c r="I78" s="83">
        <v>0.0</v>
      </c>
      <c r="K78" s="59" t="s">
        <v>71</v>
      </c>
      <c r="L78" s="124">
        <v>19.0</v>
      </c>
      <c r="M78" s="124">
        <v>2.0</v>
      </c>
      <c r="N78" s="82">
        <f t="shared" si="52"/>
        <v>1853.64</v>
      </c>
    </row>
    <row r="79">
      <c r="A79" s="476">
        <f t="shared" si="51"/>
        <v>44637</v>
      </c>
      <c r="B79" s="103">
        <v>50.0</v>
      </c>
      <c r="C79" s="81">
        <v>90.0</v>
      </c>
      <c r="D79" s="81">
        <v>389.48</v>
      </c>
      <c r="E79" s="81">
        <v>298.62</v>
      </c>
      <c r="F79" s="60">
        <f t="shared" si="50"/>
        <v>828.1</v>
      </c>
      <c r="G79" s="81">
        <v>13.0</v>
      </c>
      <c r="H79" s="81">
        <v>6.0</v>
      </c>
      <c r="I79" s="83">
        <v>90.0</v>
      </c>
      <c r="K79" s="59" t="s">
        <v>72</v>
      </c>
      <c r="L79" s="124">
        <v>20.0</v>
      </c>
      <c r="M79" s="124">
        <v>2.0</v>
      </c>
      <c r="N79" s="82">
        <f t="shared" si="52"/>
        <v>1943.64</v>
      </c>
    </row>
    <row r="80">
      <c r="A80" s="476">
        <f t="shared" si="51"/>
        <v>44638</v>
      </c>
      <c r="B80" s="184"/>
      <c r="C80" s="172"/>
      <c r="D80" s="172"/>
      <c r="E80" s="172"/>
      <c r="F80" s="85">
        <f t="shared" si="50"/>
        <v>0</v>
      </c>
      <c r="G80" s="172"/>
      <c r="H80" s="172"/>
      <c r="I80" s="173"/>
      <c r="K80" s="59" t="s">
        <v>73</v>
      </c>
      <c r="L80" s="124">
        <v>24.0</v>
      </c>
      <c r="M80" s="124">
        <v>2.0</v>
      </c>
      <c r="N80" s="82">
        <f t="shared" si="52"/>
        <v>2303.64</v>
      </c>
    </row>
    <row r="81">
      <c r="A81" s="67"/>
      <c r="B81" s="121">
        <f t="shared" ref="B81:I81" si="53">SUM(B76:B80)</f>
        <v>380</v>
      </c>
      <c r="C81" s="121">
        <f t="shared" si="53"/>
        <v>953.09</v>
      </c>
      <c r="D81" s="121">
        <f t="shared" si="53"/>
        <v>2995.34</v>
      </c>
      <c r="E81" s="121">
        <f t="shared" si="53"/>
        <v>398.62</v>
      </c>
      <c r="F81" s="132">
        <f t="shared" si="53"/>
        <v>4727.05</v>
      </c>
      <c r="G81" s="128">
        <f t="shared" si="53"/>
        <v>80</v>
      </c>
      <c r="H81" s="128">
        <f t="shared" si="53"/>
        <v>23</v>
      </c>
      <c r="I81" s="121">
        <f t="shared" si="53"/>
        <v>190</v>
      </c>
      <c r="K81" s="59" t="s">
        <v>74</v>
      </c>
      <c r="L81" s="124">
        <v>21.0</v>
      </c>
      <c r="M81" s="124">
        <v>5.0</v>
      </c>
      <c r="N81" s="82">
        <f t="shared" si="52"/>
        <v>2249.1</v>
      </c>
    </row>
    <row r="82">
      <c r="A82" s="74"/>
      <c r="B82" s="92"/>
      <c r="C82" s="92"/>
      <c r="D82" s="92"/>
      <c r="E82" s="92"/>
      <c r="F82" s="136"/>
      <c r="G82" s="92"/>
      <c r="H82" s="92"/>
      <c r="I82" s="92"/>
    </row>
    <row r="83">
      <c r="A83" s="476">
        <f>A80+3</f>
        <v>44641</v>
      </c>
      <c r="B83" s="98">
        <v>90.0</v>
      </c>
      <c r="C83" s="99">
        <v>224.2</v>
      </c>
      <c r="D83" s="99">
        <v>699.31</v>
      </c>
      <c r="E83" s="99">
        <v>50.0</v>
      </c>
      <c r="F83" s="60">
        <f t="shared" ref="F83:F87" si="54">SUM(B83:E83)</f>
        <v>1063.51</v>
      </c>
      <c r="G83" s="99">
        <v>18.0</v>
      </c>
      <c r="H83" s="99">
        <v>4.0</v>
      </c>
      <c r="I83" s="101">
        <v>50.0</v>
      </c>
      <c r="K83" s="64"/>
      <c r="L83" s="477">
        <f>L84+M84</f>
        <v>91</v>
      </c>
      <c r="M83" s="478"/>
      <c r="N83" s="66"/>
    </row>
    <row r="84">
      <c r="A84" s="476">
        <f t="shared" ref="A84:A86" si="56">A83+1</f>
        <v>44642</v>
      </c>
      <c r="B84" s="103">
        <v>0.0</v>
      </c>
      <c r="C84" s="81">
        <v>253.48</v>
      </c>
      <c r="D84" s="81">
        <v>747.41</v>
      </c>
      <c r="E84" s="81">
        <v>0.0</v>
      </c>
      <c r="F84" s="60">
        <f t="shared" si="54"/>
        <v>1000.89</v>
      </c>
      <c r="G84" s="81">
        <v>15.0</v>
      </c>
      <c r="H84" s="81">
        <v>4.0</v>
      </c>
      <c r="I84" s="83">
        <v>0.0</v>
      </c>
      <c r="K84" s="64"/>
      <c r="L84" s="483">
        <f t="shared" ref="L84:N84" si="55">SUM(L86:L90)</f>
        <v>77</v>
      </c>
      <c r="M84" s="483">
        <f t="shared" si="55"/>
        <v>14</v>
      </c>
      <c r="N84" s="73">
        <f t="shared" si="55"/>
        <v>7935.48</v>
      </c>
    </row>
    <row r="85">
      <c r="A85" s="476">
        <f t="shared" si="56"/>
        <v>44643</v>
      </c>
      <c r="B85" s="103">
        <v>50.0</v>
      </c>
      <c r="C85" s="81">
        <v>278.8</v>
      </c>
      <c r="D85" s="81">
        <v>439.31</v>
      </c>
      <c r="E85" s="81">
        <v>50.0</v>
      </c>
      <c r="F85" s="60">
        <f t="shared" si="54"/>
        <v>818.11</v>
      </c>
      <c r="G85" s="81">
        <v>16.0</v>
      </c>
      <c r="H85" s="81">
        <v>6.0</v>
      </c>
      <c r="I85" s="83">
        <v>50.0</v>
      </c>
      <c r="K85" s="95" t="s">
        <v>83</v>
      </c>
      <c r="L85" s="79">
        <v>90.0</v>
      </c>
      <c r="M85" s="79">
        <v>71.82</v>
      </c>
      <c r="N85" s="66"/>
    </row>
    <row r="86">
      <c r="A86" s="476">
        <f t="shared" si="56"/>
        <v>44644</v>
      </c>
      <c r="B86" s="103">
        <v>0.0</v>
      </c>
      <c r="C86" s="81">
        <v>389.84</v>
      </c>
      <c r="D86" s="81">
        <v>1228.62</v>
      </c>
      <c r="E86" s="81">
        <v>0.0</v>
      </c>
      <c r="F86" s="60">
        <f t="shared" si="54"/>
        <v>1618.46</v>
      </c>
      <c r="G86" s="81">
        <v>27.0</v>
      </c>
      <c r="H86" s="81">
        <v>8.0</v>
      </c>
      <c r="I86" s="83">
        <v>0.0</v>
      </c>
      <c r="K86" s="81" t="s">
        <v>70</v>
      </c>
      <c r="L86" s="81">
        <v>17.0</v>
      </c>
      <c r="M86" s="81">
        <v>4.0</v>
      </c>
      <c r="N86" s="82">
        <f t="shared" ref="N86:N90" si="57">L86*$L$85+M86*$M$85</f>
        <v>1817.28</v>
      </c>
    </row>
    <row r="87">
      <c r="A87" s="476">
        <f>A84+3</f>
        <v>44645</v>
      </c>
      <c r="B87" s="105">
        <v>50.0</v>
      </c>
      <c r="C87" s="106">
        <v>460.53</v>
      </c>
      <c r="D87" s="106">
        <v>457.93</v>
      </c>
      <c r="E87" s="106">
        <v>0.0</v>
      </c>
      <c r="F87" s="60">
        <f t="shared" si="54"/>
        <v>968.46</v>
      </c>
      <c r="G87" s="106">
        <v>18.0</v>
      </c>
      <c r="H87" s="106">
        <v>9.0</v>
      </c>
      <c r="I87" s="108">
        <v>0.0</v>
      </c>
      <c r="K87" s="81" t="s">
        <v>71</v>
      </c>
      <c r="L87" s="81">
        <v>22.0</v>
      </c>
      <c r="M87" s="81">
        <v>4.0</v>
      </c>
      <c r="N87" s="82">
        <f t="shared" si="57"/>
        <v>2267.28</v>
      </c>
    </row>
    <row r="88">
      <c r="A88" s="67"/>
      <c r="B88" s="68">
        <f t="shared" ref="B88:I88" si="58">SUM(B83:B87)</f>
        <v>190</v>
      </c>
      <c r="C88" s="132">
        <f t="shared" si="58"/>
        <v>1606.85</v>
      </c>
      <c r="D88" s="132">
        <f t="shared" si="58"/>
        <v>3572.58</v>
      </c>
      <c r="E88" s="132">
        <f t="shared" si="58"/>
        <v>100</v>
      </c>
      <c r="F88" s="132">
        <f t="shared" si="58"/>
        <v>5469.43</v>
      </c>
      <c r="G88" s="133">
        <f t="shared" si="58"/>
        <v>94</v>
      </c>
      <c r="H88" s="133">
        <f t="shared" si="58"/>
        <v>31</v>
      </c>
      <c r="I88" s="134">
        <f t="shared" si="58"/>
        <v>100</v>
      </c>
      <c r="K88" s="81" t="s">
        <v>72</v>
      </c>
      <c r="L88" s="81">
        <v>16.0</v>
      </c>
      <c r="M88" s="81">
        <v>1.0</v>
      </c>
      <c r="N88" s="82">
        <f t="shared" si="57"/>
        <v>1511.82</v>
      </c>
    </row>
    <row r="89">
      <c r="A89" s="74"/>
      <c r="B89" s="75"/>
      <c r="C89" s="136"/>
      <c r="D89" s="136"/>
      <c r="E89" s="136"/>
      <c r="F89" s="136"/>
      <c r="G89" s="136"/>
      <c r="H89" s="136"/>
      <c r="I89" s="137"/>
      <c r="K89" s="81" t="s">
        <v>73</v>
      </c>
      <c r="L89" s="81">
        <v>22.0</v>
      </c>
      <c r="M89" s="81">
        <v>5.0</v>
      </c>
      <c r="N89" s="82">
        <f t="shared" si="57"/>
        <v>2339.1</v>
      </c>
    </row>
    <row r="90">
      <c r="A90" s="476">
        <f>A87+3</f>
        <v>44648</v>
      </c>
      <c r="B90" s="175"/>
      <c r="C90" s="176"/>
      <c r="D90" s="176"/>
      <c r="E90" s="176"/>
      <c r="F90" s="85">
        <f>SUM(B90:E90)</f>
        <v>0</v>
      </c>
      <c r="G90" s="176"/>
      <c r="H90" s="176"/>
      <c r="I90" s="178"/>
      <c r="K90" s="81" t="s">
        <v>74</v>
      </c>
      <c r="L90" s="81"/>
      <c r="M90" s="81"/>
      <c r="N90" s="82">
        <f t="shared" si="57"/>
        <v>0</v>
      </c>
    </row>
    <row r="91">
      <c r="A91" s="476">
        <f t="shared" ref="A91:A93" si="59">A90+1</f>
        <v>44649</v>
      </c>
      <c r="B91" s="150"/>
      <c r="C91" s="138"/>
      <c r="D91" s="138"/>
      <c r="E91" s="138"/>
      <c r="F91" s="85"/>
      <c r="G91" s="138"/>
      <c r="H91" s="138"/>
      <c r="I91" s="146"/>
    </row>
    <row r="92">
      <c r="A92" s="476">
        <f t="shared" si="59"/>
        <v>44650</v>
      </c>
      <c r="B92" s="103">
        <v>50.0</v>
      </c>
      <c r="C92" s="81">
        <v>119.21</v>
      </c>
      <c r="D92" s="81">
        <v>340.0</v>
      </c>
      <c r="E92" s="81">
        <v>285.0</v>
      </c>
      <c r="F92" s="60">
        <f t="shared" ref="F92:F93" si="60">SUM(B92:E92)</f>
        <v>794.21</v>
      </c>
      <c r="G92" s="81">
        <v>15.0</v>
      </c>
      <c r="H92" s="81">
        <v>3.0</v>
      </c>
      <c r="I92" s="83">
        <v>280.0</v>
      </c>
      <c r="K92" s="64"/>
      <c r="L92" s="477">
        <f>L93+M93</f>
        <v>69</v>
      </c>
      <c r="M92" s="478"/>
      <c r="N92" s="66"/>
    </row>
    <row r="93">
      <c r="A93" s="476">
        <f t="shared" si="59"/>
        <v>44651</v>
      </c>
      <c r="B93" s="103">
        <v>230.0</v>
      </c>
      <c r="C93" s="81">
        <v>519.09</v>
      </c>
      <c r="D93" s="81">
        <v>838.62</v>
      </c>
      <c r="E93" s="81">
        <v>140.0</v>
      </c>
      <c r="F93" s="60">
        <f t="shared" si="60"/>
        <v>1727.71</v>
      </c>
      <c r="G93" s="81">
        <v>28.0</v>
      </c>
      <c r="H93" s="81">
        <v>9.0</v>
      </c>
      <c r="I93" s="83">
        <v>160.0</v>
      </c>
      <c r="K93" s="64"/>
      <c r="L93" s="483">
        <f t="shared" ref="L93:N93" si="61">SUM(L95:L99)</f>
        <v>59</v>
      </c>
      <c r="M93" s="483">
        <f t="shared" si="61"/>
        <v>10</v>
      </c>
      <c r="N93" s="336">
        <f t="shared" si="61"/>
        <v>6028.2</v>
      </c>
    </row>
    <row r="94">
      <c r="A94" s="67"/>
      <c r="B94" s="132">
        <f t="shared" ref="B94:H94" si="62">SUM(B90:B93)</f>
        <v>280</v>
      </c>
      <c r="C94" s="132">
        <f t="shared" si="62"/>
        <v>638.3</v>
      </c>
      <c r="D94" s="132">
        <f t="shared" si="62"/>
        <v>1178.62</v>
      </c>
      <c r="E94" s="132">
        <f t="shared" si="62"/>
        <v>425</v>
      </c>
      <c r="F94" s="132">
        <f t="shared" si="62"/>
        <v>2521.92</v>
      </c>
      <c r="G94" s="133">
        <f t="shared" si="62"/>
        <v>43</v>
      </c>
      <c r="H94" s="133">
        <f t="shared" si="62"/>
        <v>12</v>
      </c>
      <c r="I94" s="134">
        <f>SUM(I92:I93)</f>
        <v>440</v>
      </c>
      <c r="K94" s="95" t="s">
        <v>84</v>
      </c>
      <c r="L94" s="79">
        <v>90.0</v>
      </c>
      <c r="M94" s="79">
        <v>71.82</v>
      </c>
      <c r="N94" s="66"/>
    </row>
    <row r="95">
      <c r="A95" s="74"/>
      <c r="B95" s="136"/>
      <c r="C95" s="136"/>
      <c r="D95" s="136"/>
      <c r="E95" s="136"/>
      <c r="F95" s="136"/>
      <c r="G95" s="136"/>
      <c r="H95" s="136"/>
      <c r="I95" s="137"/>
      <c r="K95" s="81" t="s">
        <v>70</v>
      </c>
      <c r="L95" s="81">
        <v>7.0</v>
      </c>
      <c r="M95" s="81">
        <v>3.0</v>
      </c>
      <c r="N95" s="82">
        <f t="shared" ref="N95:N99" si="63">L95*$L$94+M95*$M$94</f>
        <v>845.46</v>
      </c>
    </row>
    <row r="96">
      <c r="A96" s="476">
        <v>44652.0</v>
      </c>
      <c r="B96" s="59">
        <v>249.31</v>
      </c>
      <c r="C96" s="59">
        <v>324.17</v>
      </c>
      <c r="D96" s="59">
        <v>768.62</v>
      </c>
      <c r="E96" s="59">
        <v>100.0</v>
      </c>
      <c r="F96" s="60">
        <f>SUM(B96:E96)</f>
        <v>1442.1</v>
      </c>
      <c r="G96" s="59">
        <v>22.0</v>
      </c>
      <c r="H96" s="59">
        <v>5.0</v>
      </c>
      <c r="I96" s="61">
        <v>100.0</v>
      </c>
      <c r="K96" s="81" t="s">
        <v>71</v>
      </c>
      <c r="L96" s="81">
        <v>16.0</v>
      </c>
      <c r="M96" s="81">
        <v>3.0</v>
      </c>
      <c r="N96" s="82">
        <f t="shared" si="63"/>
        <v>1655.46</v>
      </c>
    </row>
    <row r="97">
      <c r="A97" s="67"/>
      <c r="B97" s="68">
        <f t="shared" ref="B97:I97" si="64">SUM(B96)</f>
        <v>249.31</v>
      </c>
      <c r="C97" s="68">
        <f t="shared" si="64"/>
        <v>324.17</v>
      </c>
      <c r="D97" s="68">
        <f t="shared" si="64"/>
        <v>768.62</v>
      </c>
      <c r="E97" s="68">
        <f t="shared" si="64"/>
        <v>100</v>
      </c>
      <c r="F97" s="68">
        <f t="shared" si="64"/>
        <v>1442.1</v>
      </c>
      <c r="G97" s="140">
        <f t="shared" si="64"/>
        <v>22</v>
      </c>
      <c r="H97" s="140">
        <f t="shared" si="64"/>
        <v>5</v>
      </c>
      <c r="I97" s="91">
        <f t="shared" si="64"/>
        <v>100</v>
      </c>
      <c r="K97" s="81" t="s">
        <v>72</v>
      </c>
      <c r="L97" s="81">
        <v>24.0</v>
      </c>
      <c r="M97" s="81">
        <v>1.0</v>
      </c>
      <c r="N97" s="82">
        <f t="shared" si="63"/>
        <v>2231.82</v>
      </c>
    </row>
    <row r="98">
      <c r="A98" s="74"/>
      <c r="B98" s="75"/>
      <c r="C98" s="75"/>
      <c r="D98" s="75"/>
      <c r="E98" s="75"/>
      <c r="F98" s="75"/>
      <c r="G98" s="75"/>
      <c r="H98" s="75"/>
      <c r="I98" s="74"/>
      <c r="K98" s="81" t="s">
        <v>73</v>
      </c>
      <c r="L98" s="81">
        <v>12.0</v>
      </c>
      <c r="M98" s="81">
        <v>3.0</v>
      </c>
      <c r="N98" s="82">
        <f t="shared" si="63"/>
        <v>1295.46</v>
      </c>
    </row>
    <row r="99">
      <c r="A99" s="476">
        <f>A96+3</f>
        <v>44655</v>
      </c>
      <c r="B99" s="59">
        <v>50.0</v>
      </c>
      <c r="C99" s="59">
        <v>194.92</v>
      </c>
      <c r="D99" s="59">
        <v>629.31</v>
      </c>
      <c r="E99" s="59">
        <v>150.0</v>
      </c>
      <c r="F99" s="60">
        <f t="shared" ref="F99:F103" si="65">SUM(B99:E99)</f>
        <v>1024.23</v>
      </c>
      <c r="G99" s="59">
        <v>19.0</v>
      </c>
      <c r="H99" s="59">
        <v>4.0</v>
      </c>
      <c r="I99" s="61">
        <v>150.0</v>
      </c>
      <c r="K99" s="81" t="s">
        <v>74</v>
      </c>
      <c r="L99" s="81"/>
      <c r="M99" s="81"/>
      <c r="N99" s="82">
        <f t="shared" si="63"/>
        <v>0</v>
      </c>
    </row>
    <row r="100">
      <c r="A100" s="476">
        <f t="shared" ref="A100:A103" si="66">A99+1</f>
        <v>44656</v>
      </c>
      <c r="B100" s="59">
        <v>0.0</v>
      </c>
      <c r="C100" s="59">
        <v>158.1</v>
      </c>
      <c r="D100" s="59">
        <v>540.0</v>
      </c>
      <c r="E100" s="59">
        <v>150.0</v>
      </c>
      <c r="F100" s="60">
        <f t="shared" si="65"/>
        <v>848.1</v>
      </c>
      <c r="G100" s="59">
        <v>16.0</v>
      </c>
      <c r="H100" s="59">
        <v>3.0</v>
      </c>
      <c r="I100" s="61">
        <v>160.0</v>
      </c>
    </row>
    <row r="101">
      <c r="A101" s="476">
        <f t="shared" si="66"/>
        <v>44657</v>
      </c>
      <c r="B101" s="59">
        <v>70.0</v>
      </c>
      <c r="C101" s="59">
        <v>82.82</v>
      </c>
      <c r="D101" s="59">
        <v>700.0</v>
      </c>
      <c r="E101" s="59">
        <v>0.0</v>
      </c>
      <c r="F101" s="60">
        <f t="shared" si="65"/>
        <v>852.82</v>
      </c>
      <c r="G101" s="59">
        <v>17.0</v>
      </c>
      <c r="H101" s="59">
        <v>2.0</v>
      </c>
      <c r="I101" s="61">
        <v>0.0</v>
      </c>
      <c r="L101" s="477">
        <f>L102+M102</f>
        <v>45</v>
      </c>
      <c r="M101" s="478"/>
      <c r="N101" s="66"/>
    </row>
    <row r="102">
      <c r="A102" s="476">
        <f t="shared" si="66"/>
        <v>44658</v>
      </c>
      <c r="B102" s="59">
        <v>170.0</v>
      </c>
      <c r="C102" s="59">
        <v>194.92</v>
      </c>
      <c r="D102" s="59">
        <v>920.0</v>
      </c>
      <c r="E102" s="59">
        <v>100.0</v>
      </c>
      <c r="F102" s="60">
        <f t="shared" si="65"/>
        <v>1384.92</v>
      </c>
      <c r="G102" s="59">
        <v>25.0</v>
      </c>
      <c r="H102" s="59">
        <v>4.0</v>
      </c>
      <c r="I102" s="61">
        <v>100.0</v>
      </c>
      <c r="L102" s="483">
        <f t="shared" ref="L102:N102" si="67">SUM(L104:L108)</f>
        <v>37</v>
      </c>
      <c r="M102" s="483">
        <f t="shared" si="67"/>
        <v>8</v>
      </c>
      <c r="N102" s="336">
        <f t="shared" si="67"/>
        <v>3904.56</v>
      </c>
    </row>
    <row r="103">
      <c r="A103" s="476">
        <f t="shared" si="66"/>
        <v>44659</v>
      </c>
      <c r="B103" s="59">
        <v>50.0</v>
      </c>
      <c r="C103" s="59">
        <v>236.33</v>
      </c>
      <c r="D103" s="59">
        <v>779.11</v>
      </c>
      <c r="E103" s="59">
        <v>0.0</v>
      </c>
      <c r="F103" s="60">
        <f t="shared" si="65"/>
        <v>1065.44</v>
      </c>
      <c r="G103" s="59">
        <v>21.0</v>
      </c>
      <c r="H103" s="59">
        <v>5.0</v>
      </c>
      <c r="I103" s="61">
        <v>0.0</v>
      </c>
      <c r="K103" s="78" t="s">
        <v>85</v>
      </c>
      <c r="L103" s="79">
        <v>90.0</v>
      </c>
      <c r="M103" s="79">
        <v>71.82</v>
      </c>
      <c r="N103" s="66"/>
    </row>
    <row r="104">
      <c r="A104" s="67"/>
      <c r="B104" s="68">
        <f t="shared" ref="B104:I104" si="68">SUM(B99:B103)</f>
        <v>340</v>
      </c>
      <c r="C104" s="68">
        <f t="shared" si="68"/>
        <v>867.09</v>
      </c>
      <c r="D104" s="68">
        <f t="shared" si="68"/>
        <v>3568.42</v>
      </c>
      <c r="E104" s="68">
        <f t="shared" si="68"/>
        <v>400</v>
      </c>
      <c r="F104" s="68">
        <f t="shared" si="68"/>
        <v>5175.51</v>
      </c>
      <c r="G104" s="140">
        <f t="shared" si="68"/>
        <v>98</v>
      </c>
      <c r="H104" s="140">
        <f t="shared" si="68"/>
        <v>18</v>
      </c>
      <c r="I104" s="68">
        <f t="shared" si="68"/>
        <v>410</v>
      </c>
      <c r="K104" s="81" t="s">
        <v>70</v>
      </c>
      <c r="L104" s="81">
        <v>15.0</v>
      </c>
      <c r="M104" s="81">
        <v>3.0</v>
      </c>
      <c r="N104" s="82">
        <f t="shared" ref="N104:N108" si="69">L104*$L$103+M104*$M$103</f>
        <v>1565.46</v>
      </c>
    </row>
    <row r="105">
      <c r="A105" s="74"/>
      <c r="B105" s="75"/>
      <c r="C105" s="75"/>
      <c r="D105" s="75"/>
      <c r="E105" s="75"/>
      <c r="F105" s="75"/>
      <c r="G105" s="75"/>
      <c r="H105" s="75"/>
      <c r="I105" s="75"/>
      <c r="K105" s="81" t="s">
        <v>71</v>
      </c>
      <c r="L105" s="81">
        <v>17.0</v>
      </c>
      <c r="M105" s="81">
        <v>4.0</v>
      </c>
      <c r="N105" s="82">
        <f t="shared" si="69"/>
        <v>1817.28</v>
      </c>
    </row>
    <row r="106">
      <c r="A106" s="476">
        <f>A103+3</f>
        <v>44662</v>
      </c>
      <c r="B106" s="59">
        <v>100.0</v>
      </c>
      <c r="C106" s="59">
        <v>265.61</v>
      </c>
      <c r="D106" s="59">
        <v>1259.31</v>
      </c>
      <c r="E106" s="59">
        <v>190.0</v>
      </c>
      <c r="F106" s="60">
        <f t="shared" ref="F106:F110" si="70">SUM(B106:E106)</f>
        <v>1814.92</v>
      </c>
      <c r="G106" s="59">
        <v>31.0</v>
      </c>
      <c r="H106" s="59">
        <v>5.0</v>
      </c>
      <c r="I106" s="61">
        <v>200.0</v>
      </c>
      <c r="K106" s="81" t="s">
        <v>72</v>
      </c>
      <c r="L106" s="81">
        <v>5.0</v>
      </c>
      <c r="M106" s="81">
        <v>1.0</v>
      </c>
      <c r="N106" s="82">
        <f t="shared" si="69"/>
        <v>521.82</v>
      </c>
    </row>
    <row r="107">
      <c r="A107" s="476">
        <f t="shared" ref="A107:A110" si="71">A106+1</f>
        <v>44663</v>
      </c>
      <c r="B107" s="59">
        <v>50.0</v>
      </c>
      <c r="C107" s="59">
        <v>70.69</v>
      </c>
      <c r="D107" s="59">
        <v>959.31</v>
      </c>
      <c r="E107" s="59">
        <v>0.0</v>
      </c>
      <c r="F107" s="60">
        <f t="shared" si="70"/>
        <v>1080</v>
      </c>
      <c r="G107" s="59">
        <v>18.0</v>
      </c>
      <c r="H107" s="59">
        <v>1.0</v>
      </c>
      <c r="I107" s="61">
        <v>0.0</v>
      </c>
      <c r="K107" s="81" t="s">
        <v>73</v>
      </c>
      <c r="L107" s="84"/>
      <c r="M107" s="84"/>
      <c r="N107" s="82">
        <f t="shared" si="69"/>
        <v>0</v>
      </c>
    </row>
    <row r="108">
      <c r="A108" s="476">
        <f t="shared" si="71"/>
        <v>44664</v>
      </c>
      <c r="B108" s="81">
        <v>150.0</v>
      </c>
      <c r="C108" s="81">
        <v>243.44</v>
      </c>
      <c r="D108" s="81">
        <v>700.0</v>
      </c>
      <c r="E108" s="81">
        <v>0.0</v>
      </c>
      <c r="F108" s="60">
        <f t="shared" si="70"/>
        <v>1093.44</v>
      </c>
      <c r="G108" s="81">
        <v>23.0</v>
      </c>
      <c r="H108" s="81">
        <v>6.0</v>
      </c>
      <c r="I108" s="81">
        <v>0.0</v>
      </c>
      <c r="K108" s="81" t="s">
        <v>74</v>
      </c>
      <c r="L108" s="84"/>
      <c r="M108" s="84"/>
      <c r="N108" s="82">
        <f t="shared" si="69"/>
        <v>0</v>
      </c>
    </row>
    <row r="109">
      <c r="A109" s="476">
        <f t="shared" si="71"/>
        <v>44665</v>
      </c>
      <c r="B109" s="81">
        <v>0.0</v>
      </c>
      <c r="C109" s="81">
        <v>377.71</v>
      </c>
      <c r="D109" s="81">
        <v>1187.93</v>
      </c>
      <c r="E109" s="81">
        <v>100.0</v>
      </c>
      <c r="F109" s="60">
        <f t="shared" si="70"/>
        <v>1665.64</v>
      </c>
      <c r="G109" s="81">
        <v>26.0</v>
      </c>
      <c r="H109" s="81">
        <v>7.0</v>
      </c>
      <c r="I109" s="81">
        <v>100.0</v>
      </c>
    </row>
    <row r="110">
      <c r="A110" s="476">
        <f t="shared" si="71"/>
        <v>44666</v>
      </c>
      <c r="B110" s="89">
        <v>190.0</v>
      </c>
      <c r="C110" s="89">
        <v>112.1</v>
      </c>
      <c r="D110" s="89">
        <v>1199.31</v>
      </c>
      <c r="E110" s="89">
        <v>150.0</v>
      </c>
      <c r="F110" s="60">
        <f t="shared" si="70"/>
        <v>1651.41</v>
      </c>
      <c r="G110" s="89">
        <v>26.0</v>
      </c>
      <c r="H110" s="89">
        <v>2.0</v>
      </c>
      <c r="I110" s="89">
        <v>150.0</v>
      </c>
    </row>
    <row r="111">
      <c r="A111" s="67"/>
      <c r="B111" s="68">
        <f t="shared" ref="B111:I111" si="72">SUM(B106:B110)</f>
        <v>490</v>
      </c>
      <c r="C111" s="68">
        <f t="shared" si="72"/>
        <v>1069.55</v>
      </c>
      <c r="D111" s="68">
        <f t="shared" si="72"/>
        <v>5305.86</v>
      </c>
      <c r="E111" s="68">
        <f t="shared" si="72"/>
        <v>440</v>
      </c>
      <c r="F111" s="68">
        <f t="shared" si="72"/>
        <v>7305.41</v>
      </c>
      <c r="G111" s="140">
        <f t="shared" si="72"/>
        <v>124</v>
      </c>
      <c r="H111" s="140">
        <f t="shared" si="72"/>
        <v>21</v>
      </c>
      <c r="I111" s="68">
        <f t="shared" si="72"/>
        <v>450</v>
      </c>
    </row>
    <row r="112">
      <c r="A112" s="74"/>
      <c r="B112" s="75"/>
      <c r="C112" s="75"/>
      <c r="D112" s="75"/>
      <c r="E112" s="75"/>
      <c r="F112" s="75"/>
      <c r="G112" s="75"/>
      <c r="H112" s="75"/>
      <c r="I112" s="75"/>
    </row>
    <row r="113">
      <c r="A113" s="476">
        <f>A110+3</f>
        <v>44669</v>
      </c>
      <c r="B113" s="84"/>
      <c r="C113" s="84"/>
      <c r="D113" s="84"/>
      <c r="E113" s="84"/>
      <c r="F113" s="85">
        <f t="shared" ref="F113:F117" si="73">SUM(B113:E113)</f>
        <v>0</v>
      </c>
      <c r="G113" s="84"/>
      <c r="H113" s="84"/>
      <c r="I113" s="84"/>
    </row>
    <row r="114">
      <c r="A114" s="476">
        <f t="shared" ref="A114:A117" si="74">A113+1</f>
        <v>44670</v>
      </c>
      <c r="B114" s="59">
        <v>140.0</v>
      </c>
      <c r="C114" s="59">
        <v>154.23</v>
      </c>
      <c r="D114" s="59">
        <v>960.0</v>
      </c>
      <c r="E114" s="59">
        <v>100.0</v>
      </c>
      <c r="F114" s="60">
        <f t="shared" si="73"/>
        <v>1354.23</v>
      </c>
      <c r="G114" s="59">
        <v>27.0</v>
      </c>
      <c r="H114" s="59">
        <v>4.0</v>
      </c>
      <c r="I114" s="61">
        <v>100.0</v>
      </c>
    </row>
    <row r="115">
      <c r="A115" s="476">
        <f t="shared" si="74"/>
        <v>44671</v>
      </c>
      <c r="B115" s="59">
        <v>250.0</v>
      </c>
      <c r="C115" s="59">
        <v>0.0</v>
      </c>
      <c r="D115" s="59">
        <v>860.0</v>
      </c>
      <c r="E115" s="59">
        <v>70.0</v>
      </c>
      <c r="F115" s="60">
        <f t="shared" si="73"/>
        <v>1180</v>
      </c>
      <c r="G115" s="59">
        <v>20.0</v>
      </c>
      <c r="H115" s="59">
        <v>0.0</v>
      </c>
      <c r="I115" s="61">
        <v>70.0</v>
      </c>
    </row>
    <row r="116">
      <c r="A116" s="476">
        <f t="shared" si="74"/>
        <v>44672</v>
      </c>
      <c r="B116" s="81">
        <v>140.0</v>
      </c>
      <c r="C116" s="81">
        <v>477.38</v>
      </c>
      <c r="D116" s="81">
        <v>879.31</v>
      </c>
      <c r="E116" s="81">
        <v>208.62</v>
      </c>
      <c r="F116" s="60">
        <f t="shared" si="73"/>
        <v>1705.31</v>
      </c>
      <c r="G116" s="124">
        <v>28.0</v>
      </c>
      <c r="H116" s="124">
        <v>9.0</v>
      </c>
      <c r="I116" s="143">
        <v>200.0</v>
      </c>
    </row>
    <row r="117">
      <c r="A117" s="476">
        <f t="shared" si="74"/>
        <v>44673</v>
      </c>
      <c r="B117" s="81">
        <v>150.0</v>
      </c>
      <c r="C117" s="81">
        <v>124.23</v>
      </c>
      <c r="D117" s="81">
        <v>950.0</v>
      </c>
      <c r="E117" s="81">
        <v>0.0</v>
      </c>
      <c r="F117" s="60">
        <f t="shared" si="73"/>
        <v>1224.23</v>
      </c>
      <c r="G117" s="81">
        <v>23.0</v>
      </c>
      <c r="H117" s="81">
        <v>3.0</v>
      </c>
      <c r="I117" s="81">
        <v>0.0</v>
      </c>
    </row>
    <row r="118">
      <c r="A118" s="67"/>
      <c r="B118" s="68">
        <f t="shared" ref="B118:I118" si="75">SUM(B113:B117)</f>
        <v>680</v>
      </c>
      <c r="C118" s="68">
        <f t="shared" si="75"/>
        <v>755.84</v>
      </c>
      <c r="D118" s="68">
        <f t="shared" si="75"/>
        <v>3649.31</v>
      </c>
      <c r="E118" s="68">
        <f t="shared" si="75"/>
        <v>378.62</v>
      </c>
      <c r="F118" s="68">
        <f t="shared" si="75"/>
        <v>5463.77</v>
      </c>
      <c r="G118" s="140">
        <f t="shared" si="75"/>
        <v>98</v>
      </c>
      <c r="H118" s="140">
        <f t="shared" si="75"/>
        <v>16</v>
      </c>
      <c r="I118" s="68">
        <f t="shared" si="75"/>
        <v>370</v>
      </c>
    </row>
    <row r="119">
      <c r="A119" s="74"/>
      <c r="B119" s="75"/>
      <c r="C119" s="75"/>
      <c r="D119" s="75"/>
      <c r="E119" s="75"/>
      <c r="F119" s="75"/>
      <c r="G119" s="75"/>
      <c r="H119" s="75"/>
      <c r="I119" s="75"/>
    </row>
    <row r="120">
      <c r="A120" s="476">
        <f>A117+3</f>
        <v>44676</v>
      </c>
      <c r="B120" s="89">
        <v>0.0</v>
      </c>
      <c r="C120" s="89">
        <v>194.92</v>
      </c>
      <c r="D120" s="89">
        <v>1159.31</v>
      </c>
      <c r="E120" s="89">
        <v>210.0</v>
      </c>
      <c r="F120" s="60">
        <f t="shared" ref="F120:F124" si="76">SUM(B120:E120)</f>
        <v>1564.23</v>
      </c>
      <c r="G120" s="81">
        <v>30.0</v>
      </c>
      <c r="H120" s="81">
        <v>4.0</v>
      </c>
      <c r="I120" s="81">
        <v>200.0</v>
      </c>
    </row>
    <row r="121">
      <c r="A121" s="476">
        <f t="shared" ref="A121:A124" si="77">A120+1</f>
        <v>44677</v>
      </c>
      <c r="B121" s="89">
        <v>0.0</v>
      </c>
      <c r="C121" s="89">
        <v>389.84</v>
      </c>
      <c r="D121" s="89">
        <v>760.0</v>
      </c>
      <c r="E121" s="89">
        <v>240.0</v>
      </c>
      <c r="F121" s="60">
        <f t="shared" si="76"/>
        <v>1389.84</v>
      </c>
      <c r="G121" s="81">
        <v>27.0</v>
      </c>
      <c r="H121" s="81">
        <v>8.0</v>
      </c>
      <c r="I121" s="81">
        <v>240.0</v>
      </c>
    </row>
    <row r="122">
      <c r="A122" s="476">
        <f t="shared" si="77"/>
        <v>44678</v>
      </c>
      <c r="B122" s="81">
        <v>220.0</v>
      </c>
      <c r="C122" s="81">
        <v>272.72</v>
      </c>
      <c r="D122" s="81">
        <v>310.0</v>
      </c>
      <c r="E122" s="81">
        <v>190.0</v>
      </c>
      <c r="F122" s="60">
        <f t="shared" si="76"/>
        <v>992.72</v>
      </c>
      <c r="G122" s="81">
        <v>19.0</v>
      </c>
      <c r="H122" s="81">
        <v>6.0</v>
      </c>
      <c r="I122" s="83">
        <v>190.0</v>
      </c>
    </row>
    <row r="123">
      <c r="A123" s="476">
        <f t="shared" si="77"/>
        <v>44679</v>
      </c>
      <c r="B123" s="81">
        <v>100.0</v>
      </c>
      <c r="C123" s="81">
        <v>224.2</v>
      </c>
      <c r="D123" s="81">
        <v>1010.0</v>
      </c>
      <c r="E123" s="81">
        <v>100.0</v>
      </c>
      <c r="F123" s="60">
        <f t="shared" si="76"/>
        <v>1434.2</v>
      </c>
      <c r="G123" s="81">
        <v>27.0</v>
      </c>
      <c r="H123" s="81">
        <v>4.0</v>
      </c>
      <c r="I123" s="83">
        <v>110.0</v>
      </c>
    </row>
    <row r="124">
      <c r="A124" s="476">
        <f t="shared" si="77"/>
        <v>44680</v>
      </c>
      <c r="B124" s="81">
        <v>240.0</v>
      </c>
      <c r="C124" s="81">
        <v>165.64</v>
      </c>
      <c r="D124" s="81">
        <v>940.0</v>
      </c>
      <c r="E124" s="81">
        <v>0.0</v>
      </c>
      <c r="F124" s="60">
        <f t="shared" si="76"/>
        <v>1345.64</v>
      </c>
      <c r="G124" s="81">
        <v>24.0</v>
      </c>
      <c r="H124" s="81">
        <v>4.0</v>
      </c>
      <c r="I124" s="83">
        <v>0.0</v>
      </c>
    </row>
    <row r="125">
      <c r="A125" s="67"/>
      <c r="B125" s="68">
        <f t="shared" ref="B125:I125" si="78">SUM(B120:B124)</f>
        <v>560</v>
      </c>
      <c r="C125" s="68">
        <f t="shared" si="78"/>
        <v>1247.32</v>
      </c>
      <c r="D125" s="68">
        <f t="shared" si="78"/>
        <v>4179.31</v>
      </c>
      <c r="E125" s="68">
        <f t="shared" si="78"/>
        <v>740</v>
      </c>
      <c r="F125" s="68">
        <f t="shared" si="78"/>
        <v>6726.63</v>
      </c>
      <c r="G125" s="140">
        <f t="shared" si="78"/>
        <v>127</v>
      </c>
      <c r="H125" s="140">
        <f t="shared" si="78"/>
        <v>26</v>
      </c>
      <c r="I125" s="68">
        <f t="shared" si="78"/>
        <v>740</v>
      </c>
    </row>
    <row r="126">
      <c r="A126" s="74"/>
      <c r="B126" s="75"/>
      <c r="C126" s="75"/>
      <c r="D126" s="75"/>
      <c r="E126" s="75"/>
      <c r="F126" s="75"/>
      <c r="G126" s="75"/>
      <c r="H126" s="75"/>
      <c r="I126" s="75"/>
    </row>
    <row r="127">
      <c r="A127" s="476">
        <v>44683.0</v>
      </c>
      <c r="B127" s="59"/>
      <c r="C127" s="59"/>
      <c r="D127" s="59"/>
      <c r="E127" s="59"/>
      <c r="F127" s="60">
        <f t="shared" ref="F127:F131" si="79">SUM(B127:E127)</f>
        <v>0</v>
      </c>
      <c r="G127" s="81"/>
      <c r="H127" s="81"/>
      <c r="I127" s="83"/>
    </row>
    <row r="128">
      <c r="A128" s="476">
        <f t="shared" ref="A128:A131" si="80">A127+1</f>
        <v>44684</v>
      </c>
      <c r="B128" s="59">
        <v>100.0</v>
      </c>
      <c r="C128" s="59">
        <v>0.0</v>
      </c>
      <c r="D128" s="59">
        <v>590.0</v>
      </c>
      <c r="E128" s="59">
        <v>50.0</v>
      </c>
      <c r="F128" s="60">
        <f t="shared" si="79"/>
        <v>740</v>
      </c>
      <c r="G128" s="81">
        <v>14.0</v>
      </c>
      <c r="H128" s="81">
        <v>0.0</v>
      </c>
      <c r="I128" s="83">
        <v>50.0</v>
      </c>
    </row>
    <row r="129">
      <c r="A129" s="476">
        <f t="shared" si="80"/>
        <v>44685</v>
      </c>
      <c r="B129" s="59">
        <v>100.0</v>
      </c>
      <c r="C129" s="59">
        <v>197.01</v>
      </c>
      <c r="D129" s="59">
        <v>490.0</v>
      </c>
      <c r="E129" s="59">
        <v>50.0</v>
      </c>
      <c r="F129" s="60">
        <f t="shared" si="79"/>
        <v>837.01</v>
      </c>
      <c r="G129" s="81">
        <v>18.0</v>
      </c>
      <c r="H129" s="81">
        <v>5.0</v>
      </c>
      <c r="I129" s="83">
        <v>50.0</v>
      </c>
    </row>
    <row r="130">
      <c r="A130" s="476">
        <f t="shared" si="80"/>
        <v>44686</v>
      </c>
      <c r="B130" s="59">
        <v>190.0</v>
      </c>
      <c r="C130" s="59">
        <v>112.1</v>
      </c>
      <c r="D130" s="59">
        <v>889.31</v>
      </c>
      <c r="E130" s="59">
        <v>260.0</v>
      </c>
      <c r="F130" s="60">
        <f t="shared" si="79"/>
        <v>1451.41</v>
      </c>
      <c r="G130" s="81">
        <v>25.0</v>
      </c>
      <c r="H130" s="81">
        <v>2.0</v>
      </c>
      <c r="I130" s="83">
        <v>270.0</v>
      </c>
    </row>
    <row r="131">
      <c r="A131" s="476">
        <f t="shared" si="80"/>
        <v>44687</v>
      </c>
      <c r="B131" s="59">
        <v>320.0</v>
      </c>
      <c r="C131" s="59">
        <v>70.69</v>
      </c>
      <c r="D131" s="59">
        <v>680.0</v>
      </c>
      <c r="E131" s="59">
        <v>80.0</v>
      </c>
      <c r="F131" s="60">
        <f t="shared" si="79"/>
        <v>1150.69</v>
      </c>
      <c r="G131" s="81">
        <v>19.0</v>
      </c>
      <c r="H131" s="81">
        <v>1.0</v>
      </c>
      <c r="I131" s="83">
        <v>70.0</v>
      </c>
    </row>
    <row r="132">
      <c r="A132" s="67"/>
      <c r="B132" s="68">
        <f t="shared" ref="B132:I132" si="81">SUM(B127:B131)</f>
        <v>710</v>
      </c>
      <c r="C132" s="68">
        <f t="shared" si="81"/>
        <v>379.8</v>
      </c>
      <c r="D132" s="68">
        <f t="shared" si="81"/>
        <v>2649.31</v>
      </c>
      <c r="E132" s="91">
        <f t="shared" si="81"/>
        <v>440</v>
      </c>
      <c r="F132" s="68">
        <f t="shared" si="81"/>
        <v>4179.11</v>
      </c>
      <c r="G132" s="70">
        <f t="shared" si="81"/>
        <v>76</v>
      </c>
      <c r="H132" s="70">
        <f t="shared" si="81"/>
        <v>8</v>
      </c>
      <c r="I132" s="91">
        <f t="shared" si="81"/>
        <v>440</v>
      </c>
    </row>
    <row r="133">
      <c r="A133" s="74"/>
      <c r="B133" s="75"/>
      <c r="C133" s="75"/>
      <c r="D133" s="75"/>
      <c r="E133" s="74"/>
      <c r="F133" s="75"/>
      <c r="G133" s="76"/>
      <c r="H133" s="76"/>
      <c r="I133" s="74"/>
    </row>
    <row r="134">
      <c r="A134" s="476">
        <f>A131+3</f>
        <v>44690</v>
      </c>
      <c r="B134" s="112">
        <v>280.0</v>
      </c>
      <c r="C134" s="59">
        <v>324.17</v>
      </c>
      <c r="D134" s="59">
        <v>1058.62</v>
      </c>
      <c r="E134" s="59">
        <v>100.0</v>
      </c>
      <c r="F134" s="141">
        <f t="shared" ref="F134:F138" si="82">SUM(B134:E134)</f>
        <v>1762.79</v>
      </c>
      <c r="G134" s="59">
        <v>29.0</v>
      </c>
      <c r="H134" s="59">
        <v>5.0</v>
      </c>
      <c r="I134" s="61">
        <v>100.0</v>
      </c>
    </row>
    <row r="135">
      <c r="A135" s="476">
        <f t="shared" ref="A135:A137" si="83">A134+1</f>
        <v>44691</v>
      </c>
      <c r="B135" s="81">
        <v>0.0</v>
      </c>
      <c r="C135" s="81">
        <v>41.41</v>
      </c>
      <c r="D135" s="81">
        <v>630.0</v>
      </c>
      <c r="E135" s="81">
        <v>50.0</v>
      </c>
      <c r="F135" s="141">
        <f t="shared" si="82"/>
        <v>721.41</v>
      </c>
      <c r="G135" s="81">
        <v>14.0</v>
      </c>
      <c r="H135" s="81">
        <v>1.0</v>
      </c>
      <c r="I135" s="83">
        <v>50.0</v>
      </c>
    </row>
    <row r="136">
      <c r="A136" s="476">
        <f t="shared" si="83"/>
        <v>44692</v>
      </c>
      <c r="B136" s="81">
        <v>330.0</v>
      </c>
      <c r="C136" s="81">
        <v>77.8</v>
      </c>
      <c r="D136" s="81">
        <v>510.0</v>
      </c>
      <c r="E136" s="81">
        <v>50.0</v>
      </c>
      <c r="F136" s="141">
        <f t="shared" si="82"/>
        <v>967.8</v>
      </c>
      <c r="G136" s="81">
        <v>18.0</v>
      </c>
      <c r="H136" s="81">
        <v>2.0</v>
      </c>
      <c r="I136" s="83">
        <v>50.0</v>
      </c>
    </row>
    <row r="137">
      <c r="A137" s="476">
        <f t="shared" si="83"/>
        <v>44693</v>
      </c>
      <c r="B137" s="81">
        <v>100.0</v>
      </c>
      <c r="C137" s="81">
        <v>319.15</v>
      </c>
      <c r="D137" s="81">
        <v>1080.0</v>
      </c>
      <c r="E137" s="81">
        <v>50.0</v>
      </c>
      <c r="F137" s="141">
        <f t="shared" si="82"/>
        <v>1549.15</v>
      </c>
      <c r="G137" s="59">
        <v>32.0</v>
      </c>
      <c r="H137" s="59">
        <v>7.0</v>
      </c>
      <c r="I137" s="61">
        <v>50.0</v>
      </c>
    </row>
    <row r="138">
      <c r="A138" s="476">
        <f>A135+3</f>
        <v>44694</v>
      </c>
      <c r="B138" s="81">
        <v>230.0</v>
      </c>
      <c r="C138" s="81">
        <v>311.61</v>
      </c>
      <c r="D138" s="81">
        <v>949.31</v>
      </c>
      <c r="E138" s="81">
        <v>50.0</v>
      </c>
      <c r="F138" s="141">
        <f t="shared" si="82"/>
        <v>1540.92</v>
      </c>
      <c r="G138" s="81">
        <v>25.0</v>
      </c>
      <c r="H138" s="81">
        <v>6.0</v>
      </c>
      <c r="I138" s="83">
        <v>50.0</v>
      </c>
    </row>
    <row r="139">
      <c r="A139" s="67"/>
      <c r="B139" s="68">
        <f t="shared" ref="B139:I139" si="84">SUM(B134:B138)</f>
        <v>940</v>
      </c>
      <c r="C139" s="68">
        <f t="shared" si="84"/>
        <v>1074.14</v>
      </c>
      <c r="D139" s="68">
        <f t="shared" si="84"/>
        <v>4227.93</v>
      </c>
      <c r="E139" s="68">
        <f t="shared" si="84"/>
        <v>300</v>
      </c>
      <c r="F139" s="68">
        <f t="shared" si="84"/>
        <v>6542.07</v>
      </c>
      <c r="G139" s="147">
        <f t="shared" si="84"/>
        <v>118</v>
      </c>
      <c r="H139" s="147">
        <f t="shared" si="84"/>
        <v>21</v>
      </c>
      <c r="I139" s="91">
        <f t="shared" si="84"/>
        <v>300</v>
      </c>
    </row>
    <row r="140">
      <c r="A140" s="74"/>
      <c r="B140" s="75"/>
      <c r="C140" s="75"/>
      <c r="D140" s="75"/>
      <c r="E140" s="75"/>
      <c r="F140" s="75"/>
      <c r="G140" s="75"/>
      <c r="H140" s="75"/>
      <c r="I140" s="74"/>
    </row>
    <row r="141">
      <c r="A141" s="476">
        <f>A138+3</f>
        <v>44697</v>
      </c>
      <c r="B141" s="112">
        <v>50.0</v>
      </c>
      <c r="C141" s="59">
        <v>112.1</v>
      </c>
      <c r="D141" s="59">
        <v>609.31</v>
      </c>
      <c r="E141" s="59">
        <v>0.0</v>
      </c>
      <c r="F141" s="141">
        <f t="shared" ref="F141:F145" si="85">SUM(B141:E141)</f>
        <v>771.41</v>
      </c>
      <c r="G141" s="124">
        <v>14.0</v>
      </c>
      <c r="H141" s="124">
        <v>2.0</v>
      </c>
      <c r="I141" s="149">
        <v>0.0</v>
      </c>
    </row>
    <row r="142">
      <c r="A142" s="476">
        <f t="shared" ref="A142:A145" si="86">A141+1</f>
        <v>44698</v>
      </c>
      <c r="B142" s="59">
        <v>0.0</v>
      </c>
      <c r="C142" s="59">
        <v>153.51</v>
      </c>
      <c r="D142" s="59">
        <v>409.31</v>
      </c>
      <c r="E142" s="59">
        <v>120.0</v>
      </c>
      <c r="F142" s="141">
        <f t="shared" si="85"/>
        <v>682.82</v>
      </c>
      <c r="G142" s="124">
        <v>14.0</v>
      </c>
      <c r="H142" s="124">
        <v>3.0</v>
      </c>
      <c r="I142" s="149">
        <v>120.0</v>
      </c>
    </row>
    <row r="143">
      <c r="A143" s="476">
        <f t="shared" si="86"/>
        <v>44699</v>
      </c>
      <c r="B143" s="59">
        <v>100.0</v>
      </c>
      <c r="C143" s="59">
        <v>119.21</v>
      </c>
      <c r="D143" s="59">
        <v>450.0</v>
      </c>
      <c r="E143" s="59">
        <v>150.0</v>
      </c>
      <c r="F143" s="141">
        <f t="shared" si="85"/>
        <v>819.21</v>
      </c>
      <c r="G143" s="124">
        <v>17.0</v>
      </c>
      <c r="H143" s="124">
        <v>3.0</v>
      </c>
      <c r="I143" s="149">
        <v>150.0</v>
      </c>
    </row>
    <row r="144">
      <c r="A144" s="476">
        <f t="shared" si="86"/>
        <v>44700</v>
      </c>
      <c r="B144" s="59">
        <v>330.0</v>
      </c>
      <c r="C144" s="59">
        <v>232.79</v>
      </c>
      <c r="D144" s="59">
        <v>849.31</v>
      </c>
      <c r="E144" s="59">
        <v>70.0</v>
      </c>
      <c r="F144" s="141">
        <f t="shared" si="85"/>
        <v>1482.1</v>
      </c>
      <c r="G144" s="124">
        <v>17.0</v>
      </c>
      <c r="H144" s="124">
        <v>4.0</v>
      </c>
      <c r="I144" s="149">
        <v>70.0</v>
      </c>
    </row>
    <row r="145">
      <c r="A145" s="476">
        <f t="shared" si="86"/>
        <v>44701</v>
      </c>
      <c r="B145" s="59">
        <v>50.0</v>
      </c>
      <c r="C145" s="59">
        <v>165.64</v>
      </c>
      <c r="D145" s="59">
        <v>810.0</v>
      </c>
      <c r="E145" s="59">
        <v>220.0</v>
      </c>
      <c r="F145" s="141">
        <f t="shared" si="85"/>
        <v>1245.64</v>
      </c>
      <c r="G145" s="124">
        <v>22.0</v>
      </c>
      <c r="H145" s="124">
        <v>4.0</v>
      </c>
      <c r="I145" s="149">
        <v>220.0</v>
      </c>
    </row>
    <row r="146">
      <c r="A146" s="67"/>
      <c r="B146" s="68">
        <f t="shared" ref="B146:I146" si="87">SUM(B141:B145)</f>
        <v>530</v>
      </c>
      <c r="C146" s="68">
        <f t="shared" si="87"/>
        <v>783.25</v>
      </c>
      <c r="D146" s="68">
        <f t="shared" si="87"/>
        <v>3127.93</v>
      </c>
      <c r="E146" s="68">
        <f t="shared" si="87"/>
        <v>560</v>
      </c>
      <c r="F146" s="68">
        <f t="shared" si="87"/>
        <v>5001.18</v>
      </c>
      <c r="G146" s="147">
        <f t="shared" si="87"/>
        <v>84</v>
      </c>
      <c r="H146" s="147">
        <f t="shared" si="87"/>
        <v>16</v>
      </c>
      <c r="I146" s="91">
        <f t="shared" si="87"/>
        <v>560</v>
      </c>
    </row>
    <row r="147">
      <c r="A147" s="74"/>
      <c r="B147" s="75"/>
      <c r="C147" s="75"/>
      <c r="D147" s="75"/>
      <c r="E147" s="75"/>
      <c r="F147" s="75"/>
      <c r="G147" s="75"/>
      <c r="H147" s="75"/>
      <c r="I147" s="74"/>
    </row>
    <row r="148">
      <c r="A148" s="476">
        <f>A145+3</f>
        <v>44704</v>
      </c>
      <c r="B148" s="112">
        <v>280.0</v>
      </c>
      <c r="C148" s="59">
        <v>224.2</v>
      </c>
      <c r="D148" s="59">
        <v>549.31</v>
      </c>
      <c r="E148" s="59">
        <v>200.0</v>
      </c>
      <c r="F148" s="141">
        <f t="shared" ref="F148:F152" si="88">SUM(B148:E148)</f>
        <v>1253.51</v>
      </c>
      <c r="G148" s="124">
        <v>22.0</v>
      </c>
      <c r="H148" s="124">
        <v>4.0</v>
      </c>
      <c r="I148" s="149">
        <v>200.0</v>
      </c>
    </row>
    <row r="149">
      <c r="A149" s="476">
        <f t="shared" ref="A149:A152" si="89">A148+1</f>
        <v>44705</v>
      </c>
      <c r="B149" s="112">
        <v>0.0</v>
      </c>
      <c r="C149" s="59">
        <v>182.79</v>
      </c>
      <c r="D149" s="59">
        <v>489.31</v>
      </c>
      <c r="E149" s="59">
        <v>240.0</v>
      </c>
      <c r="F149" s="141">
        <f t="shared" si="88"/>
        <v>912.1</v>
      </c>
      <c r="G149" s="124">
        <v>14.0</v>
      </c>
      <c r="H149" s="124">
        <v>3.0</v>
      </c>
      <c r="I149" s="149">
        <v>250.0</v>
      </c>
    </row>
    <row r="150">
      <c r="A150" s="476">
        <f t="shared" si="89"/>
        <v>44706</v>
      </c>
      <c r="B150" s="112">
        <v>170.0</v>
      </c>
      <c r="C150" s="59">
        <v>192.41</v>
      </c>
      <c r="D150" s="59">
        <v>589.31</v>
      </c>
      <c r="E150" s="59">
        <v>80.0</v>
      </c>
      <c r="F150" s="141">
        <f t="shared" si="88"/>
        <v>1031.72</v>
      </c>
      <c r="G150" s="124">
        <v>20.0</v>
      </c>
      <c r="H150" s="124">
        <v>4.0</v>
      </c>
      <c r="I150" s="149">
        <v>80.0</v>
      </c>
    </row>
    <row r="151">
      <c r="A151" s="476">
        <f t="shared" si="89"/>
        <v>44707</v>
      </c>
      <c r="B151" s="150"/>
      <c r="C151" s="138"/>
      <c r="D151" s="138"/>
      <c r="E151" s="138"/>
      <c r="F151" s="151">
        <f t="shared" si="88"/>
        <v>0</v>
      </c>
      <c r="G151" s="119"/>
      <c r="H151" s="119"/>
      <c r="I151" s="152"/>
    </row>
    <row r="152">
      <c r="A152" s="476">
        <f t="shared" si="89"/>
        <v>44708</v>
      </c>
      <c r="B152" s="150"/>
      <c r="C152" s="138"/>
      <c r="D152" s="138"/>
      <c r="E152" s="138"/>
      <c r="F152" s="151">
        <f t="shared" si="88"/>
        <v>0</v>
      </c>
      <c r="G152" s="119"/>
      <c r="H152" s="119"/>
      <c r="I152" s="152"/>
    </row>
    <row r="153">
      <c r="A153" s="67"/>
      <c r="B153" s="68">
        <f t="shared" ref="B153:I153" si="90">SUM(B148:B152)</f>
        <v>450</v>
      </c>
      <c r="C153" s="68">
        <f t="shared" si="90"/>
        <v>599.4</v>
      </c>
      <c r="D153" s="68">
        <f t="shared" si="90"/>
        <v>1627.93</v>
      </c>
      <c r="E153" s="68">
        <f t="shared" si="90"/>
        <v>520</v>
      </c>
      <c r="F153" s="68">
        <f t="shared" si="90"/>
        <v>3197.33</v>
      </c>
      <c r="G153" s="147">
        <f t="shared" si="90"/>
        <v>56</v>
      </c>
      <c r="H153" s="147">
        <f t="shared" si="90"/>
        <v>11</v>
      </c>
      <c r="I153" s="91">
        <f t="shared" si="90"/>
        <v>530</v>
      </c>
    </row>
    <row r="154">
      <c r="A154" s="74"/>
      <c r="B154" s="75"/>
      <c r="C154" s="75"/>
      <c r="D154" s="75"/>
      <c r="E154" s="75"/>
      <c r="F154" s="75"/>
      <c r="G154" s="75"/>
      <c r="H154" s="75"/>
      <c r="I154" s="74"/>
    </row>
    <row r="155">
      <c r="A155" s="476">
        <f>A152+3</f>
        <v>44711</v>
      </c>
      <c r="B155" s="150"/>
      <c r="C155" s="138"/>
      <c r="D155" s="138"/>
      <c r="E155" s="138"/>
      <c r="F155" s="151">
        <f t="shared" ref="F155:F156" si="91">SUM(B155:E155)</f>
        <v>0</v>
      </c>
      <c r="G155" s="119"/>
      <c r="H155" s="119"/>
      <c r="I155" s="152"/>
    </row>
    <row r="156">
      <c r="A156" s="476">
        <f>A155+1</f>
        <v>44712</v>
      </c>
      <c r="B156" s="150"/>
      <c r="C156" s="138"/>
      <c r="D156" s="138"/>
      <c r="E156" s="138"/>
      <c r="F156" s="151">
        <f t="shared" si="91"/>
        <v>0</v>
      </c>
      <c r="G156" s="119"/>
      <c r="H156" s="119"/>
      <c r="I156" s="152"/>
    </row>
    <row r="157">
      <c r="A157" s="67"/>
      <c r="B157" s="68">
        <f t="shared" ref="B157:I157" si="92">SUM(B155)</f>
        <v>0</v>
      </c>
      <c r="C157" s="68">
        <f t="shared" si="92"/>
        <v>0</v>
      </c>
      <c r="D157" s="68">
        <f t="shared" si="92"/>
        <v>0</v>
      </c>
      <c r="E157" s="68">
        <f t="shared" si="92"/>
        <v>0</v>
      </c>
      <c r="F157" s="68">
        <f t="shared" si="92"/>
        <v>0</v>
      </c>
      <c r="G157" s="147">
        <f t="shared" si="92"/>
        <v>0</v>
      </c>
      <c r="H157" s="147">
        <f t="shared" si="92"/>
        <v>0</v>
      </c>
      <c r="I157" s="91">
        <f t="shared" si="92"/>
        <v>0</v>
      </c>
    </row>
    <row r="158">
      <c r="A158" s="74"/>
      <c r="B158" s="75"/>
      <c r="C158" s="75"/>
      <c r="D158" s="75"/>
      <c r="E158" s="75"/>
      <c r="F158" s="75"/>
      <c r="G158" s="75"/>
      <c r="H158" s="75"/>
      <c r="I158" s="74"/>
    </row>
    <row r="159">
      <c r="A159" s="476">
        <v>44713.0</v>
      </c>
      <c r="B159" s="84"/>
      <c r="C159" s="84"/>
      <c r="D159" s="84"/>
      <c r="E159" s="84"/>
      <c r="F159" s="60">
        <f t="shared" ref="F159:F161" si="93">SUM(B159:E159)</f>
        <v>0</v>
      </c>
      <c r="G159" s="81"/>
      <c r="H159" s="81"/>
      <c r="I159" s="83"/>
    </row>
    <row r="160">
      <c r="A160" s="476">
        <f t="shared" ref="A160:A161" si="94">A159+1</f>
        <v>44714</v>
      </c>
      <c r="B160" s="84"/>
      <c r="C160" s="84"/>
      <c r="D160" s="84"/>
      <c r="E160" s="84"/>
      <c r="F160" s="60">
        <f t="shared" si="93"/>
        <v>0</v>
      </c>
      <c r="G160" s="81"/>
      <c r="H160" s="81"/>
      <c r="I160" s="83"/>
    </row>
    <row r="161">
      <c r="A161" s="476">
        <f t="shared" si="94"/>
        <v>44715</v>
      </c>
      <c r="B161" s="84"/>
      <c r="C161" s="84"/>
      <c r="D161" s="84"/>
      <c r="E161" s="84"/>
      <c r="F161" s="60">
        <f t="shared" si="93"/>
        <v>0</v>
      </c>
      <c r="G161" s="81"/>
      <c r="H161" s="81"/>
      <c r="I161" s="83"/>
    </row>
    <row r="162">
      <c r="A162" s="67"/>
      <c r="B162" s="68">
        <f t="shared" ref="B162:I162" si="95">SUM(B159:B161)</f>
        <v>0</v>
      </c>
      <c r="C162" s="68">
        <f t="shared" si="95"/>
        <v>0</v>
      </c>
      <c r="D162" s="68">
        <f t="shared" si="95"/>
        <v>0</v>
      </c>
      <c r="E162" s="68">
        <f t="shared" si="95"/>
        <v>0</v>
      </c>
      <c r="F162" s="68">
        <f t="shared" si="95"/>
        <v>0</v>
      </c>
      <c r="G162" s="70">
        <f t="shared" si="95"/>
        <v>0</v>
      </c>
      <c r="H162" s="70">
        <f t="shared" si="95"/>
        <v>0</v>
      </c>
      <c r="I162" s="91">
        <f t="shared" si="95"/>
        <v>0</v>
      </c>
    </row>
    <row r="163">
      <c r="A163" s="74"/>
      <c r="B163" s="75"/>
      <c r="C163" s="75"/>
      <c r="D163" s="75"/>
      <c r="E163" s="75"/>
      <c r="F163" s="75"/>
      <c r="G163" s="76"/>
      <c r="H163" s="76"/>
      <c r="I163" s="74"/>
    </row>
    <row r="164">
      <c r="A164" s="476">
        <f>A161+3</f>
        <v>44718</v>
      </c>
      <c r="B164" s="84"/>
      <c r="C164" s="84"/>
      <c r="D164" s="84"/>
      <c r="E164" s="84"/>
      <c r="F164" s="85">
        <f t="shared" ref="F164:F168" si="96">SUM(B164:E164)</f>
        <v>0</v>
      </c>
      <c r="G164" s="84"/>
      <c r="H164" s="84"/>
      <c r="I164" s="86"/>
    </row>
    <row r="165">
      <c r="A165" s="476">
        <f t="shared" ref="A165:A168" si="97">A164+1</f>
        <v>44719</v>
      </c>
      <c r="B165" s="84"/>
      <c r="C165" s="84"/>
      <c r="D165" s="84"/>
      <c r="E165" s="84"/>
      <c r="F165" s="85">
        <f t="shared" si="96"/>
        <v>0</v>
      </c>
      <c r="G165" s="84"/>
      <c r="H165" s="84"/>
      <c r="I165" s="86"/>
    </row>
    <row r="166">
      <c r="A166" s="476">
        <f t="shared" si="97"/>
        <v>44720</v>
      </c>
      <c r="B166" s="81">
        <v>100.0</v>
      </c>
      <c r="C166" s="81">
        <v>0.0</v>
      </c>
      <c r="D166" s="81">
        <v>350.0</v>
      </c>
      <c r="E166" s="81">
        <v>70.0</v>
      </c>
      <c r="F166" s="60">
        <f t="shared" si="96"/>
        <v>520</v>
      </c>
      <c r="G166" s="81">
        <v>17.0</v>
      </c>
      <c r="H166" s="81">
        <v>0.0</v>
      </c>
      <c r="I166" s="83">
        <v>70.0</v>
      </c>
    </row>
    <row r="167">
      <c r="A167" s="476">
        <f t="shared" si="97"/>
        <v>44721</v>
      </c>
      <c r="B167" s="81">
        <v>300.0</v>
      </c>
      <c r="C167" s="81">
        <v>0.0</v>
      </c>
      <c r="D167" s="81">
        <v>1140.0</v>
      </c>
      <c r="E167" s="81">
        <v>170.0</v>
      </c>
      <c r="F167" s="60">
        <f t="shared" si="96"/>
        <v>1610</v>
      </c>
      <c r="G167" s="81">
        <v>33.0</v>
      </c>
      <c r="H167" s="81">
        <v>0.0</v>
      </c>
      <c r="I167" s="83">
        <v>170.0</v>
      </c>
    </row>
    <row r="168">
      <c r="A168" s="476">
        <f t="shared" si="97"/>
        <v>44722</v>
      </c>
      <c r="B168" s="81">
        <v>90.0</v>
      </c>
      <c r="C168" s="81">
        <v>0.0</v>
      </c>
      <c r="D168" s="81">
        <v>880.0</v>
      </c>
      <c r="E168" s="81">
        <v>0.0</v>
      </c>
      <c r="F168" s="60">
        <f t="shared" si="96"/>
        <v>970</v>
      </c>
      <c r="G168" s="81">
        <v>2.0</v>
      </c>
      <c r="H168" s="81">
        <v>0.0</v>
      </c>
      <c r="I168" s="83">
        <v>0.0</v>
      </c>
    </row>
    <row r="169">
      <c r="A169" s="67"/>
      <c r="B169" s="68">
        <f t="shared" ref="B169:I169" si="98">SUM(B164:B168)</f>
        <v>490</v>
      </c>
      <c r="C169" s="68">
        <f t="shared" si="98"/>
        <v>0</v>
      </c>
      <c r="D169" s="68">
        <f t="shared" si="98"/>
        <v>2370</v>
      </c>
      <c r="E169" s="68">
        <f t="shared" si="98"/>
        <v>240</v>
      </c>
      <c r="F169" s="68">
        <f t="shared" si="98"/>
        <v>3100</v>
      </c>
      <c r="G169" s="70">
        <f t="shared" si="98"/>
        <v>52</v>
      </c>
      <c r="H169" s="70">
        <f t="shared" si="98"/>
        <v>0</v>
      </c>
      <c r="I169" s="91">
        <f t="shared" si="98"/>
        <v>240</v>
      </c>
    </row>
    <row r="170">
      <c r="A170" s="74"/>
      <c r="B170" s="92"/>
      <c r="C170" s="92"/>
      <c r="D170" s="92"/>
      <c r="E170" s="92"/>
      <c r="F170" s="75"/>
      <c r="G170" s="93"/>
      <c r="H170" s="93"/>
      <c r="I170" s="94"/>
    </row>
    <row r="171">
      <c r="A171" s="476">
        <f>A168+3</f>
        <v>44725</v>
      </c>
      <c r="B171" s="81">
        <v>90.0</v>
      </c>
      <c r="C171" s="81">
        <v>142.1</v>
      </c>
      <c r="D171" s="81">
        <v>629.31</v>
      </c>
      <c r="E171" s="81">
        <v>90.0</v>
      </c>
      <c r="F171" s="60">
        <f t="shared" ref="F171:F175" si="99">SUM(B171:E171)</f>
        <v>951.41</v>
      </c>
      <c r="G171" s="81">
        <v>14.0</v>
      </c>
      <c r="H171" s="81">
        <v>3.0</v>
      </c>
      <c r="I171" s="81">
        <v>90.0</v>
      </c>
    </row>
    <row r="172">
      <c r="A172" s="476">
        <f t="shared" ref="A172:A175" si="100">A171+1</f>
        <v>44726</v>
      </c>
      <c r="B172" s="81">
        <v>159.31</v>
      </c>
      <c r="C172" s="81">
        <v>348.43</v>
      </c>
      <c r="D172" s="81">
        <v>359.31</v>
      </c>
      <c r="E172" s="81">
        <v>0.0</v>
      </c>
      <c r="F172" s="60">
        <f t="shared" si="99"/>
        <v>867.05</v>
      </c>
      <c r="G172" s="81">
        <v>167.0</v>
      </c>
      <c r="H172" s="81">
        <v>0.0</v>
      </c>
      <c r="I172" s="83">
        <v>0.0</v>
      </c>
    </row>
    <row r="173">
      <c r="A173" s="476">
        <f t="shared" si="100"/>
        <v>44727</v>
      </c>
      <c r="B173" s="81">
        <v>200.0</v>
      </c>
      <c r="C173" s="81">
        <v>80.31</v>
      </c>
      <c r="D173" s="81">
        <v>440.0</v>
      </c>
      <c r="E173" s="81">
        <v>100.0</v>
      </c>
      <c r="F173" s="60">
        <f t="shared" si="99"/>
        <v>820.31</v>
      </c>
      <c r="G173" s="81">
        <v>17.0</v>
      </c>
      <c r="H173" s="81">
        <v>2.0</v>
      </c>
      <c r="I173" s="83">
        <v>100.0</v>
      </c>
    </row>
    <row r="174">
      <c r="A174" s="476">
        <f t="shared" si="100"/>
        <v>44728</v>
      </c>
      <c r="B174" s="81">
        <v>150.0</v>
      </c>
      <c r="C174" s="81">
        <v>412.3</v>
      </c>
      <c r="D174" s="81">
        <v>699.31</v>
      </c>
      <c r="E174" s="81">
        <v>119.31</v>
      </c>
      <c r="F174" s="60">
        <f t="shared" si="99"/>
        <v>1380.92</v>
      </c>
      <c r="G174" s="81">
        <v>26.0</v>
      </c>
      <c r="H174" s="81">
        <v>8.0</v>
      </c>
      <c r="I174" s="83">
        <v>120.0</v>
      </c>
    </row>
    <row r="175">
      <c r="A175" s="476">
        <f t="shared" si="100"/>
        <v>44729</v>
      </c>
      <c r="B175" s="81">
        <v>100.0</v>
      </c>
      <c r="C175" s="81">
        <v>70.69</v>
      </c>
      <c r="D175" s="81">
        <v>829.31</v>
      </c>
      <c r="E175" s="81">
        <v>100.0</v>
      </c>
      <c r="F175" s="60">
        <f t="shared" si="99"/>
        <v>1100</v>
      </c>
      <c r="G175" s="81">
        <v>19.0</v>
      </c>
      <c r="H175" s="81">
        <v>1.0</v>
      </c>
      <c r="I175" s="83">
        <v>100.0</v>
      </c>
    </row>
    <row r="176">
      <c r="A176" s="67"/>
      <c r="B176" s="68">
        <f t="shared" ref="B176:I176" si="101">SUM(B171:B175)</f>
        <v>699.31</v>
      </c>
      <c r="C176" s="132">
        <f t="shared" si="101"/>
        <v>1053.83</v>
      </c>
      <c r="D176" s="132">
        <f t="shared" si="101"/>
        <v>2957.24</v>
      </c>
      <c r="E176" s="132">
        <f t="shared" si="101"/>
        <v>409.31</v>
      </c>
      <c r="F176" s="132">
        <f t="shared" si="101"/>
        <v>5119.69</v>
      </c>
      <c r="G176" s="155">
        <f t="shared" si="101"/>
        <v>243</v>
      </c>
      <c r="H176" s="155">
        <f t="shared" si="101"/>
        <v>14</v>
      </c>
      <c r="I176" s="134">
        <f t="shared" si="101"/>
        <v>410</v>
      </c>
    </row>
    <row r="177">
      <c r="A177" s="74"/>
      <c r="B177" s="75"/>
      <c r="C177" s="136"/>
      <c r="D177" s="136"/>
      <c r="E177" s="136"/>
      <c r="F177" s="136"/>
      <c r="G177" s="136"/>
      <c r="H177" s="136"/>
      <c r="I177" s="137"/>
    </row>
    <row r="178">
      <c r="A178" s="476">
        <f>A175+3</f>
        <v>44732</v>
      </c>
      <c r="B178" s="81">
        <v>50.0</v>
      </c>
      <c r="C178" s="81">
        <v>324.17</v>
      </c>
      <c r="D178" s="81">
        <v>1067.93</v>
      </c>
      <c r="E178" s="81">
        <v>270.0</v>
      </c>
      <c r="F178" s="60">
        <f t="shared" ref="F178:F182" si="102">SUM(B178:E178)</f>
        <v>1712.1</v>
      </c>
      <c r="G178" s="81">
        <v>28.0</v>
      </c>
      <c r="H178" s="81">
        <v>5.0</v>
      </c>
      <c r="I178" s="81">
        <v>250.0</v>
      </c>
    </row>
    <row r="179">
      <c r="A179" s="476">
        <f t="shared" ref="A179:A182" si="103">A178+1</f>
        <v>44733</v>
      </c>
      <c r="B179" s="81">
        <v>0.0</v>
      </c>
      <c r="C179" s="81">
        <v>98.92</v>
      </c>
      <c r="D179" s="81">
        <v>670.0</v>
      </c>
      <c r="E179" s="81">
        <v>0.0</v>
      </c>
      <c r="F179" s="60">
        <f t="shared" si="102"/>
        <v>768.92</v>
      </c>
      <c r="G179" s="81">
        <v>14.0</v>
      </c>
      <c r="H179" s="81">
        <v>3.0</v>
      </c>
      <c r="I179" s="81">
        <v>0.0</v>
      </c>
    </row>
    <row r="180">
      <c r="A180" s="476">
        <f t="shared" si="103"/>
        <v>44734</v>
      </c>
      <c r="B180" s="81">
        <v>120.0</v>
      </c>
      <c r="C180" s="81">
        <v>77.8</v>
      </c>
      <c r="D180" s="81">
        <v>490.0</v>
      </c>
      <c r="E180" s="81">
        <v>110.0</v>
      </c>
      <c r="F180" s="60">
        <f t="shared" si="102"/>
        <v>797.8</v>
      </c>
      <c r="G180" s="81">
        <v>15.0</v>
      </c>
      <c r="H180" s="81">
        <v>2.0</v>
      </c>
      <c r="I180" s="81">
        <v>100.0</v>
      </c>
    </row>
    <row r="181">
      <c r="A181" s="476">
        <f t="shared" si="103"/>
        <v>44735</v>
      </c>
      <c r="B181" s="81">
        <v>100.0</v>
      </c>
      <c r="C181" s="81">
        <v>477.68</v>
      </c>
      <c r="D181" s="81">
        <v>687.93</v>
      </c>
      <c r="E181" s="81">
        <v>150.0</v>
      </c>
      <c r="F181" s="60">
        <f t="shared" si="102"/>
        <v>1415.61</v>
      </c>
      <c r="G181" s="81">
        <v>24.0</v>
      </c>
      <c r="H181" s="81">
        <v>8.0</v>
      </c>
      <c r="I181" s="81">
        <v>150.0</v>
      </c>
    </row>
    <row r="182">
      <c r="A182" s="476">
        <f t="shared" si="103"/>
        <v>44736</v>
      </c>
      <c r="B182" s="81">
        <v>290.0</v>
      </c>
      <c r="C182" s="81">
        <v>307.02</v>
      </c>
      <c r="D182" s="81">
        <v>609.31</v>
      </c>
      <c r="E182" s="81">
        <v>0.0</v>
      </c>
      <c r="F182" s="60">
        <f t="shared" si="102"/>
        <v>1206.33</v>
      </c>
      <c r="G182" s="81">
        <v>23.0</v>
      </c>
      <c r="H182" s="81">
        <v>6.0</v>
      </c>
      <c r="I182" s="81">
        <v>0.0</v>
      </c>
    </row>
    <row r="183">
      <c r="A183" s="67"/>
      <c r="B183" s="68">
        <f t="shared" ref="B183:I183" si="104">SUM(B178:B182)</f>
        <v>560</v>
      </c>
      <c r="C183" s="68">
        <f t="shared" si="104"/>
        <v>1285.59</v>
      </c>
      <c r="D183" s="68">
        <f t="shared" si="104"/>
        <v>3525.17</v>
      </c>
      <c r="E183" s="68">
        <f t="shared" si="104"/>
        <v>530</v>
      </c>
      <c r="F183" s="68">
        <f t="shared" si="104"/>
        <v>5900.76</v>
      </c>
      <c r="G183" s="147">
        <f t="shared" si="104"/>
        <v>104</v>
      </c>
      <c r="H183" s="147">
        <f t="shared" si="104"/>
        <v>24</v>
      </c>
      <c r="I183" s="91">
        <f t="shared" si="104"/>
        <v>500</v>
      </c>
    </row>
    <row r="184">
      <c r="A184" s="74"/>
      <c r="B184" s="75"/>
      <c r="C184" s="75"/>
      <c r="D184" s="75"/>
      <c r="E184" s="75"/>
      <c r="F184" s="75"/>
      <c r="G184" s="75"/>
      <c r="H184" s="75"/>
      <c r="I184" s="74"/>
    </row>
    <row r="185">
      <c r="A185" s="476">
        <f>A182+3</f>
        <v>44739</v>
      </c>
      <c r="B185" s="81">
        <v>150.0</v>
      </c>
      <c r="C185" s="81">
        <v>274.48</v>
      </c>
      <c r="D185" s="81">
        <v>440.0</v>
      </c>
      <c r="E185" s="81">
        <v>69.31</v>
      </c>
      <c r="F185" s="60">
        <f t="shared" ref="F185:F188" si="105">SUM(B185:E185)</f>
        <v>933.79</v>
      </c>
      <c r="G185" s="81">
        <v>17.0</v>
      </c>
      <c r="H185" s="81">
        <v>5.0</v>
      </c>
      <c r="I185" s="81">
        <v>70.0</v>
      </c>
    </row>
    <row r="186">
      <c r="A186" s="476">
        <f t="shared" ref="A186:A188" si="106">A185+1</f>
        <v>44740</v>
      </c>
      <c r="B186" s="81">
        <v>100.0</v>
      </c>
      <c r="C186" s="81">
        <v>80.31</v>
      </c>
      <c r="D186" s="81">
        <v>470.0</v>
      </c>
      <c r="E186" s="81">
        <v>50.0</v>
      </c>
      <c r="F186" s="60">
        <f t="shared" si="105"/>
        <v>700.31</v>
      </c>
      <c r="G186" s="81">
        <v>12.0</v>
      </c>
      <c r="H186" s="81">
        <v>2.0</v>
      </c>
      <c r="I186" s="81">
        <v>50.0</v>
      </c>
    </row>
    <row r="187">
      <c r="A187" s="476">
        <f t="shared" si="106"/>
        <v>44741</v>
      </c>
      <c r="B187" s="81">
        <v>100.0</v>
      </c>
      <c r="C187" s="81">
        <v>119.21</v>
      </c>
      <c r="D187" s="81">
        <v>670.0</v>
      </c>
      <c r="E187" s="81">
        <v>0.0</v>
      </c>
      <c r="F187" s="60">
        <f t="shared" si="105"/>
        <v>889.21</v>
      </c>
      <c r="G187" s="81">
        <v>18.0</v>
      </c>
      <c r="H187" s="81">
        <v>3.0</v>
      </c>
      <c r="I187" s="81">
        <v>0.0</v>
      </c>
    </row>
    <row r="188">
      <c r="A188" s="476">
        <f t="shared" si="106"/>
        <v>44742</v>
      </c>
      <c r="B188" s="81">
        <v>159.31</v>
      </c>
      <c r="C188" s="81">
        <v>324.17</v>
      </c>
      <c r="D188" s="81">
        <v>928.62</v>
      </c>
      <c r="E188" s="81">
        <v>100.0</v>
      </c>
      <c r="F188" s="60">
        <f t="shared" si="105"/>
        <v>1512.1</v>
      </c>
      <c r="G188" s="81">
        <v>24.0</v>
      </c>
      <c r="H188" s="81">
        <v>5.0</v>
      </c>
      <c r="I188" s="81">
        <v>100.0</v>
      </c>
    </row>
    <row r="189">
      <c r="A189" s="67"/>
      <c r="B189" s="91">
        <f t="shared" ref="B189:I189" si="107">SUM(B185:B188)</f>
        <v>509.31</v>
      </c>
      <c r="C189" s="91">
        <f t="shared" si="107"/>
        <v>798.17</v>
      </c>
      <c r="D189" s="91">
        <f t="shared" si="107"/>
        <v>2508.62</v>
      </c>
      <c r="E189" s="91">
        <f t="shared" si="107"/>
        <v>219.31</v>
      </c>
      <c r="F189" s="91">
        <f t="shared" si="107"/>
        <v>4035.41</v>
      </c>
      <c r="G189" s="402">
        <f t="shared" si="107"/>
        <v>71</v>
      </c>
      <c r="H189" s="402">
        <f t="shared" si="107"/>
        <v>15</v>
      </c>
      <c r="I189" s="91">
        <f t="shared" si="107"/>
        <v>220</v>
      </c>
    </row>
    <row r="190">
      <c r="A190" s="74"/>
      <c r="B190" s="74"/>
      <c r="C190" s="74"/>
      <c r="D190" s="74"/>
      <c r="E190" s="74"/>
      <c r="F190" s="74"/>
      <c r="G190" s="74"/>
      <c r="H190" s="74"/>
      <c r="I190" s="74"/>
    </row>
    <row r="191">
      <c r="A191" s="476">
        <v>44743.0</v>
      </c>
      <c r="B191" s="81">
        <v>210.0</v>
      </c>
      <c r="C191" s="81">
        <v>70.69</v>
      </c>
      <c r="D191" s="81">
        <v>919.31</v>
      </c>
      <c r="E191" s="81">
        <v>0.0</v>
      </c>
      <c r="F191" s="60">
        <f>SUM(B191:E191)</f>
        <v>1200</v>
      </c>
      <c r="G191" s="81">
        <v>18.0</v>
      </c>
      <c r="H191" s="81">
        <v>1.0</v>
      </c>
      <c r="I191" s="81">
        <v>0.0</v>
      </c>
    </row>
    <row r="192">
      <c r="A192" s="67"/>
      <c r="B192" s="68">
        <f t="shared" ref="B192:I192" si="108">SUM(B191)</f>
        <v>210</v>
      </c>
      <c r="C192" s="68">
        <f t="shared" si="108"/>
        <v>70.69</v>
      </c>
      <c r="D192" s="68">
        <f t="shared" si="108"/>
        <v>919.31</v>
      </c>
      <c r="E192" s="68">
        <f t="shared" si="108"/>
        <v>0</v>
      </c>
      <c r="F192" s="157">
        <f t="shared" si="108"/>
        <v>1200</v>
      </c>
      <c r="G192" s="70">
        <f t="shared" si="108"/>
        <v>18</v>
      </c>
      <c r="H192" s="70">
        <f t="shared" si="108"/>
        <v>1</v>
      </c>
      <c r="I192" s="91">
        <f t="shared" si="108"/>
        <v>0</v>
      </c>
    </row>
    <row r="193">
      <c r="A193" s="74"/>
      <c r="B193" s="92"/>
      <c r="C193" s="92"/>
      <c r="D193" s="92"/>
      <c r="E193" s="92"/>
      <c r="F193" s="75"/>
      <c r="G193" s="93"/>
      <c r="H193" s="93"/>
      <c r="I193" s="94"/>
    </row>
    <row r="194">
      <c r="A194" s="476">
        <f>A191+3</f>
        <v>44746</v>
      </c>
      <c r="B194" s="98">
        <v>0.0</v>
      </c>
      <c r="C194" s="99">
        <v>253.48</v>
      </c>
      <c r="D194" s="99">
        <v>1318.62</v>
      </c>
      <c r="E194" s="99">
        <v>0.0</v>
      </c>
      <c r="F194" s="158">
        <f t="shared" ref="F194:F198" si="109">SUM(B194:E194)</f>
        <v>1572.1</v>
      </c>
      <c r="G194" s="99">
        <v>25.0</v>
      </c>
      <c r="H194" s="99">
        <v>4.0</v>
      </c>
      <c r="I194" s="99">
        <v>0.0</v>
      </c>
    </row>
    <row r="195">
      <c r="A195" s="476">
        <f t="shared" ref="A195:A198" si="110">A194+1</f>
        <v>44747</v>
      </c>
      <c r="B195" s="112">
        <v>170.0</v>
      </c>
      <c r="C195" s="124">
        <v>112.1</v>
      </c>
      <c r="D195" s="124">
        <v>679.31</v>
      </c>
      <c r="E195" s="124">
        <v>0.0</v>
      </c>
      <c r="F195" s="158">
        <f t="shared" si="109"/>
        <v>961.41</v>
      </c>
      <c r="G195" s="124">
        <v>17.0</v>
      </c>
      <c r="H195" s="124">
        <v>2.0</v>
      </c>
      <c r="I195" s="124">
        <v>0.0</v>
      </c>
    </row>
    <row r="196">
      <c r="A196" s="476">
        <f t="shared" si="110"/>
        <v>44748</v>
      </c>
      <c r="B196" s="112">
        <v>300.0</v>
      </c>
      <c r="C196" s="124">
        <v>30.0</v>
      </c>
      <c r="D196" s="124">
        <v>350.0</v>
      </c>
      <c r="E196" s="124">
        <v>170.0</v>
      </c>
      <c r="F196" s="158">
        <f t="shared" si="109"/>
        <v>850</v>
      </c>
      <c r="G196" s="124">
        <v>18.0</v>
      </c>
      <c r="H196" s="124">
        <v>1.0</v>
      </c>
      <c r="I196" s="124">
        <v>190.0</v>
      </c>
    </row>
    <row r="197">
      <c r="A197" s="476">
        <f t="shared" si="110"/>
        <v>44749</v>
      </c>
      <c r="B197" s="112">
        <v>350.0</v>
      </c>
      <c r="C197" s="124">
        <v>265.61</v>
      </c>
      <c r="D197" s="124">
        <v>690.0</v>
      </c>
      <c r="E197" s="124">
        <v>120.0</v>
      </c>
      <c r="F197" s="158">
        <f t="shared" si="109"/>
        <v>1425.61</v>
      </c>
      <c r="G197" s="124">
        <v>26.0</v>
      </c>
      <c r="H197" s="124">
        <v>5.0</v>
      </c>
      <c r="I197" s="124">
        <v>100.0</v>
      </c>
    </row>
    <row r="198">
      <c r="A198" s="476">
        <f t="shared" si="110"/>
        <v>44750</v>
      </c>
      <c r="B198" s="112">
        <v>100.0</v>
      </c>
      <c r="C198" s="124">
        <v>253.48</v>
      </c>
      <c r="D198" s="124">
        <v>858.62</v>
      </c>
      <c r="E198" s="124">
        <v>200.0</v>
      </c>
      <c r="F198" s="158">
        <f t="shared" si="109"/>
        <v>1412.1</v>
      </c>
      <c r="G198" s="124">
        <v>24.0</v>
      </c>
      <c r="H198" s="124">
        <v>4.0</v>
      </c>
      <c r="I198" s="124">
        <v>200.0</v>
      </c>
    </row>
    <row r="199">
      <c r="A199" s="67"/>
      <c r="B199" s="121">
        <f t="shared" ref="B199:I199" si="111">SUM(B194:B198)</f>
        <v>920</v>
      </c>
      <c r="C199" s="121">
        <f t="shared" si="111"/>
        <v>914.67</v>
      </c>
      <c r="D199" s="121">
        <f t="shared" si="111"/>
        <v>3896.55</v>
      </c>
      <c r="E199" s="121">
        <f t="shared" si="111"/>
        <v>490</v>
      </c>
      <c r="F199" s="160">
        <f t="shared" si="111"/>
        <v>6221.22</v>
      </c>
      <c r="G199" s="70">
        <f t="shared" si="111"/>
        <v>110</v>
      </c>
      <c r="H199" s="70">
        <f t="shared" si="111"/>
        <v>16</v>
      </c>
      <c r="I199" s="91">
        <f t="shared" si="111"/>
        <v>490</v>
      </c>
    </row>
    <row r="200">
      <c r="A200" s="74"/>
      <c r="B200" s="75"/>
      <c r="C200" s="75"/>
      <c r="D200" s="75"/>
      <c r="E200" s="75"/>
      <c r="F200" s="75"/>
      <c r="G200" s="76"/>
      <c r="H200" s="76"/>
      <c r="I200" s="74"/>
    </row>
    <row r="201">
      <c r="A201" s="476">
        <f>A198+3</f>
        <v>44753</v>
      </c>
      <c r="B201" s="112">
        <v>120.0</v>
      </c>
      <c r="C201" s="124">
        <v>153.31</v>
      </c>
      <c r="D201" s="124">
        <v>530.0</v>
      </c>
      <c r="E201" s="124">
        <v>240.0</v>
      </c>
      <c r="F201" s="164">
        <f t="shared" ref="F201:F203" si="112">SUM(B201:E201)</f>
        <v>1043.31</v>
      </c>
      <c r="G201" s="124">
        <v>18.0</v>
      </c>
      <c r="H201" s="124">
        <v>3.0</v>
      </c>
      <c r="I201" s="124">
        <v>240.0</v>
      </c>
    </row>
    <row r="202">
      <c r="A202" s="476">
        <f t="shared" ref="A202:A205" si="113">A201+1</f>
        <v>44754</v>
      </c>
      <c r="B202" s="112">
        <v>0.0</v>
      </c>
      <c r="C202" s="124">
        <v>194.42</v>
      </c>
      <c r="D202" s="124">
        <v>539.31</v>
      </c>
      <c r="E202" s="124">
        <v>50.0</v>
      </c>
      <c r="F202" s="164">
        <f t="shared" si="112"/>
        <v>783.73</v>
      </c>
      <c r="G202" s="124">
        <v>14.0</v>
      </c>
      <c r="H202" s="124">
        <v>4.0</v>
      </c>
      <c r="I202" s="124">
        <v>50.0</v>
      </c>
    </row>
    <row r="203">
      <c r="A203" s="476">
        <f t="shared" si="113"/>
        <v>44755</v>
      </c>
      <c r="B203" s="112">
        <v>50.0</v>
      </c>
      <c r="C203" s="112">
        <v>41.41</v>
      </c>
      <c r="D203" s="112">
        <v>550.0</v>
      </c>
      <c r="E203" s="112">
        <v>100.0</v>
      </c>
      <c r="F203" s="164">
        <f t="shared" si="112"/>
        <v>741.41</v>
      </c>
      <c r="G203" s="124">
        <v>16.0</v>
      </c>
      <c r="H203" s="124">
        <v>1.0</v>
      </c>
      <c r="I203" s="112">
        <v>100.0</v>
      </c>
    </row>
    <row r="204">
      <c r="A204" s="476">
        <f t="shared" si="113"/>
        <v>44756</v>
      </c>
      <c r="B204" s="150"/>
      <c r="C204" s="150"/>
      <c r="D204" s="150"/>
      <c r="E204" s="150"/>
      <c r="F204" s="447"/>
      <c r="G204" s="119"/>
      <c r="H204" s="119"/>
      <c r="I204" s="150"/>
    </row>
    <row r="205">
      <c r="A205" s="476">
        <f t="shared" si="113"/>
        <v>44757</v>
      </c>
      <c r="B205" s="112">
        <v>100.0</v>
      </c>
      <c r="C205" s="112">
        <v>283.48</v>
      </c>
      <c r="D205" s="112">
        <v>608.62</v>
      </c>
      <c r="E205" s="112">
        <v>0.0</v>
      </c>
      <c r="F205" s="164">
        <f>SUM(B205:E205)</f>
        <v>992.1</v>
      </c>
      <c r="G205" s="124">
        <v>17.0</v>
      </c>
      <c r="H205" s="124">
        <v>5.0</v>
      </c>
      <c r="I205" s="112">
        <v>0.0</v>
      </c>
    </row>
    <row r="206">
      <c r="A206" s="67"/>
      <c r="B206" s="68">
        <f t="shared" ref="B206:I206" si="114">SUM(B201:B205)</f>
        <v>270</v>
      </c>
      <c r="C206" s="68">
        <f t="shared" si="114"/>
        <v>672.62</v>
      </c>
      <c r="D206" s="68">
        <f t="shared" si="114"/>
        <v>2227.93</v>
      </c>
      <c r="E206" s="68">
        <f t="shared" si="114"/>
        <v>390</v>
      </c>
      <c r="F206" s="157">
        <f t="shared" si="114"/>
        <v>3560.55</v>
      </c>
      <c r="G206" s="70">
        <f t="shared" si="114"/>
        <v>65</v>
      </c>
      <c r="H206" s="70">
        <f t="shared" si="114"/>
        <v>13</v>
      </c>
      <c r="I206" s="71">
        <f t="shared" si="114"/>
        <v>390</v>
      </c>
    </row>
    <row r="207">
      <c r="A207" s="74"/>
      <c r="B207" s="75"/>
      <c r="C207" s="75"/>
      <c r="D207" s="75"/>
      <c r="E207" s="75"/>
      <c r="F207" s="75"/>
      <c r="G207" s="76"/>
      <c r="H207" s="76"/>
      <c r="I207" s="77"/>
    </row>
    <row r="208">
      <c r="A208" s="476">
        <f>A205+3</f>
        <v>44760</v>
      </c>
      <c r="B208" s="112">
        <v>200.0</v>
      </c>
      <c r="C208" s="112">
        <v>295.61</v>
      </c>
      <c r="D208" s="112">
        <v>859.31</v>
      </c>
      <c r="E208" s="112">
        <v>100.0</v>
      </c>
      <c r="F208" s="164">
        <f t="shared" ref="F208:F212" si="115">SUM(B208:E208)</f>
        <v>1454.92</v>
      </c>
      <c r="G208" s="124">
        <v>26.0</v>
      </c>
      <c r="H208" s="124">
        <v>6.0</v>
      </c>
      <c r="I208" s="112">
        <v>100.0</v>
      </c>
    </row>
    <row r="209">
      <c r="A209" s="476">
        <f t="shared" ref="A209:A212" si="116">A208+1</f>
        <v>44761</v>
      </c>
      <c r="B209" s="112">
        <v>200.0</v>
      </c>
      <c r="C209" s="112">
        <v>124.23</v>
      </c>
      <c r="D209" s="112">
        <v>580.0</v>
      </c>
      <c r="E209" s="112">
        <v>0.0</v>
      </c>
      <c r="F209" s="164">
        <f t="shared" si="115"/>
        <v>904.23</v>
      </c>
      <c r="G209" s="124">
        <v>18.0</v>
      </c>
      <c r="H209" s="124">
        <v>3.0</v>
      </c>
      <c r="I209" s="112">
        <v>0.0</v>
      </c>
    </row>
    <row r="210">
      <c r="A210" s="476">
        <f t="shared" si="116"/>
        <v>44762</v>
      </c>
      <c r="B210" s="112">
        <v>50.0</v>
      </c>
      <c r="C210" s="112">
        <v>304.51</v>
      </c>
      <c r="D210" s="112">
        <v>508.62</v>
      </c>
      <c r="E210" s="112">
        <v>50.0</v>
      </c>
      <c r="F210" s="164">
        <f t="shared" si="115"/>
        <v>913.13</v>
      </c>
      <c r="G210" s="124">
        <v>17.0</v>
      </c>
      <c r="H210" s="124">
        <v>6.0</v>
      </c>
      <c r="I210" s="112">
        <v>50.0</v>
      </c>
    </row>
    <row r="211">
      <c r="A211" s="476">
        <f t="shared" si="116"/>
        <v>44763</v>
      </c>
      <c r="B211" s="112">
        <v>100.0</v>
      </c>
      <c r="C211" s="112">
        <v>236.33</v>
      </c>
      <c r="D211" s="112">
        <v>700.0</v>
      </c>
      <c r="E211" s="112">
        <v>90.0</v>
      </c>
      <c r="F211" s="164">
        <f t="shared" si="115"/>
        <v>1126.33</v>
      </c>
      <c r="G211" s="124">
        <v>22.0</v>
      </c>
      <c r="H211" s="124">
        <v>5.0</v>
      </c>
      <c r="I211" s="112">
        <v>100.0</v>
      </c>
    </row>
    <row r="212">
      <c r="A212" s="476">
        <f t="shared" si="116"/>
        <v>44764</v>
      </c>
      <c r="B212" s="112">
        <v>0.0</v>
      </c>
      <c r="C212" s="112">
        <v>265.61</v>
      </c>
      <c r="D212" s="112">
        <v>589.31</v>
      </c>
      <c r="E212" s="112">
        <v>0.0</v>
      </c>
      <c r="F212" s="164">
        <f t="shared" si="115"/>
        <v>854.92</v>
      </c>
      <c r="G212" s="124">
        <v>14.0</v>
      </c>
      <c r="H212" s="124">
        <v>5.0</v>
      </c>
      <c r="I212" s="112">
        <v>0.0</v>
      </c>
    </row>
    <row r="213">
      <c r="A213" s="67"/>
      <c r="B213" s="68">
        <f t="shared" ref="B213:I213" si="117">SUM(B208:B212)</f>
        <v>550</v>
      </c>
      <c r="C213" s="68">
        <f t="shared" si="117"/>
        <v>1226.29</v>
      </c>
      <c r="D213" s="68">
        <f t="shared" si="117"/>
        <v>3237.24</v>
      </c>
      <c r="E213" s="68">
        <f t="shared" si="117"/>
        <v>240</v>
      </c>
      <c r="F213" s="157">
        <f t="shared" si="117"/>
        <v>5253.53</v>
      </c>
      <c r="G213" s="70">
        <f t="shared" si="117"/>
        <v>97</v>
      </c>
      <c r="H213" s="70">
        <f t="shared" si="117"/>
        <v>25</v>
      </c>
      <c r="I213" s="91">
        <f t="shared" si="117"/>
        <v>250</v>
      </c>
    </row>
    <row r="214">
      <c r="A214" s="74"/>
      <c r="B214" s="75"/>
      <c r="C214" s="75"/>
      <c r="D214" s="75"/>
      <c r="E214" s="75"/>
      <c r="F214" s="75"/>
      <c r="G214" s="76"/>
      <c r="H214" s="76"/>
      <c r="I214" s="74"/>
    </row>
    <row r="215">
      <c r="A215" s="476">
        <f>A212+3</f>
        <v>44767</v>
      </c>
      <c r="B215" s="112">
        <v>0.0</v>
      </c>
      <c r="C215" s="112">
        <v>112.82</v>
      </c>
      <c r="D215" s="112">
        <v>770.0</v>
      </c>
      <c r="E215" s="112">
        <v>0.0</v>
      </c>
      <c r="F215" s="164">
        <f t="shared" ref="F215:F219" si="118">SUM(B215:E215)</f>
        <v>882.82</v>
      </c>
      <c r="G215" s="124">
        <v>16.0</v>
      </c>
      <c r="H215" s="124">
        <v>3.0</v>
      </c>
      <c r="I215" s="112">
        <v>0.0</v>
      </c>
    </row>
    <row r="216">
      <c r="A216" s="476">
        <f t="shared" ref="A216:A219" si="119">A215+1</f>
        <v>44768</v>
      </c>
      <c r="B216" s="112">
        <v>180.0</v>
      </c>
      <c r="C216" s="112">
        <v>192.41</v>
      </c>
      <c r="D216" s="112">
        <v>800.0</v>
      </c>
      <c r="E216" s="112">
        <v>50.0</v>
      </c>
      <c r="F216" s="164">
        <f t="shared" si="118"/>
        <v>1222.41</v>
      </c>
      <c r="G216" s="124">
        <v>25.0</v>
      </c>
      <c r="H216" s="124">
        <v>4.0</v>
      </c>
      <c r="I216" s="112">
        <v>50.0</v>
      </c>
    </row>
    <row r="217">
      <c r="A217" s="476">
        <f t="shared" si="119"/>
        <v>44769</v>
      </c>
      <c r="B217" s="112">
        <v>0.0</v>
      </c>
      <c r="C217" s="112">
        <v>277.32</v>
      </c>
      <c r="D217" s="112">
        <v>370.0</v>
      </c>
      <c r="E217" s="112">
        <v>100.0</v>
      </c>
      <c r="F217" s="164">
        <f t="shared" si="118"/>
        <v>747.32</v>
      </c>
      <c r="G217" s="124">
        <v>17.0</v>
      </c>
      <c r="H217" s="124">
        <v>7.0</v>
      </c>
      <c r="I217" s="112">
        <v>100.0</v>
      </c>
    </row>
    <row r="218">
      <c r="A218" s="476">
        <f t="shared" si="119"/>
        <v>44770</v>
      </c>
      <c r="B218" s="112">
        <v>330.0</v>
      </c>
      <c r="C218" s="112">
        <v>204.51</v>
      </c>
      <c r="D218" s="112">
        <v>910.0</v>
      </c>
      <c r="E218" s="112">
        <v>140.0</v>
      </c>
      <c r="F218" s="164">
        <f t="shared" si="118"/>
        <v>1584.51</v>
      </c>
      <c r="G218" s="124">
        <v>27.0</v>
      </c>
      <c r="H218" s="124">
        <v>5.0</v>
      </c>
      <c r="I218" s="112">
        <v>140.0</v>
      </c>
    </row>
    <row r="219">
      <c r="A219" s="476">
        <f t="shared" si="119"/>
        <v>44771</v>
      </c>
      <c r="B219" s="112"/>
      <c r="C219" s="112"/>
      <c r="D219" s="112"/>
      <c r="E219" s="112"/>
      <c r="F219" s="164">
        <f t="shared" si="118"/>
        <v>0</v>
      </c>
      <c r="G219" s="124"/>
      <c r="H219" s="124"/>
      <c r="I219" s="112" t="s">
        <v>190</v>
      </c>
    </row>
    <row r="220">
      <c r="A220" s="67"/>
      <c r="B220" s="68">
        <f t="shared" ref="B220:I220" si="120">SUM(B215:B219)</f>
        <v>510</v>
      </c>
      <c r="C220" s="68">
        <f t="shared" si="120"/>
        <v>787.06</v>
      </c>
      <c r="D220" s="68">
        <f t="shared" si="120"/>
        <v>2850</v>
      </c>
      <c r="E220" s="68">
        <f t="shared" si="120"/>
        <v>290</v>
      </c>
      <c r="F220" s="157">
        <f t="shared" si="120"/>
        <v>4437.06</v>
      </c>
      <c r="G220" s="70">
        <f t="shared" si="120"/>
        <v>85</v>
      </c>
      <c r="H220" s="70">
        <f t="shared" si="120"/>
        <v>19</v>
      </c>
      <c r="I220" s="69">
        <f t="shared" si="120"/>
        <v>290</v>
      </c>
    </row>
    <row r="221">
      <c r="A221" s="74"/>
      <c r="B221" s="92"/>
      <c r="C221" s="92"/>
      <c r="D221" s="92"/>
      <c r="E221" s="92"/>
      <c r="F221" s="92"/>
      <c r="G221" s="76"/>
      <c r="H221" s="76"/>
      <c r="I221" s="76"/>
    </row>
    <row r="222">
      <c r="A222" s="476">
        <v>44774.0</v>
      </c>
      <c r="B222" s="81">
        <v>0.0</v>
      </c>
      <c r="C222" s="81">
        <v>495.55</v>
      </c>
      <c r="D222" s="81">
        <v>839.31</v>
      </c>
      <c r="E222" s="81">
        <v>269.31</v>
      </c>
      <c r="F222" s="156">
        <f t="shared" ref="F222:F226" si="121">SUM(B222:E222)</f>
        <v>1604.17</v>
      </c>
      <c r="G222" s="81">
        <v>27.0</v>
      </c>
      <c r="H222" s="81">
        <v>8.0</v>
      </c>
      <c r="I222" s="81">
        <v>270.0</v>
      </c>
    </row>
    <row r="223">
      <c r="A223" s="476">
        <f t="shared" ref="A223:A226" si="122">A222+1</f>
        <v>44775</v>
      </c>
      <c r="B223" s="81">
        <v>0.0</v>
      </c>
      <c r="C223" s="81">
        <v>377.71</v>
      </c>
      <c r="D223" s="81">
        <v>859.31</v>
      </c>
      <c r="E223" s="81">
        <v>138.62</v>
      </c>
      <c r="F223" s="156">
        <f t="shared" si="121"/>
        <v>1375.64</v>
      </c>
      <c r="G223" s="81">
        <v>28.0</v>
      </c>
      <c r="H223" s="81">
        <v>7.0</v>
      </c>
      <c r="I223" s="81">
        <v>140.0</v>
      </c>
    </row>
    <row r="224">
      <c r="A224" s="476">
        <f t="shared" si="122"/>
        <v>44776</v>
      </c>
      <c r="B224" s="81">
        <v>0.0</v>
      </c>
      <c r="C224" s="81">
        <v>82.82</v>
      </c>
      <c r="D224" s="81">
        <v>550.0</v>
      </c>
      <c r="E224" s="81">
        <v>100.0</v>
      </c>
      <c r="F224" s="156">
        <f t="shared" si="121"/>
        <v>732.82</v>
      </c>
      <c r="G224" s="81">
        <v>13.0</v>
      </c>
      <c r="H224" s="81">
        <v>2.0</v>
      </c>
      <c r="I224" s="81">
        <v>110.0</v>
      </c>
    </row>
    <row r="225">
      <c r="A225" s="476">
        <f t="shared" si="122"/>
        <v>44777</v>
      </c>
      <c r="B225" s="81">
        <v>0.0</v>
      </c>
      <c r="C225" s="81">
        <v>224.2</v>
      </c>
      <c r="D225" s="81">
        <v>690.0</v>
      </c>
      <c r="E225" s="81">
        <v>50.0</v>
      </c>
      <c r="F225" s="156">
        <f t="shared" si="121"/>
        <v>964.2</v>
      </c>
      <c r="G225" s="81">
        <v>18.0</v>
      </c>
      <c r="H225" s="81">
        <v>4.0</v>
      </c>
      <c r="I225" s="81">
        <v>50.0</v>
      </c>
    </row>
    <row r="226">
      <c r="A226" s="476">
        <f t="shared" si="122"/>
        <v>44778</v>
      </c>
      <c r="B226" s="81">
        <v>0.0</v>
      </c>
      <c r="C226" s="81">
        <v>141.38</v>
      </c>
      <c r="D226" s="81">
        <v>1030.0</v>
      </c>
      <c r="E226" s="81">
        <v>50.0</v>
      </c>
      <c r="F226" s="156">
        <f t="shared" si="121"/>
        <v>1221.38</v>
      </c>
      <c r="G226" s="81">
        <v>18.0</v>
      </c>
      <c r="H226" s="81">
        <v>2.0</v>
      </c>
      <c r="I226" s="81">
        <v>50.0</v>
      </c>
    </row>
    <row r="227">
      <c r="A227" s="67"/>
      <c r="B227" s="91">
        <f t="shared" ref="B227:I227" si="123">SUM(B222:B226)</f>
        <v>0</v>
      </c>
      <c r="C227" s="91">
        <f t="shared" si="123"/>
        <v>1321.66</v>
      </c>
      <c r="D227" s="91">
        <f t="shared" si="123"/>
        <v>3968.62</v>
      </c>
      <c r="E227" s="91">
        <f t="shared" si="123"/>
        <v>607.93</v>
      </c>
      <c r="F227" s="157">
        <f t="shared" si="123"/>
        <v>5898.21</v>
      </c>
      <c r="G227" s="218">
        <f t="shared" si="123"/>
        <v>104</v>
      </c>
      <c r="H227" s="218">
        <f t="shared" si="123"/>
        <v>23</v>
      </c>
      <c r="I227" s="91">
        <f t="shared" si="123"/>
        <v>620</v>
      </c>
    </row>
    <row r="228">
      <c r="A228" s="74"/>
      <c r="B228" s="74"/>
      <c r="C228" s="74"/>
      <c r="D228" s="74"/>
      <c r="E228" s="74"/>
      <c r="F228" s="75"/>
      <c r="G228" s="74"/>
      <c r="H228" s="74"/>
      <c r="I228" s="74"/>
    </row>
    <row r="229">
      <c r="A229" s="476">
        <f>A226+3</f>
        <v>44781</v>
      </c>
      <c r="B229" s="150"/>
      <c r="C229" s="138"/>
      <c r="D229" s="138"/>
      <c r="E229" s="138"/>
      <c r="F229" s="151"/>
      <c r="G229" s="138"/>
      <c r="H229" s="138"/>
      <c r="I229" s="146"/>
    </row>
    <row r="230">
      <c r="A230" s="476">
        <f t="shared" ref="A230:A233" si="124">A229+1</f>
        <v>44782</v>
      </c>
      <c r="B230" s="150"/>
      <c r="C230" s="119"/>
      <c r="D230" s="119"/>
      <c r="E230" s="119"/>
      <c r="F230" s="196"/>
      <c r="G230" s="84"/>
      <c r="H230" s="84"/>
      <c r="I230" s="86"/>
    </row>
    <row r="231">
      <c r="A231" s="476">
        <f t="shared" si="124"/>
        <v>44783</v>
      </c>
      <c r="B231" s="150"/>
      <c r="C231" s="119"/>
      <c r="D231" s="119"/>
      <c r="E231" s="119"/>
      <c r="F231" s="196"/>
      <c r="G231" s="84"/>
      <c r="H231" s="84"/>
      <c r="I231" s="86"/>
    </row>
    <row r="232">
      <c r="A232" s="476">
        <f t="shared" si="124"/>
        <v>44784</v>
      </c>
      <c r="B232" s="150"/>
      <c r="C232" s="119"/>
      <c r="D232" s="119"/>
      <c r="E232" s="119"/>
      <c r="F232" s="196"/>
      <c r="G232" s="84"/>
      <c r="H232" s="84"/>
      <c r="I232" s="86"/>
    </row>
    <row r="233">
      <c r="A233" s="476">
        <f t="shared" si="124"/>
        <v>44785</v>
      </c>
      <c r="B233" s="169"/>
      <c r="C233" s="170"/>
      <c r="D233" s="170"/>
      <c r="E233" s="170"/>
      <c r="F233" s="196"/>
      <c r="G233" s="172"/>
      <c r="H233" s="172"/>
      <c r="I233" s="173"/>
    </row>
    <row r="234">
      <c r="A234" s="67"/>
      <c r="B234" s="179">
        <f t="shared" ref="B234:I234" si="125">SUM(B229:B233)</f>
        <v>0</v>
      </c>
      <c r="C234" s="179">
        <f t="shared" si="125"/>
        <v>0</v>
      </c>
      <c r="D234" s="179">
        <f t="shared" si="125"/>
        <v>0</v>
      </c>
      <c r="E234" s="179">
        <f t="shared" si="125"/>
        <v>0</v>
      </c>
      <c r="F234" s="157">
        <f t="shared" si="125"/>
        <v>0</v>
      </c>
      <c r="G234" s="180">
        <f t="shared" si="125"/>
        <v>0</v>
      </c>
      <c r="H234" s="180">
        <f t="shared" si="125"/>
        <v>0</v>
      </c>
      <c r="I234" s="179">
        <f t="shared" si="125"/>
        <v>0</v>
      </c>
    </row>
    <row r="235">
      <c r="A235" s="74"/>
      <c r="B235" s="74"/>
      <c r="C235" s="74"/>
      <c r="D235" s="74"/>
      <c r="E235" s="74"/>
      <c r="F235" s="75"/>
      <c r="G235" s="74"/>
      <c r="H235" s="74"/>
      <c r="I235" s="74"/>
    </row>
    <row r="236">
      <c r="A236" s="476">
        <f>A233+3</f>
        <v>44788</v>
      </c>
      <c r="B236" s="175"/>
      <c r="C236" s="176"/>
      <c r="D236" s="176"/>
      <c r="E236" s="176"/>
      <c r="F236" s="177"/>
      <c r="G236" s="176"/>
      <c r="H236" s="176"/>
      <c r="I236" s="178"/>
    </row>
    <row r="237">
      <c r="A237" s="476">
        <f t="shared" ref="A237:A240" si="126">A236+1</f>
        <v>44789</v>
      </c>
      <c r="B237" s="150"/>
      <c r="C237" s="119"/>
      <c r="D237" s="119"/>
      <c r="E237" s="119"/>
      <c r="F237" s="196"/>
      <c r="G237" s="84"/>
      <c r="H237" s="84"/>
      <c r="I237" s="86"/>
    </row>
    <row r="238">
      <c r="A238" s="476">
        <f t="shared" si="126"/>
        <v>44790</v>
      </c>
      <c r="B238" s="150"/>
      <c r="C238" s="119"/>
      <c r="D238" s="119"/>
      <c r="E238" s="119"/>
      <c r="F238" s="196"/>
      <c r="G238" s="84"/>
      <c r="H238" s="84"/>
      <c r="I238" s="86"/>
    </row>
    <row r="239">
      <c r="A239" s="476">
        <f t="shared" si="126"/>
        <v>44791</v>
      </c>
      <c r="B239" s="150"/>
      <c r="C239" s="119"/>
      <c r="D239" s="119"/>
      <c r="E239" s="119"/>
      <c r="F239" s="196"/>
      <c r="G239" s="84"/>
      <c r="H239" s="84"/>
      <c r="I239" s="86"/>
    </row>
    <row r="240">
      <c r="A240" s="476">
        <f t="shared" si="126"/>
        <v>44792</v>
      </c>
      <c r="B240" s="169"/>
      <c r="C240" s="170"/>
      <c r="D240" s="170"/>
      <c r="E240" s="170"/>
      <c r="F240" s="196"/>
      <c r="G240" s="172"/>
      <c r="H240" s="172"/>
      <c r="I240" s="173"/>
    </row>
    <row r="241">
      <c r="A241" s="67"/>
      <c r="B241" s="179">
        <f>SUM(B233:B240)</f>
        <v>0</v>
      </c>
      <c r="C241" s="145">
        <f>SUM(C236:C240)</f>
        <v>0</v>
      </c>
      <c r="D241" s="179">
        <f t="shared" ref="D241:I241" si="127">SUM(D233:D240)</f>
        <v>0</v>
      </c>
      <c r="E241" s="179">
        <f t="shared" si="127"/>
        <v>0</v>
      </c>
      <c r="F241" s="157">
        <f t="shared" si="127"/>
        <v>0</v>
      </c>
      <c r="G241" s="180">
        <f t="shared" si="127"/>
        <v>0</v>
      </c>
      <c r="H241" s="180">
        <f t="shared" si="127"/>
        <v>0</v>
      </c>
      <c r="I241" s="179">
        <f t="shared" si="127"/>
        <v>0</v>
      </c>
    </row>
    <row r="242">
      <c r="A242" s="74"/>
      <c r="B242" s="94"/>
      <c r="C242" s="74"/>
      <c r="D242" s="94"/>
      <c r="E242" s="94"/>
      <c r="F242" s="75"/>
      <c r="G242" s="94"/>
      <c r="H242" s="94"/>
      <c r="I242" s="94"/>
    </row>
    <row r="243">
      <c r="A243" s="476">
        <f>A240+3</f>
        <v>44795</v>
      </c>
      <c r="B243" s="175"/>
      <c r="C243" s="176"/>
      <c r="D243" s="176"/>
      <c r="E243" s="176"/>
      <c r="F243" s="177"/>
      <c r="G243" s="176"/>
      <c r="H243" s="176"/>
      <c r="I243" s="178"/>
    </row>
    <row r="244">
      <c r="A244" s="476">
        <f t="shared" ref="A244:A247" si="128">A243+1</f>
        <v>44796</v>
      </c>
      <c r="B244" s="150"/>
      <c r="C244" s="119"/>
      <c r="D244" s="119"/>
      <c r="E244" s="119"/>
      <c r="F244" s="196"/>
      <c r="G244" s="84"/>
      <c r="H244" s="84"/>
      <c r="I244" s="86"/>
    </row>
    <row r="245">
      <c r="A245" s="476">
        <f t="shared" si="128"/>
        <v>44797</v>
      </c>
      <c r="B245" s="150"/>
      <c r="C245" s="119"/>
      <c r="D245" s="119"/>
      <c r="E245" s="119"/>
      <c r="F245" s="196"/>
      <c r="G245" s="84"/>
      <c r="H245" s="84"/>
      <c r="I245" s="86"/>
    </row>
    <row r="246">
      <c r="A246" s="476">
        <f t="shared" si="128"/>
        <v>44798</v>
      </c>
      <c r="B246" s="150"/>
      <c r="C246" s="119"/>
      <c r="D246" s="119"/>
      <c r="E246" s="119"/>
      <c r="F246" s="196"/>
      <c r="G246" s="84"/>
      <c r="H246" s="84"/>
      <c r="I246" s="86"/>
    </row>
    <row r="247">
      <c r="A247" s="476">
        <f t="shared" si="128"/>
        <v>44799</v>
      </c>
      <c r="B247" s="169"/>
      <c r="C247" s="170"/>
      <c r="D247" s="170"/>
      <c r="E247" s="170"/>
      <c r="F247" s="196"/>
      <c r="G247" s="172"/>
      <c r="H247" s="172"/>
      <c r="I247" s="173"/>
    </row>
    <row r="248">
      <c r="A248" s="67"/>
      <c r="B248" s="145">
        <f t="shared" ref="B248:I248" si="129">SUM(B243:B247)</f>
        <v>0</v>
      </c>
      <c r="C248" s="145">
        <f t="shared" si="129"/>
        <v>0</v>
      </c>
      <c r="D248" s="145">
        <f t="shared" si="129"/>
        <v>0</v>
      </c>
      <c r="E248" s="145">
        <f t="shared" si="129"/>
        <v>0</v>
      </c>
      <c r="F248" s="157">
        <f t="shared" si="129"/>
        <v>0</v>
      </c>
      <c r="G248" s="174">
        <f t="shared" si="129"/>
        <v>0</v>
      </c>
      <c r="H248" s="174">
        <f t="shared" si="129"/>
        <v>0</v>
      </c>
      <c r="I248" s="174">
        <f t="shared" si="129"/>
        <v>0</v>
      </c>
    </row>
    <row r="249">
      <c r="A249" s="74"/>
      <c r="B249" s="74"/>
      <c r="C249" s="74"/>
      <c r="D249" s="74"/>
      <c r="E249" s="74"/>
      <c r="F249" s="75"/>
      <c r="G249" s="74"/>
      <c r="H249" s="74"/>
      <c r="I249" s="74"/>
    </row>
    <row r="250">
      <c r="A250" s="476">
        <f>A247+3</f>
        <v>44802</v>
      </c>
      <c r="B250" s="169"/>
      <c r="C250" s="170"/>
      <c r="D250" s="170"/>
      <c r="E250" s="170"/>
      <c r="F250" s="196"/>
      <c r="G250" s="172"/>
      <c r="H250" s="172"/>
      <c r="I250" s="173"/>
    </row>
    <row r="251">
      <c r="A251" s="476">
        <f t="shared" ref="A251:A252" si="130">A250+1</f>
        <v>44803</v>
      </c>
      <c r="B251" s="189">
        <v>100.0</v>
      </c>
      <c r="C251" s="189">
        <v>360.56</v>
      </c>
      <c r="D251" s="189">
        <v>830.0</v>
      </c>
      <c r="E251" s="189">
        <v>0.0</v>
      </c>
      <c r="F251" s="156">
        <f t="shared" ref="F251:F252" si="131">SUM(B251:E251)</f>
        <v>1290.56</v>
      </c>
      <c r="G251" s="59">
        <v>26.0</v>
      </c>
      <c r="H251" s="59">
        <v>8.0</v>
      </c>
      <c r="I251" s="189">
        <v>0.0</v>
      </c>
    </row>
    <row r="252">
      <c r="A252" s="476">
        <f t="shared" si="130"/>
        <v>44804</v>
      </c>
      <c r="B252" s="189">
        <v>120.0</v>
      </c>
      <c r="C252" s="189">
        <v>192.41</v>
      </c>
      <c r="D252" s="189">
        <v>669.31</v>
      </c>
      <c r="E252" s="189">
        <v>50.0</v>
      </c>
      <c r="F252" s="156">
        <f t="shared" si="131"/>
        <v>1031.72</v>
      </c>
      <c r="G252" s="59">
        <v>18.0</v>
      </c>
      <c r="H252" s="59">
        <v>4.0</v>
      </c>
      <c r="I252" s="189">
        <v>50.0</v>
      </c>
    </row>
    <row r="253">
      <c r="A253" s="67"/>
      <c r="B253" s="145">
        <f t="shared" ref="B253:I253" si="132">SUM(B250:B252)</f>
        <v>220</v>
      </c>
      <c r="C253" s="145">
        <f t="shared" si="132"/>
        <v>552.97</v>
      </c>
      <c r="D253" s="145">
        <f t="shared" si="132"/>
        <v>1499.31</v>
      </c>
      <c r="E253" s="145">
        <f t="shared" si="132"/>
        <v>50</v>
      </c>
      <c r="F253" s="145">
        <f t="shared" si="132"/>
        <v>2322.28</v>
      </c>
      <c r="G253" s="407">
        <f t="shared" si="132"/>
        <v>44</v>
      </c>
      <c r="H253" s="407">
        <f t="shared" si="132"/>
        <v>12</v>
      </c>
      <c r="I253" s="174">
        <f t="shared" si="132"/>
        <v>50</v>
      </c>
    </row>
    <row r="254">
      <c r="A254" s="74"/>
      <c r="B254" s="74"/>
      <c r="C254" s="74"/>
      <c r="D254" s="74"/>
      <c r="E254" s="74"/>
      <c r="F254" s="74"/>
      <c r="G254" s="76"/>
      <c r="H254" s="76"/>
      <c r="I254" s="74"/>
    </row>
    <row r="255">
      <c r="A255" s="476">
        <v>44805.0</v>
      </c>
      <c r="B255" s="189">
        <v>0.0</v>
      </c>
      <c r="C255" s="189">
        <v>253.48</v>
      </c>
      <c r="D255" s="189">
        <v>1138.62</v>
      </c>
      <c r="E255" s="189">
        <v>50.0</v>
      </c>
      <c r="F255" s="156">
        <f t="shared" ref="F255:F256" si="133">SUM(B255:E255)</f>
        <v>1442.1</v>
      </c>
      <c r="G255" s="59">
        <v>23.0</v>
      </c>
      <c r="H255" s="59">
        <v>4.0</v>
      </c>
      <c r="I255" s="189">
        <v>50.0</v>
      </c>
    </row>
    <row r="256">
      <c r="A256" s="476">
        <f>A255+1</f>
        <v>44806</v>
      </c>
      <c r="B256" s="189">
        <v>299.31</v>
      </c>
      <c r="C256" s="189">
        <v>465.55</v>
      </c>
      <c r="D256" s="189">
        <v>637.24</v>
      </c>
      <c r="E256" s="189">
        <v>50.0</v>
      </c>
      <c r="F256" s="156">
        <f t="shared" si="133"/>
        <v>1452.1</v>
      </c>
      <c r="G256" s="59">
        <v>20.0</v>
      </c>
      <c r="H256" s="59">
        <v>7.0</v>
      </c>
      <c r="I256" s="189">
        <v>50.0</v>
      </c>
    </row>
    <row r="257">
      <c r="A257" s="67"/>
      <c r="B257" s="157">
        <f t="shared" ref="B257:I257" si="134">SUM(B255:B256)</f>
        <v>299.31</v>
      </c>
      <c r="C257" s="190">
        <f t="shared" si="134"/>
        <v>719.03</v>
      </c>
      <c r="D257" s="190">
        <f t="shared" si="134"/>
        <v>1775.86</v>
      </c>
      <c r="E257" s="190">
        <f t="shared" si="134"/>
        <v>100</v>
      </c>
      <c r="F257" s="190">
        <f t="shared" si="134"/>
        <v>2894.2</v>
      </c>
      <c r="G257" s="133">
        <f t="shared" si="134"/>
        <v>43</v>
      </c>
      <c r="H257" s="133">
        <f t="shared" si="134"/>
        <v>11</v>
      </c>
      <c r="I257" s="157">
        <f t="shared" si="134"/>
        <v>100</v>
      </c>
    </row>
    <row r="258">
      <c r="A258" s="74"/>
      <c r="B258" s="75"/>
      <c r="C258" s="136"/>
      <c r="D258" s="136"/>
      <c r="E258" s="136"/>
      <c r="F258" s="136"/>
      <c r="G258" s="136"/>
      <c r="H258" s="136"/>
      <c r="I258" s="75"/>
    </row>
    <row r="259">
      <c r="A259" s="476">
        <f>A256+3</f>
        <v>44809</v>
      </c>
      <c r="B259" s="189">
        <v>0.0</v>
      </c>
      <c r="C259" s="189">
        <v>224.2</v>
      </c>
      <c r="D259" s="189">
        <v>539.31</v>
      </c>
      <c r="E259" s="189">
        <v>100.0</v>
      </c>
      <c r="F259" s="156">
        <f t="shared" ref="F259:F263" si="135">SUM(B259:E259)</f>
        <v>863.51</v>
      </c>
      <c r="G259" s="59">
        <v>14.0</v>
      </c>
      <c r="H259" s="59">
        <v>4.0</v>
      </c>
      <c r="I259" s="189">
        <v>110.0</v>
      </c>
    </row>
    <row r="260">
      <c r="A260" s="476">
        <f t="shared" ref="A260:A263" si="136">A259+1</f>
        <v>44810</v>
      </c>
      <c r="B260" s="192">
        <v>50.0</v>
      </c>
      <c r="C260" s="192">
        <v>294.89</v>
      </c>
      <c r="D260" s="192">
        <v>558.62</v>
      </c>
      <c r="E260" s="192">
        <v>50.0</v>
      </c>
      <c r="F260" s="193">
        <f t="shared" si="135"/>
        <v>953.51</v>
      </c>
      <c r="G260" s="81">
        <v>15.0</v>
      </c>
      <c r="H260" s="81">
        <v>5.0</v>
      </c>
      <c r="I260" s="192">
        <v>50.0</v>
      </c>
    </row>
    <row r="261">
      <c r="A261" s="476">
        <f t="shared" si="136"/>
        <v>44811</v>
      </c>
      <c r="B261" s="192">
        <v>50.0</v>
      </c>
      <c r="C261" s="192">
        <v>110.31</v>
      </c>
      <c r="D261" s="192">
        <v>560.0</v>
      </c>
      <c r="E261" s="192">
        <v>50.0</v>
      </c>
      <c r="F261" s="193">
        <f t="shared" si="135"/>
        <v>770.31</v>
      </c>
      <c r="G261" s="81">
        <v>15.0</v>
      </c>
      <c r="H261" s="81">
        <v>3.0</v>
      </c>
      <c r="I261" s="192">
        <v>50.0</v>
      </c>
    </row>
    <row r="262">
      <c r="A262" s="476">
        <f t="shared" si="136"/>
        <v>44812</v>
      </c>
      <c r="B262" s="192">
        <v>150.0</v>
      </c>
      <c r="C262" s="192">
        <v>165.64</v>
      </c>
      <c r="D262" s="192">
        <v>1030.0</v>
      </c>
      <c r="E262" s="192">
        <v>0.0</v>
      </c>
      <c r="F262" s="193">
        <f t="shared" si="135"/>
        <v>1345.64</v>
      </c>
      <c r="G262" s="81">
        <v>26.0</v>
      </c>
      <c r="H262" s="81">
        <v>4.0</v>
      </c>
      <c r="I262" s="192">
        <v>0.0</v>
      </c>
    </row>
    <row r="263">
      <c r="A263" s="476">
        <f t="shared" si="136"/>
        <v>44813</v>
      </c>
      <c r="B263" s="192">
        <v>220.0</v>
      </c>
      <c r="C263" s="192">
        <v>336.3</v>
      </c>
      <c r="D263" s="192">
        <v>627.93</v>
      </c>
      <c r="E263" s="192">
        <v>50.0</v>
      </c>
      <c r="F263" s="193">
        <f t="shared" si="135"/>
        <v>1234.23</v>
      </c>
      <c r="G263" s="81">
        <v>23.0</v>
      </c>
      <c r="H263" s="81">
        <v>6.0</v>
      </c>
      <c r="I263" s="192">
        <v>50.0</v>
      </c>
    </row>
    <row r="264">
      <c r="A264" s="67"/>
      <c r="B264" s="157">
        <f t="shared" ref="B264:I264" si="137">SUM(B259:B263)</f>
        <v>470</v>
      </c>
      <c r="C264" s="190">
        <f t="shared" si="137"/>
        <v>1131.34</v>
      </c>
      <c r="D264" s="190">
        <f t="shared" si="137"/>
        <v>3315.86</v>
      </c>
      <c r="E264" s="190">
        <f t="shared" si="137"/>
        <v>250</v>
      </c>
      <c r="F264" s="190">
        <f t="shared" si="137"/>
        <v>5167.2</v>
      </c>
      <c r="G264" s="133">
        <f t="shared" si="137"/>
        <v>93</v>
      </c>
      <c r="H264" s="133">
        <f t="shared" si="137"/>
        <v>22</v>
      </c>
      <c r="I264" s="157">
        <f t="shared" si="137"/>
        <v>260</v>
      </c>
    </row>
    <row r="265">
      <c r="A265" s="74"/>
      <c r="B265" s="75"/>
      <c r="C265" s="136"/>
      <c r="D265" s="136"/>
      <c r="E265" s="136"/>
      <c r="F265" s="136"/>
      <c r="G265" s="136"/>
      <c r="H265" s="136"/>
      <c r="I265" s="75"/>
    </row>
    <row r="266">
      <c r="A266" s="476">
        <f>A263+3</f>
        <v>44816</v>
      </c>
      <c r="B266" s="189">
        <v>90.0</v>
      </c>
      <c r="C266" s="189">
        <v>336.3</v>
      </c>
      <c r="D266" s="189">
        <v>1158.62</v>
      </c>
      <c r="E266" s="189">
        <v>110.0</v>
      </c>
      <c r="F266" s="156">
        <f t="shared" ref="F266:F270" si="138">SUM(B266:E266)</f>
        <v>1694.92</v>
      </c>
      <c r="G266" s="59">
        <v>27.0</v>
      </c>
      <c r="H266" s="59">
        <v>6.0</v>
      </c>
      <c r="I266" s="189">
        <v>90.0</v>
      </c>
    </row>
    <row r="267">
      <c r="A267" s="476">
        <f t="shared" ref="A267:A270" si="139">A266+1</f>
        <v>44817</v>
      </c>
      <c r="B267" s="192">
        <v>140.0</v>
      </c>
      <c r="C267" s="192">
        <v>265.61</v>
      </c>
      <c r="D267" s="192">
        <v>278.62</v>
      </c>
      <c r="E267" s="192">
        <v>50.0</v>
      </c>
      <c r="F267" s="193">
        <f t="shared" si="138"/>
        <v>734.23</v>
      </c>
      <c r="G267" s="81">
        <v>12.0</v>
      </c>
      <c r="H267" s="81">
        <v>5.0</v>
      </c>
      <c r="I267" s="192">
        <v>50.0</v>
      </c>
    </row>
    <row r="268">
      <c r="A268" s="476">
        <f t="shared" si="139"/>
        <v>44818</v>
      </c>
      <c r="B268" s="192">
        <v>100.0</v>
      </c>
      <c r="C268" s="192">
        <v>80.31</v>
      </c>
      <c r="D268" s="192">
        <v>900.0</v>
      </c>
      <c r="E268" s="192">
        <v>50.0</v>
      </c>
      <c r="F268" s="193">
        <f t="shared" si="138"/>
        <v>1130.31</v>
      </c>
      <c r="G268" s="81">
        <v>21.0</v>
      </c>
      <c r="H268" s="81">
        <v>2.0</v>
      </c>
      <c r="I268" s="192">
        <v>50.0</v>
      </c>
    </row>
    <row r="269">
      <c r="A269" s="476">
        <f t="shared" si="139"/>
        <v>44819</v>
      </c>
      <c r="B269" s="192">
        <v>330.0</v>
      </c>
      <c r="C269" s="192">
        <v>82.82</v>
      </c>
      <c r="D269" s="192">
        <v>1050.0</v>
      </c>
      <c r="E269" s="192">
        <v>90.0</v>
      </c>
      <c r="F269" s="193">
        <f t="shared" si="138"/>
        <v>1552.82</v>
      </c>
      <c r="G269" s="81">
        <v>26.0</v>
      </c>
      <c r="H269" s="81">
        <v>2.0</v>
      </c>
      <c r="I269" s="192">
        <v>90.0</v>
      </c>
    </row>
    <row r="270">
      <c r="A270" s="476">
        <f t="shared" si="139"/>
        <v>44820</v>
      </c>
      <c r="B270" s="189">
        <v>50.0</v>
      </c>
      <c r="C270" s="189">
        <v>307.74</v>
      </c>
      <c r="D270" s="189">
        <v>800.0</v>
      </c>
      <c r="E270" s="189">
        <v>50.0</v>
      </c>
      <c r="F270" s="193">
        <f t="shared" si="138"/>
        <v>1207.74</v>
      </c>
      <c r="G270" s="59">
        <v>25.0</v>
      </c>
      <c r="H270" s="59">
        <v>7.0</v>
      </c>
      <c r="I270" s="189">
        <v>50.0</v>
      </c>
    </row>
    <row r="271">
      <c r="A271" s="67"/>
      <c r="B271" s="157">
        <f t="shared" ref="B271:I271" si="140">SUM(B266:B270)</f>
        <v>710</v>
      </c>
      <c r="C271" s="190">
        <f t="shared" si="140"/>
        <v>1072.78</v>
      </c>
      <c r="D271" s="190">
        <f t="shared" si="140"/>
        <v>4187.24</v>
      </c>
      <c r="E271" s="190">
        <f t="shared" si="140"/>
        <v>350</v>
      </c>
      <c r="F271" s="190">
        <f t="shared" si="140"/>
        <v>6320.02</v>
      </c>
      <c r="G271" s="133">
        <f t="shared" si="140"/>
        <v>111</v>
      </c>
      <c r="H271" s="133">
        <f t="shared" si="140"/>
        <v>22</v>
      </c>
      <c r="I271" s="157">
        <f t="shared" si="140"/>
        <v>330</v>
      </c>
    </row>
    <row r="272">
      <c r="A272" s="74"/>
      <c r="B272" s="75"/>
      <c r="C272" s="136"/>
      <c r="D272" s="136"/>
      <c r="E272" s="136"/>
      <c r="F272" s="136"/>
      <c r="G272" s="136"/>
      <c r="H272" s="136"/>
      <c r="I272" s="75"/>
    </row>
    <row r="273">
      <c r="A273" s="476">
        <f>A270+3</f>
        <v>44823</v>
      </c>
      <c r="B273" s="126">
        <v>0.0</v>
      </c>
      <c r="C273" s="126">
        <v>112.1</v>
      </c>
      <c r="D273" s="126">
        <v>759.31</v>
      </c>
      <c r="E273" s="199">
        <v>100.0</v>
      </c>
      <c r="F273" s="156">
        <f t="shared" ref="F273:F277" si="141">SUM(B273:E273)</f>
        <v>971.41</v>
      </c>
      <c r="G273" s="59">
        <v>14.0</v>
      </c>
      <c r="H273" s="59">
        <v>2.0</v>
      </c>
      <c r="I273" s="189">
        <v>100.0</v>
      </c>
    </row>
    <row r="274">
      <c r="A274" s="476">
        <f t="shared" ref="A274:A276" si="142">A273+1</f>
        <v>44824</v>
      </c>
      <c r="B274" s="106">
        <v>0.0</v>
      </c>
      <c r="C274" s="106">
        <v>70.69</v>
      </c>
      <c r="D274" s="106">
        <v>540.0</v>
      </c>
      <c r="E274" s="201">
        <v>220.0</v>
      </c>
      <c r="F274" s="193">
        <f t="shared" si="141"/>
        <v>830.69</v>
      </c>
      <c r="G274" s="202">
        <v>15.0</v>
      </c>
      <c r="H274" s="99">
        <v>1.0</v>
      </c>
      <c r="I274" s="101">
        <v>220.0</v>
      </c>
    </row>
    <row r="275">
      <c r="A275" s="476">
        <f t="shared" si="142"/>
        <v>44825</v>
      </c>
      <c r="B275" s="106">
        <v>230.0</v>
      </c>
      <c r="C275" s="106">
        <v>158.11</v>
      </c>
      <c r="D275" s="106">
        <v>560.0</v>
      </c>
      <c r="E275" s="201">
        <v>50.0</v>
      </c>
      <c r="F275" s="193">
        <f t="shared" si="141"/>
        <v>998.11</v>
      </c>
      <c r="G275" s="203">
        <v>18.0</v>
      </c>
      <c r="H275" s="106">
        <v>4.0</v>
      </c>
      <c r="I275" s="108">
        <v>50.0</v>
      </c>
    </row>
    <row r="276">
      <c r="A276" s="476">
        <f t="shared" si="142"/>
        <v>44826</v>
      </c>
      <c r="B276" s="106">
        <v>50.0</v>
      </c>
      <c r="C276" s="106">
        <v>477.68</v>
      </c>
      <c r="D276" s="106">
        <v>1026.55</v>
      </c>
      <c r="E276" s="201">
        <v>100.0</v>
      </c>
      <c r="F276" s="193">
        <f t="shared" si="141"/>
        <v>1654.23</v>
      </c>
      <c r="G276" s="203">
        <v>26.0</v>
      </c>
      <c r="H276" s="106">
        <v>7.0</v>
      </c>
      <c r="I276" s="108">
        <v>100.0</v>
      </c>
    </row>
    <row r="277">
      <c r="A277" s="476">
        <f>A274+3</f>
        <v>44827</v>
      </c>
      <c r="B277" s="89">
        <v>140.0</v>
      </c>
      <c r="C277" s="89">
        <v>377.71</v>
      </c>
      <c r="D277" s="89">
        <v>788.62</v>
      </c>
      <c r="E277" s="412">
        <v>50.0</v>
      </c>
      <c r="F277" s="195">
        <f t="shared" si="141"/>
        <v>1356.33</v>
      </c>
      <c r="G277" s="413">
        <v>23.0</v>
      </c>
      <c r="H277" s="89">
        <v>7.0</v>
      </c>
      <c r="I277" s="90">
        <v>40.0</v>
      </c>
    </row>
    <row r="278">
      <c r="A278" s="67"/>
      <c r="B278" s="157">
        <f t="shared" ref="B278:I278" si="143">SUM(B273:B277)</f>
        <v>420</v>
      </c>
      <c r="C278" s="190">
        <f t="shared" si="143"/>
        <v>1196.29</v>
      </c>
      <c r="D278" s="190">
        <f t="shared" si="143"/>
        <v>3674.48</v>
      </c>
      <c r="E278" s="190">
        <f t="shared" si="143"/>
        <v>520</v>
      </c>
      <c r="F278" s="190">
        <f t="shared" si="143"/>
        <v>5810.77</v>
      </c>
      <c r="G278" s="133">
        <f t="shared" si="143"/>
        <v>96</v>
      </c>
      <c r="H278" s="133">
        <f t="shared" si="143"/>
        <v>21</v>
      </c>
      <c r="I278" s="157">
        <f t="shared" si="143"/>
        <v>510</v>
      </c>
    </row>
    <row r="279">
      <c r="A279" s="74"/>
      <c r="B279" s="75"/>
      <c r="C279" s="136"/>
      <c r="D279" s="136"/>
      <c r="E279" s="136"/>
      <c r="F279" s="136"/>
      <c r="G279" s="136"/>
      <c r="H279" s="136"/>
      <c r="I279" s="75"/>
    </row>
    <row r="280">
      <c r="A280" s="476">
        <f>A277+3</f>
        <v>44830</v>
      </c>
      <c r="B280" s="81">
        <v>190.0</v>
      </c>
      <c r="C280" s="81">
        <v>182.79</v>
      </c>
      <c r="D280" s="81">
        <v>1098.62</v>
      </c>
      <c r="E280" s="81">
        <v>230.0</v>
      </c>
      <c r="F280" s="156">
        <f t="shared" ref="F280:F284" si="144">SUM(B280:E280)</f>
        <v>1701.41</v>
      </c>
      <c r="G280" s="81">
        <v>29.0</v>
      </c>
      <c r="H280" s="81">
        <v>3.0</v>
      </c>
      <c r="I280" s="81">
        <v>230.0</v>
      </c>
    </row>
    <row r="281">
      <c r="A281" s="476">
        <f t="shared" ref="A281:A284" si="145">A280+1</f>
        <v>44831</v>
      </c>
      <c r="B281" s="81">
        <v>90.0</v>
      </c>
      <c r="C281" s="81">
        <v>253.48</v>
      </c>
      <c r="D281" s="81">
        <v>609.31</v>
      </c>
      <c r="E281" s="81">
        <v>140.0</v>
      </c>
      <c r="F281" s="156">
        <f t="shared" si="144"/>
        <v>1092.79</v>
      </c>
      <c r="G281" s="81">
        <v>18.0</v>
      </c>
      <c r="H281" s="81">
        <v>4.0</v>
      </c>
      <c r="I281" s="81">
        <v>150.0</v>
      </c>
    </row>
    <row r="282">
      <c r="A282" s="476">
        <f t="shared" si="145"/>
        <v>44832</v>
      </c>
      <c r="B282" s="81">
        <v>0.0</v>
      </c>
      <c r="C282" s="81">
        <v>82.82</v>
      </c>
      <c r="D282" s="81">
        <v>770.0</v>
      </c>
      <c r="E282" s="81">
        <v>0.0</v>
      </c>
      <c r="F282" s="193">
        <f t="shared" si="144"/>
        <v>852.82</v>
      </c>
      <c r="G282" s="81">
        <v>18.0</v>
      </c>
      <c r="H282" s="81">
        <v>2.0</v>
      </c>
      <c r="I282" s="81">
        <v>0.0</v>
      </c>
    </row>
    <row r="283">
      <c r="A283" s="476">
        <f t="shared" si="145"/>
        <v>44833</v>
      </c>
      <c r="B283" s="81">
        <v>159.31</v>
      </c>
      <c r="C283" s="81">
        <v>560.5</v>
      </c>
      <c r="D283" s="81">
        <v>848.62</v>
      </c>
      <c r="E283" s="81">
        <v>230.0</v>
      </c>
      <c r="F283" s="193">
        <f t="shared" si="144"/>
        <v>1798.43</v>
      </c>
      <c r="G283" s="81">
        <v>28.0</v>
      </c>
      <c r="H283" s="81">
        <v>10.0</v>
      </c>
      <c r="I283" s="81">
        <v>220.0</v>
      </c>
    </row>
    <row r="284">
      <c r="A284" s="476">
        <f t="shared" si="145"/>
        <v>44834</v>
      </c>
      <c r="B284" s="81">
        <v>190.0</v>
      </c>
      <c r="C284" s="81">
        <v>236.33</v>
      </c>
      <c r="D284" s="81">
        <v>860.0</v>
      </c>
      <c r="E284" s="81">
        <v>150.0</v>
      </c>
      <c r="F284" s="193">
        <f t="shared" si="144"/>
        <v>1436.33</v>
      </c>
      <c r="G284" s="81">
        <v>24.0</v>
      </c>
      <c r="H284" s="81">
        <v>5.0</v>
      </c>
      <c r="I284" s="81">
        <v>160.0</v>
      </c>
    </row>
    <row r="285">
      <c r="A285" s="67"/>
      <c r="B285" s="157">
        <f t="shared" ref="B285:I285" si="146">SUM(B280:B284)</f>
        <v>629.31</v>
      </c>
      <c r="C285" s="190">
        <f t="shared" si="146"/>
        <v>1315.92</v>
      </c>
      <c r="D285" s="190">
        <f t="shared" si="146"/>
        <v>4186.55</v>
      </c>
      <c r="E285" s="190">
        <f t="shared" si="146"/>
        <v>750</v>
      </c>
      <c r="F285" s="190">
        <f t="shared" si="146"/>
        <v>6881.78</v>
      </c>
      <c r="G285" s="133">
        <f t="shared" si="146"/>
        <v>117</v>
      </c>
      <c r="H285" s="133">
        <f t="shared" si="146"/>
        <v>24</v>
      </c>
      <c r="I285" s="157">
        <f t="shared" si="146"/>
        <v>760</v>
      </c>
    </row>
    <row r="286">
      <c r="A286" s="74"/>
      <c r="B286" s="75"/>
      <c r="C286" s="136"/>
      <c r="D286" s="136"/>
      <c r="E286" s="136"/>
      <c r="F286" s="136"/>
      <c r="G286" s="136"/>
      <c r="H286" s="136"/>
      <c r="I286" s="75"/>
    </row>
    <row r="287">
      <c r="A287" s="476">
        <v>44837.0</v>
      </c>
      <c r="B287" s="98">
        <v>50.0</v>
      </c>
      <c r="C287" s="99">
        <v>406.99</v>
      </c>
      <c r="D287" s="99">
        <v>397.93</v>
      </c>
      <c r="E287" s="99">
        <v>50.0</v>
      </c>
      <c r="F287" s="141">
        <f t="shared" ref="F287:F291" si="147">SUM(B287:E287)</f>
        <v>904.92</v>
      </c>
      <c r="G287" s="99">
        <v>17.0</v>
      </c>
      <c r="H287" s="99">
        <v>7.0</v>
      </c>
      <c r="I287" s="101">
        <v>50.0</v>
      </c>
    </row>
    <row r="288">
      <c r="A288" s="476">
        <f t="shared" ref="A288:A291" si="148">A287+1</f>
        <v>44838</v>
      </c>
      <c r="B288" s="112">
        <v>229.31</v>
      </c>
      <c r="C288" s="124">
        <v>194.92</v>
      </c>
      <c r="D288" s="124">
        <v>410.0</v>
      </c>
      <c r="E288" s="124">
        <v>50.0</v>
      </c>
      <c r="F288" s="141">
        <f t="shared" si="147"/>
        <v>884.23</v>
      </c>
      <c r="G288" s="124">
        <v>15.0</v>
      </c>
      <c r="H288" s="124">
        <v>4.0</v>
      </c>
      <c r="I288" s="208">
        <v>50.0</v>
      </c>
    </row>
    <row r="289">
      <c r="A289" s="476">
        <f t="shared" si="148"/>
        <v>44839</v>
      </c>
      <c r="B289" s="112">
        <v>120.0</v>
      </c>
      <c r="C289" s="124">
        <v>41.41</v>
      </c>
      <c r="D289" s="124">
        <v>800.0</v>
      </c>
      <c r="E289" s="124">
        <v>50.0</v>
      </c>
      <c r="F289" s="141">
        <f t="shared" si="147"/>
        <v>1011.41</v>
      </c>
      <c r="G289" s="99">
        <v>18.0</v>
      </c>
      <c r="H289" s="99">
        <v>1.0</v>
      </c>
      <c r="I289" s="59">
        <v>50.0</v>
      </c>
    </row>
    <row r="290">
      <c r="A290" s="476">
        <f t="shared" si="148"/>
        <v>44840</v>
      </c>
      <c r="B290" s="112">
        <v>209.31</v>
      </c>
      <c r="C290" s="124">
        <v>448.4</v>
      </c>
      <c r="D290" s="124">
        <v>688.62</v>
      </c>
      <c r="E290" s="124">
        <v>140.0</v>
      </c>
      <c r="F290" s="141">
        <f t="shared" si="147"/>
        <v>1486.33</v>
      </c>
      <c r="G290" s="99">
        <v>27.0</v>
      </c>
      <c r="H290" s="99">
        <v>8.0</v>
      </c>
      <c r="I290" s="59">
        <v>140.0</v>
      </c>
    </row>
    <row r="291">
      <c r="A291" s="476">
        <f t="shared" si="148"/>
        <v>44841</v>
      </c>
      <c r="B291" s="112">
        <v>140.0</v>
      </c>
      <c r="C291" s="124">
        <v>384.43</v>
      </c>
      <c r="D291" s="124">
        <v>649.31</v>
      </c>
      <c r="E291" s="124">
        <v>100.0</v>
      </c>
      <c r="F291" s="141">
        <f t="shared" si="147"/>
        <v>1273.74</v>
      </c>
      <c r="G291" s="99">
        <v>23.0</v>
      </c>
      <c r="H291" s="99">
        <v>7.0</v>
      </c>
      <c r="I291" s="59">
        <v>100.0</v>
      </c>
    </row>
    <row r="292">
      <c r="A292" s="67"/>
      <c r="B292" s="91">
        <f t="shared" ref="B292:I292" si="149">SUM(B287:B291)</f>
        <v>748.62</v>
      </c>
      <c r="C292" s="91">
        <f t="shared" si="149"/>
        <v>1476.15</v>
      </c>
      <c r="D292" s="91">
        <f t="shared" si="149"/>
        <v>2945.86</v>
      </c>
      <c r="E292" s="91">
        <f t="shared" si="149"/>
        <v>390</v>
      </c>
      <c r="F292" s="91">
        <f t="shared" si="149"/>
        <v>5560.63</v>
      </c>
      <c r="G292" s="70">
        <f t="shared" si="149"/>
        <v>100</v>
      </c>
      <c r="H292" s="70">
        <f t="shared" si="149"/>
        <v>27</v>
      </c>
      <c r="I292" s="91">
        <f t="shared" si="149"/>
        <v>390</v>
      </c>
    </row>
    <row r="293">
      <c r="A293" s="74"/>
      <c r="B293" s="74"/>
      <c r="C293" s="74"/>
      <c r="D293" s="74"/>
      <c r="E293" s="74"/>
      <c r="F293" s="74"/>
      <c r="G293" s="93"/>
      <c r="H293" s="93"/>
      <c r="I293" s="74"/>
    </row>
    <row r="294">
      <c r="A294" s="476">
        <f>A291+3</f>
        <v>44844</v>
      </c>
      <c r="B294" s="112">
        <v>100.0</v>
      </c>
      <c r="C294" s="124">
        <v>460.53</v>
      </c>
      <c r="D294" s="124">
        <v>858.62</v>
      </c>
      <c r="E294" s="124">
        <v>160.0</v>
      </c>
      <c r="F294" s="141">
        <f t="shared" ref="F294:F298" si="150">SUM(B294:E294)</f>
        <v>1579.15</v>
      </c>
      <c r="G294" s="99">
        <v>28.0</v>
      </c>
      <c r="H294" s="99">
        <v>9.0</v>
      </c>
      <c r="I294" s="59">
        <v>150.0</v>
      </c>
    </row>
    <row r="295">
      <c r="A295" s="476">
        <f t="shared" ref="A295:A298" si="151">A294+1</f>
        <v>44845</v>
      </c>
      <c r="B295" s="112">
        <v>90.0</v>
      </c>
      <c r="C295" s="124">
        <v>194.92</v>
      </c>
      <c r="D295" s="124">
        <v>520.0</v>
      </c>
      <c r="E295" s="124">
        <v>100.0</v>
      </c>
      <c r="F295" s="141">
        <f t="shared" si="150"/>
        <v>904.92</v>
      </c>
      <c r="G295" s="99">
        <v>15.0</v>
      </c>
      <c r="H295" s="99">
        <v>4.0</v>
      </c>
      <c r="I295" s="59">
        <v>100.0</v>
      </c>
    </row>
    <row r="296">
      <c r="A296" s="476">
        <f t="shared" si="151"/>
        <v>44846</v>
      </c>
      <c r="B296" s="112">
        <v>370.0</v>
      </c>
      <c r="C296" s="124">
        <v>80.31</v>
      </c>
      <c r="D296" s="124">
        <v>350.0</v>
      </c>
      <c r="E296" s="124">
        <v>0.0</v>
      </c>
      <c r="F296" s="141">
        <f t="shared" si="150"/>
        <v>800.31</v>
      </c>
      <c r="G296" s="99">
        <v>18.0</v>
      </c>
      <c r="H296" s="99">
        <v>2.0</v>
      </c>
      <c r="I296" s="59">
        <v>0.0</v>
      </c>
    </row>
    <row r="297">
      <c r="A297" s="476">
        <f t="shared" si="151"/>
        <v>44847</v>
      </c>
      <c r="B297" s="112">
        <f>190+90</f>
        <v>280</v>
      </c>
      <c r="C297" s="124">
        <v>294.89</v>
      </c>
      <c r="D297" s="124">
        <f>808.62-90</f>
        <v>718.62</v>
      </c>
      <c r="E297" s="124">
        <v>200.0</v>
      </c>
      <c r="F297" s="141">
        <f t="shared" si="150"/>
        <v>1493.51</v>
      </c>
      <c r="G297" s="99">
        <v>23.0</v>
      </c>
      <c r="H297" s="99">
        <v>5.0</v>
      </c>
      <c r="I297" s="59">
        <v>200.0</v>
      </c>
    </row>
    <row r="298">
      <c r="A298" s="476">
        <f t="shared" si="151"/>
        <v>44848</v>
      </c>
      <c r="B298" s="112">
        <v>50.0</v>
      </c>
      <c r="C298" s="124">
        <v>224.2</v>
      </c>
      <c r="D298" s="124">
        <v>879.31</v>
      </c>
      <c r="E298" s="124">
        <v>190.0</v>
      </c>
      <c r="F298" s="141">
        <f t="shared" si="150"/>
        <v>1343.51</v>
      </c>
      <c r="G298" s="99">
        <v>22.0</v>
      </c>
      <c r="H298" s="99">
        <v>3.0</v>
      </c>
      <c r="I298" s="59">
        <v>190.0</v>
      </c>
    </row>
    <row r="299">
      <c r="A299" s="67"/>
      <c r="B299" s="68">
        <f t="shared" ref="B299:I299" si="152">SUM(B294:B298)</f>
        <v>890</v>
      </c>
      <c r="C299" s="68">
        <f t="shared" si="152"/>
        <v>1254.85</v>
      </c>
      <c r="D299" s="68">
        <f t="shared" si="152"/>
        <v>3326.55</v>
      </c>
      <c r="E299" s="68">
        <f t="shared" si="152"/>
        <v>650</v>
      </c>
      <c r="F299" s="68">
        <f t="shared" si="152"/>
        <v>6121.4</v>
      </c>
      <c r="G299" s="140">
        <f t="shared" si="152"/>
        <v>106</v>
      </c>
      <c r="H299" s="140">
        <f t="shared" si="152"/>
        <v>23</v>
      </c>
      <c r="I299" s="91">
        <f t="shared" si="152"/>
        <v>640</v>
      </c>
    </row>
    <row r="300">
      <c r="A300" s="74"/>
      <c r="B300" s="75"/>
      <c r="C300" s="75"/>
      <c r="D300" s="75"/>
      <c r="E300" s="75"/>
      <c r="F300" s="75"/>
      <c r="G300" s="92"/>
      <c r="H300" s="92"/>
      <c r="I300" s="74"/>
    </row>
    <row r="301">
      <c r="A301" s="476">
        <f>A298+3</f>
        <v>44851</v>
      </c>
      <c r="B301" s="112">
        <v>0.0</v>
      </c>
      <c r="C301" s="112">
        <v>0.0</v>
      </c>
      <c r="D301" s="112">
        <v>850.0</v>
      </c>
      <c r="E301" s="112">
        <v>0.0</v>
      </c>
      <c r="F301" s="209">
        <f t="shared" ref="F301:F305" si="153">SUM(B301:E301)</f>
        <v>850</v>
      </c>
      <c r="G301" s="98">
        <v>13.0</v>
      </c>
      <c r="H301" s="101">
        <v>0.0</v>
      </c>
      <c r="I301" s="59">
        <v>0.0</v>
      </c>
    </row>
    <row r="302">
      <c r="A302" s="476">
        <f t="shared" ref="A302:A305" si="154">A301+1</f>
        <v>44852</v>
      </c>
      <c r="B302" s="112">
        <v>200.0</v>
      </c>
      <c r="C302" s="112">
        <v>224.92</v>
      </c>
      <c r="D302" s="112">
        <f>319.31-50</f>
        <v>269.31</v>
      </c>
      <c r="E302" s="112">
        <v>100.0</v>
      </c>
      <c r="F302" s="209">
        <f t="shared" si="153"/>
        <v>794.23</v>
      </c>
      <c r="G302" s="98">
        <v>16.0</v>
      </c>
      <c r="H302" s="101">
        <v>5.0</v>
      </c>
      <c r="I302" s="59">
        <v>100.0</v>
      </c>
    </row>
    <row r="303">
      <c r="A303" s="476">
        <f t="shared" si="154"/>
        <v>44853</v>
      </c>
      <c r="B303" s="112">
        <v>120.0</v>
      </c>
      <c r="C303" s="112">
        <v>197.01</v>
      </c>
      <c r="D303" s="112">
        <v>370.0</v>
      </c>
      <c r="E303" s="112">
        <v>50.0</v>
      </c>
      <c r="F303" s="209">
        <f t="shared" si="153"/>
        <v>737.01</v>
      </c>
      <c r="G303" s="98">
        <v>15.0</v>
      </c>
      <c r="H303" s="101">
        <v>5.0</v>
      </c>
      <c r="I303" s="59">
        <v>50.0</v>
      </c>
    </row>
    <row r="304">
      <c r="A304" s="476">
        <f t="shared" si="154"/>
        <v>44854</v>
      </c>
      <c r="B304" s="112">
        <v>190.0</v>
      </c>
      <c r="C304" s="112">
        <v>355.54</v>
      </c>
      <c r="D304" s="112">
        <v>720.0</v>
      </c>
      <c r="E304" s="112">
        <v>150.0</v>
      </c>
      <c r="F304" s="209">
        <f t="shared" si="153"/>
        <v>1415.54</v>
      </c>
      <c r="G304" s="98">
        <v>26.0</v>
      </c>
      <c r="H304" s="101">
        <v>8.0</v>
      </c>
      <c r="I304" s="59">
        <v>160.0</v>
      </c>
    </row>
    <row r="305">
      <c r="A305" s="476">
        <f t="shared" si="154"/>
        <v>44855</v>
      </c>
      <c r="B305" s="112">
        <v>50.0</v>
      </c>
      <c r="C305" s="112">
        <v>469.4</v>
      </c>
      <c r="D305" s="112">
        <v>637.93</v>
      </c>
      <c r="E305" s="112">
        <v>309.31</v>
      </c>
      <c r="F305" s="209">
        <f t="shared" si="153"/>
        <v>1466.64</v>
      </c>
      <c r="G305" s="98">
        <v>25.0</v>
      </c>
      <c r="H305" s="101">
        <v>9.0</v>
      </c>
      <c r="I305" s="59">
        <v>309.0</v>
      </c>
    </row>
    <row r="306">
      <c r="A306" s="67"/>
      <c r="B306" s="68">
        <f t="shared" ref="B306:I306" si="155">SUM(B301:B305)</f>
        <v>560</v>
      </c>
      <c r="C306" s="68">
        <f t="shared" si="155"/>
        <v>1246.87</v>
      </c>
      <c r="D306" s="68">
        <f t="shared" si="155"/>
        <v>2847.24</v>
      </c>
      <c r="E306" s="68">
        <f t="shared" si="155"/>
        <v>609.31</v>
      </c>
      <c r="F306" s="68">
        <f t="shared" si="155"/>
        <v>5263.42</v>
      </c>
      <c r="G306" s="140">
        <f t="shared" si="155"/>
        <v>95</v>
      </c>
      <c r="H306" s="140">
        <f t="shared" si="155"/>
        <v>27</v>
      </c>
      <c r="I306" s="91">
        <f t="shared" si="155"/>
        <v>619</v>
      </c>
    </row>
    <row r="307">
      <c r="A307" s="74"/>
      <c r="B307" s="75"/>
      <c r="C307" s="75"/>
      <c r="D307" s="75"/>
      <c r="E307" s="75"/>
      <c r="F307" s="75"/>
      <c r="G307" s="92"/>
      <c r="H307" s="92"/>
      <c r="I307" s="74"/>
    </row>
    <row r="308">
      <c r="A308" s="476">
        <f>A305+3</f>
        <v>44858</v>
      </c>
      <c r="B308" s="112">
        <v>90.0</v>
      </c>
      <c r="C308" s="112">
        <v>448.4</v>
      </c>
      <c r="D308" s="112">
        <v>1078.62</v>
      </c>
      <c r="E308" s="112">
        <v>280.0</v>
      </c>
      <c r="F308" s="209">
        <f t="shared" ref="F308:F312" si="156">SUM(B308:E308)</f>
        <v>1897.02</v>
      </c>
      <c r="G308" s="98">
        <v>29.0</v>
      </c>
      <c r="H308" s="101">
        <v>8.0</v>
      </c>
      <c r="I308" s="59">
        <v>300.0</v>
      </c>
    </row>
    <row r="309">
      <c r="A309" s="476">
        <f t="shared" ref="A309:A312" si="157">A308+1</f>
        <v>44859</v>
      </c>
      <c r="B309" s="112">
        <v>340.0</v>
      </c>
      <c r="C309" s="112">
        <v>224.2</v>
      </c>
      <c r="D309" s="112">
        <v>909.31</v>
      </c>
      <c r="E309" s="112">
        <v>50.0</v>
      </c>
      <c r="F309" s="209">
        <f t="shared" si="156"/>
        <v>1523.51</v>
      </c>
      <c r="G309" s="112">
        <v>28.0</v>
      </c>
      <c r="H309" s="112">
        <v>4.0</v>
      </c>
      <c r="I309" s="59">
        <v>50.0</v>
      </c>
    </row>
    <row r="310">
      <c r="A310" s="476">
        <f t="shared" si="157"/>
        <v>44860</v>
      </c>
      <c r="B310" s="112">
        <v>240.0</v>
      </c>
      <c r="C310" s="112">
        <v>158.11</v>
      </c>
      <c r="D310" s="112">
        <v>400.0</v>
      </c>
      <c r="E310" s="112">
        <v>240.0</v>
      </c>
      <c r="F310" s="209">
        <f t="shared" si="156"/>
        <v>1038.11</v>
      </c>
      <c r="G310" s="112">
        <v>20.0</v>
      </c>
      <c r="H310" s="112">
        <v>4.0</v>
      </c>
      <c r="I310" s="59">
        <v>240.0</v>
      </c>
    </row>
    <row r="311">
      <c r="A311" s="476">
        <f t="shared" si="157"/>
        <v>44861</v>
      </c>
      <c r="B311" s="112">
        <v>69.31</v>
      </c>
      <c r="C311" s="112">
        <v>366.3</v>
      </c>
      <c r="D311" s="112">
        <v>1008.62</v>
      </c>
      <c r="E311" s="112">
        <v>50.0</v>
      </c>
      <c r="F311" s="209">
        <f t="shared" si="156"/>
        <v>1494.23</v>
      </c>
      <c r="G311" s="112">
        <v>26.0</v>
      </c>
      <c r="H311" s="112">
        <v>7.0</v>
      </c>
      <c r="I311" s="59">
        <v>50.0</v>
      </c>
    </row>
    <row r="312">
      <c r="A312" s="476">
        <f t="shared" si="157"/>
        <v>44862</v>
      </c>
      <c r="B312" s="112">
        <v>50.0</v>
      </c>
      <c r="C312" s="112">
        <v>317.2</v>
      </c>
      <c r="D312" s="112">
        <v>550.0</v>
      </c>
      <c r="E312" s="112">
        <v>0.0</v>
      </c>
      <c r="F312" s="209">
        <f t="shared" si="156"/>
        <v>917.2</v>
      </c>
      <c r="G312" s="112">
        <v>21.0</v>
      </c>
      <c r="H312" s="112">
        <v>8.0</v>
      </c>
      <c r="I312" s="59">
        <v>0.0</v>
      </c>
    </row>
    <row r="313">
      <c r="A313" s="67"/>
      <c r="B313" s="68">
        <f t="shared" ref="B313:I313" si="158">SUM(B308:B312)</f>
        <v>789.31</v>
      </c>
      <c r="C313" s="68">
        <f t="shared" si="158"/>
        <v>1514.21</v>
      </c>
      <c r="D313" s="68">
        <f t="shared" si="158"/>
        <v>3946.55</v>
      </c>
      <c r="E313" s="68">
        <f t="shared" si="158"/>
        <v>620</v>
      </c>
      <c r="F313" s="68">
        <f t="shared" si="158"/>
        <v>6870.07</v>
      </c>
      <c r="G313" s="128">
        <f t="shared" si="158"/>
        <v>124</v>
      </c>
      <c r="H313" s="128">
        <f t="shared" si="158"/>
        <v>31</v>
      </c>
      <c r="I313" s="145">
        <f t="shared" si="158"/>
        <v>640</v>
      </c>
    </row>
    <row r="314">
      <c r="A314" s="74"/>
      <c r="B314" s="75"/>
      <c r="C314" s="75"/>
      <c r="D314" s="75"/>
      <c r="E314" s="75"/>
      <c r="F314" s="75"/>
      <c r="G314" s="75"/>
      <c r="H314" s="75"/>
      <c r="I314" s="74"/>
    </row>
    <row r="315">
      <c r="A315" s="476">
        <f>A312+3</f>
        <v>44865</v>
      </c>
      <c r="B315" s="112"/>
      <c r="C315" s="112"/>
      <c r="D315" s="112"/>
      <c r="E315" s="112"/>
      <c r="F315" s="209">
        <f>SUM(B315:E315)</f>
        <v>0</v>
      </c>
      <c r="G315" s="112"/>
      <c r="H315" s="112"/>
      <c r="I315" s="59"/>
    </row>
    <row r="316">
      <c r="A316" s="67"/>
      <c r="B316" s="68">
        <f t="shared" ref="B316:I316" si="159">SUM(B315)</f>
        <v>0</v>
      </c>
      <c r="C316" s="68">
        <f t="shared" si="159"/>
        <v>0</v>
      </c>
      <c r="D316" s="68">
        <f t="shared" si="159"/>
        <v>0</v>
      </c>
      <c r="E316" s="68">
        <f t="shared" si="159"/>
        <v>0</v>
      </c>
      <c r="F316" s="68">
        <f t="shared" si="159"/>
        <v>0</v>
      </c>
      <c r="G316" s="128">
        <f t="shared" si="159"/>
        <v>0</v>
      </c>
      <c r="H316" s="128">
        <f t="shared" si="159"/>
        <v>0</v>
      </c>
      <c r="I316" s="145">
        <f t="shared" si="159"/>
        <v>0</v>
      </c>
    </row>
    <row r="317">
      <c r="A317" s="74"/>
      <c r="B317" s="75"/>
      <c r="C317" s="75"/>
      <c r="D317" s="75"/>
      <c r="E317" s="75"/>
      <c r="F317" s="75"/>
      <c r="G317" s="75"/>
      <c r="H317" s="75"/>
      <c r="I317" s="74"/>
    </row>
    <row r="318">
      <c r="A318" s="476">
        <v>44866.0</v>
      </c>
      <c r="B318" s="466"/>
      <c r="C318" s="467"/>
      <c r="D318" s="467"/>
      <c r="E318" s="467"/>
      <c r="F318" s="212"/>
      <c r="G318" s="176"/>
      <c r="H318" s="176"/>
      <c r="I318" s="468"/>
    </row>
    <row r="319">
      <c r="A319" s="476">
        <f t="shared" ref="A319:A321" si="160">A318+1</f>
        <v>44867</v>
      </c>
      <c r="B319" s="224">
        <v>200.0</v>
      </c>
      <c r="C319" s="225">
        <v>80.31</v>
      </c>
      <c r="D319" s="225">
        <v>340.0</v>
      </c>
      <c r="E319" s="225">
        <v>50.0</v>
      </c>
      <c r="F319" s="222">
        <f t="shared" ref="F319:F321" si="161">SUM(B319:E319)</f>
        <v>670.31</v>
      </c>
      <c r="G319" s="81">
        <v>13.0</v>
      </c>
      <c r="H319" s="81">
        <v>2.0</v>
      </c>
      <c r="I319" s="226">
        <v>50.0</v>
      </c>
    </row>
    <row r="320">
      <c r="A320" s="476">
        <f t="shared" si="160"/>
        <v>44868</v>
      </c>
      <c r="B320" s="224">
        <v>100.0</v>
      </c>
      <c r="C320" s="225">
        <v>425.58</v>
      </c>
      <c r="D320" s="225">
        <v>619.31</v>
      </c>
      <c r="E320" s="225">
        <v>0.0</v>
      </c>
      <c r="F320" s="222">
        <f t="shared" si="161"/>
        <v>1144.89</v>
      </c>
      <c r="G320" s="81">
        <v>21.0</v>
      </c>
      <c r="H320" s="81">
        <v>8.0</v>
      </c>
      <c r="I320" s="226">
        <v>0.0</v>
      </c>
    </row>
    <row r="321">
      <c r="A321" s="476">
        <f t="shared" si="160"/>
        <v>44869</v>
      </c>
      <c r="B321" s="224">
        <v>50.0</v>
      </c>
      <c r="C321" s="225">
        <v>384.89</v>
      </c>
      <c r="D321" s="225">
        <v>828.62</v>
      </c>
      <c r="E321" s="225">
        <v>50.0</v>
      </c>
      <c r="F321" s="222">
        <f t="shared" si="161"/>
        <v>1313.51</v>
      </c>
      <c r="G321" s="81">
        <v>24.0</v>
      </c>
      <c r="H321" s="81">
        <v>6.0</v>
      </c>
      <c r="I321" s="226">
        <v>50.0</v>
      </c>
    </row>
    <row r="322">
      <c r="A322" s="67"/>
      <c r="B322" s="217">
        <f t="shared" ref="B322:I322" si="162">SUM(B318:B321)</f>
        <v>350</v>
      </c>
      <c r="C322" s="217">
        <f t="shared" si="162"/>
        <v>890.78</v>
      </c>
      <c r="D322" s="217">
        <f t="shared" si="162"/>
        <v>1787.93</v>
      </c>
      <c r="E322" s="217">
        <f t="shared" si="162"/>
        <v>100</v>
      </c>
      <c r="F322" s="217">
        <f t="shared" si="162"/>
        <v>3128.71</v>
      </c>
      <c r="G322" s="218">
        <f t="shared" si="162"/>
        <v>58</v>
      </c>
      <c r="H322" s="218">
        <f t="shared" si="162"/>
        <v>16</v>
      </c>
      <c r="I322" s="217">
        <f t="shared" si="162"/>
        <v>100</v>
      </c>
    </row>
    <row r="323">
      <c r="A323" s="74"/>
      <c r="B323" s="74"/>
      <c r="C323" s="74"/>
      <c r="D323" s="74"/>
      <c r="E323" s="74"/>
      <c r="F323" s="74"/>
      <c r="G323" s="74"/>
      <c r="H323" s="74"/>
      <c r="I323" s="74"/>
    </row>
    <row r="324">
      <c r="A324" s="476">
        <f>A321+3</f>
        <v>44872</v>
      </c>
      <c r="B324" s="227">
        <v>50.0</v>
      </c>
      <c r="C324" s="228">
        <v>466.27</v>
      </c>
      <c r="D324" s="228">
        <v>967.93</v>
      </c>
      <c r="E324" s="228">
        <v>50.0</v>
      </c>
      <c r="F324" s="213">
        <f t="shared" ref="F324:F327" si="163">SUM(B324:E324)</f>
        <v>1534.2</v>
      </c>
      <c r="G324" s="81">
        <v>26.0</v>
      </c>
      <c r="H324" s="81">
        <v>8.0</v>
      </c>
      <c r="I324" s="229">
        <v>50.0</v>
      </c>
    </row>
    <row r="325">
      <c r="A325" s="476">
        <f t="shared" ref="A325:A328" si="164">A324+1</f>
        <v>44873</v>
      </c>
      <c r="B325" s="227">
        <v>0.0</v>
      </c>
      <c r="C325" s="228">
        <v>460.53</v>
      </c>
      <c r="D325" s="228">
        <v>457.93</v>
      </c>
      <c r="E325" s="228">
        <v>50.0</v>
      </c>
      <c r="F325" s="213">
        <f t="shared" si="163"/>
        <v>968.46</v>
      </c>
      <c r="G325" s="81">
        <v>18.0</v>
      </c>
      <c r="H325" s="81">
        <v>9.0</v>
      </c>
      <c r="I325" s="229">
        <v>50.0</v>
      </c>
    </row>
    <row r="326">
      <c r="A326" s="476">
        <f t="shared" si="164"/>
        <v>44874</v>
      </c>
      <c r="B326" s="227">
        <v>150.0</v>
      </c>
      <c r="C326" s="228">
        <v>202.03</v>
      </c>
      <c r="D326" s="228">
        <v>390.0</v>
      </c>
      <c r="E326" s="228">
        <v>0.0</v>
      </c>
      <c r="F326" s="213">
        <f t="shared" si="163"/>
        <v>742.03</v>
      </c>
      <c r="G326" s="81">
        <v>16.0</v>
      </c>
      <c r="H326" s="81">
        <v>5.0</v>
      </c>
      <c r="I326" s="229">
        <v>0.0</v>
      </c>
    </row>
    <row r="327">
      <c r="A327" s="476">
        <f t="shared" si="164"/>
        <v>44875</v>
      </c>
      <c r="B327" s="227">
        <v>230.0</v>
      </c>
      <c r="C327" s="228">
        <v>295.61</v>
      </c>
      <c r="D327" s="228">
        <v>859.31</v>
      </c>
      <c r="E327" s="228">
        <v>150.0</v>
      </c>
      <c r="F327" s="213">
        <f t="shared" si="163"/>
        <v>1534.92</v>
      </c>
      <c r="G327" s="81">
        <v>27.0</v>
      </c>
      <c r="H327" s="81">
        <v>6.0</v>
      </c>
      <c r="I327" s="229">
        <v>150.0</v>
      </c>
    </row>
    <row r="328">
      <c r="A328" s="476">
        <f t="shared" si="164"/>
        <v>44876</v>
      </c>
      <c r="B328" s="230"/>
      <c r="C328" s="231"/>
      <c r="D328" s="231"/>
      <c r="E328" s="231"/>
      <c r="F328" s="233"/>
      <c r="G328" s="84"/>
      <c r="H328" s="84"/>
      <c r="I328" s="232"/>
    </row>
    <row r="329">
      <c r="A329" s="67"/>
      <c r="B329" s="215">
        <f t="shared" ref="B329:I329" si="165">SUM(B324:B328)</f>
        <v>430</v>
      </c>
      <c r="C329" s="215">
        <f t="shared" si="165"/>
        <v>1424.44</v>
      </c>
      <c r="D329" s="215">
        <f t="shared" si="165"/>
        <v>2675.17</v>
      </c>
      <c r="E329" s="215">
        <f t="shared" si="165"/>
        <v>250</v>
      </c>
      <c r="F329" s="216">
        <f t="shared" si="165"/>
        <v>4779.61</v>
      </c>
      <c r="G329" s="218">
        <f t="shared" si="165"/>
        <v>87</v>
      </c>
      <c r="H329" s="218">
        <f t="shared" si="165"/>
        <v>28</v>
      </c>
      <c r="I329" s="217">
        <f t="shared" si="165"/>
        <v>250</v>
      </c>
    </row>
    <row r="330">
      <c r="A330" s="74"/>
      <c r="B330" s="92"/>
      <c r="C330" s="92"/>
      <c r="D330" s="92"/>
      <c r="E330" s="92"/>
      <c r="F330" s="234"/>
      <c r="G330" s="74"/>
      <c r="H330" s="74"/>
      <c r="I330" s="94"/>
    </row>
    <row r="331">
      <c r="A331" s="476">
        <f>A328+3</f>
        <v>44879</v>
      </c>
      <c r="B331" s="220">
        <v>0.0</v>
      </c>
      <c r="C331" s="221">
        <v>112.82</v>
      </c>
      <c r="D331" s="221">
        <v>580.0</v>
      </c>
      <c r="E331" s="221">
        <v>140.0</v>
      </c>
      <c r="F331" s="235">
        <f t="shared" ref="F331:F335" si="166">SUM(B331:E331)</f>
        <v>832.82</v>
      </c>
      <c r="G331" s="59">
        <v>15.0</v>
      </c>
      <c r="H331" s="59">
        <v>3.0</v>
      </c>
      <c r="I331" s="223">
        <v>140.0</v>
      </c>
    </row>
    <row r="332">
      <c r="A332" s="476">
        <f t="shared" ref="A332:A335" si="167">A331+1</f>
        <v>44880</v>
      </c>
      <c r="B332" s="227">
        <v>90.0</v>
      </c>
      <c r="C332" s="228">
        <v>0.0</v>
      </c>
      <c r="D332" s="228">
        <v>720.0</v>
      </c>
      <c r="E332" s="228">
        <v>230.0</v>
      </c>
      <c r="F332" s="235">
        <f t="shared" si="166"/>
        <v>1040</v>
      </c>
      <c r="G332" s="81">
        <v>16.0</v>
      </c>
      <c r="H332" s="81">
        <v>0.0</v>
      </c>
      <c r="I332" s="236">
        <v>210.0</v>
      </c>
    </row>
    <row r="333">
      <c r="A333" s="476">
        <f t="shared" si="167"/>
        <v>44881</v>
      </c>
      <c r="B333" s="227">
        <v>70.0</v>
      </c>
      <c r="C333" s="228">
        <v>240.93</v>
      </c>
      <c r="D333" s="228">
        <v>300.0</v>
      </c>
      <c r="E333" s="228">
        <v>50.0</v>
      </c>
      <c r="F333" s="235">
        <f t="shared" si="166"/>
        <v>660.93</v>
      </c>
      <c r="G333" s="81">
        <v>14.0</v>
      </c>
      <c r="H333" s="81">
        <v>6.0</v>
      </c>
      <c r="I333" s="236">
        <v>50.0</v>
      </c>
    </row>
    <row r="334">
      <c r="A334" s="476">
        <f t="shared" si="167"/>
        <v>44882</v>
      </c>
      <c r="B334" s="227">
        <v>280.0</v>
      </c>
      <c r="C334" s="228">
        <v>406.99</v>
      </c>
      <c r="D334" s="228">
        <v>747.24</v>
      </c>
      <c r="E334" s="228">
        <v>140.0</v>
      </c>
      <c r="F334" s="235">
        <f t="shared" si="166"/>
        <v>1574.23</v>
      </c>
      <c r="G334" s="81">
        <v>24.0</v>
      </c>
      <c r="H334" s="81">
        <v>7.0</v>
      </c>
      <c r="I334" s="236">
        <v>140.0</v>
      </c>
    </row>
    <row r="335">
      <c r="A335" s="476">
        <f t="shared" si="167"/>
        <v>44883</v>
      </c>
      <c r="B335" s="227">
        <v>140.0</v>
      </c>
      <c r="C335" s="228">
        <v>182.79</v>
      </c>
      <c r="D335" s="228">
        <v>979.31</v>
      </c>
      <c r="E335" s="228">
        <v>50.0</v>
      </c>
      <c r="F335" s="235">
        <f t="shared" si="166"/>
        <v>1352.1</v>
      </c>
      <c r="G335" s="81">
        <v>22.0</v>
      </c>
      <c r="H335" s="81">
        <v>3.0</v>
      </c>
      <c r="I335" s="237">
        <v>50.0</v>
      </c>
    </row>
    <row r="336">
      <c r="A336" s="67"/>
      <c r="B336" s="215">
        <f t="shared" ref="B336:I336" si="168">SUM(B331:B335)</f>
        <v>580</v>
      </c>
      <c r="C336" s="215">
        <f t="shared" si="168"/>
        <v>943.53</v>
      </c>
      <c r="D336" s="215">
        <f t="shared" si="168"/>
        <v>3326.55</v>
      </c>
      <c r="E336" s="215">
        <f t="shared" si="168"/>
        <v>610</v>
      </c>
      <c r="F336" s="216">
        <f t="shared" si="168"/>
        <v>5460.08</v>
      </c>
      <c r="G336" s="218">
        <f t="shared" si="168"/>
        <v>91</v>
      </c>
      <c r="H336" s="218">
        <f t="shared" si="168"/>
        <v>19</v>
      </c>
      <c r="I336" s="217">
        <f t="shared" si="168"/>
        <v>590</v>
      </c>
    </row>
    <row r="337">
      <c r="A337" s="74"/>
      <c r="B337" s="92"/>
      <c r="C337" s="92"/>
      <c r="D337" s="92"/>
      <c r="E337" s="92"/>
      <c r="F337" s="234"/>
      <c r="G337" s="94"/>
      <c r="H337" s="94"/>
      <c r="I337" s="94"/>
    </row>
    <row r="338">
      <c r="A338" s="476">
        <f>A335+3</f>
        <v>44886</v>
      </c>
      <c r="B338" s="220">
        <v>100.0</v>
      </c>
      <c r="C338" s="221">
        <v>337.02</v>
      </c>
      <c r="D338" s="221">
        <v>869.31</v>
      </c>
      <c r="E338" s="223">
        <v>100.0</v>
      </c>
      <c r="F338" s="238">
        <f t="shared" ref="F338:F342" si="169">SUM(B338:E338)</f>
        <v>1406.33</v>
      </c>
      <c r="G338" s="98">
        <v>28.0</v>
      </c>
      <c r="H338" s="99">
        <v>7.0</v>
      </c>
      <c r="I338" s="223">
        <v>100.0</v>
      </c>
    </row>
    <row r="339">
      <c r="A339" s="476">
        <f t="shared" ref="A339:A342" si="170">A338+1</f>
        <v>44887</v>
      </c>
      <c r="B339" s="224">
        <v>0.0</v>
      </c>
      <c r="C339" s="225">
        <v>372.69</v>
      </c>
      <c r="D339" s="225">
        <v>910.0</v>
      </c>
      <c r="E339" s="226">
        <v>120.0</v>
      </c>
      <c r="F339" s="238">
        <f t="shared" si="169"/>
        <v>1402.69</v>
      </c>
      <c r="G339" s="103">
        <v>25.0</v>
      </c>
      <c r="H339" s="81">
        <v>9.0</v>
      </c>
      <c r="I339" s="226">
        <v>120.0</v>
      </c>
    </row>
    <row r="340">
      <c r="A340" s="476">
        <f t="shared" si="170"/>
        <v>44888</v>
      </c>
      <c r="B340" s="239">
        <v>150.0</v>
      </c>
      <c r="C340" s="240">
        <v>119.21</v>
      </c>
      <c r="D340" s="240">
        <v>610.0</v>
      </c>
      <c r="E340" s="241">
        <v>0.0</v>
      </c>
      <c r="F340" s="238">
        <f t="shared" si="169"/>
        <v>879.21</v>
      </c>
      <c r="G340" s="242">
        <v>18.0</v>
      </c>
      <c r="H340" s="89">
        <v>3.0</v>
      </c>
      <c r="I340" s="241">
        <v>0.0</v>
      </c>
    </row>
    <row r="341">
      <c r="A341" s="476">
        <f t="shared" si="170"/>
        <v>44889</v>
      </c>
      <c r="B341" s="239">
        <v>200.0</v>
      </c>
      <c r="C341" s="240">
        <v>265.61</v>
      </c>
      <c r="D341" s="240">
        <v>728.62</v>
      </c>
      <c r="E341" s="241">
        <v>150.0</v>
      </c>
      <c r="F341" s="238">
        <f t="shared" si="169"/>
        <v>1344.23</v>
      </c>
      <c r="G341" s="242">
        <v>25.0</v>
      </c>
      <c r="H341" s="89">
        <v>5.0</v>
      </c>
      <c r="I341" s="241">
        <v>150.0</v>
      </c>
    </row>
    <row r="342">
      <c r="A342" s="476">
        <f t="shared" si="170"/>
        <v>44890</v>
      </c>
      <c r="B342" s="239">
        <v>0.0</v>
      </c>
      <c r="C342" s="240">
        <v>265.61</v>
      </c>
      <c r="D342" s="240">
        <v>100.0</v>
      </c>
      <c r="E342" s="241">
        <v>100.0</v>
      </c>
      <c r="F342" s="469">
        <f t="shared" si="169"/>
        <v>465.61</v>
      </c>
      <c r="G342" s="242">
        <v>9.0</v>
      </c>
      <c r="H342" s="89">
        <v>5.0</v>
      </c>
      <c r="I342" s="241">
        <v>100.0</v>
      </c>
    </row>
    <row r="343">
      <c r="A343" s="67"/>
      <c r="B343" s="217">
        <f t="shared" ref="B343:E343" si="171">SUM(B338:B342)</f>
        <v>450</v>
      </c>
      <c r="C343" s="217">
        <f t="shared" si="171"/>
        <v>1360.14</v>
      </c>
      <c r="D343" s="217">
        <f t="shared" si="171"/>
        <v>3217.93</v>
      </c>
      <c r="E343" s="217">
        <f t="shared" si="171"/>
        <v>470</v>
      </c>
      <c r="F343" s="216">
        <f>SUM(F337:F342)</f>
        <v>5498.07</v>
      </c>
      <c r="G343" s="218">
        <f t="shared" ref="G343:I343" si="172">SUM(G338:G342)</f>
        <v>105</v>
      </c>
      <c r="H343" s="218">
        <f t="shared" si="172"/>
        <v>29</v>
      </c>
      <c r="I343" s="217">
        <f t="shared" si="172"/>
        <v>470</v>
      </c>
    </row>
    <row r="344">
      <c r="A344" s="74"/>
      <c r="B344" s="74"/>
      <c r="C344" s="74"/>
      <c r="D344" s="74"/>
      <c r="E344" s="74"/>
      <c r="F344" s="234"/>
      <c r="G344" s="74"/>
      <c r="H344" s="74"/>
      <c r="I344" s="74"/>
    </row>
    <row r="345">
      <c r="A345" s="476">
        <f>A342+3</f>
        <v>44893</v>
      </c>
      <c r="B345" s="227">
        <v>0.0</v>
      </c>
      <c r="C345" s="470">
        <v>212.79</v>
      </c>
      <c r="D345" s="470">
        <v>590.0</v>
      </c>
      <c r="E345" s="227">
        <v>119.31</v>
      </c>
      <c r="F345" s="60">
        <f t="shared" ref="F345:F347" si="173">SUM(B345:E345)</f>
        <v>922.1</v>
      </c>
      <c r="G345" s="112">
        <v>16.0</v>
      </c>
      <c r="H345" s="59">
        <v>4.0</v>
      </c>
      <c r="I345" s="229">
        <v>120.0</v>
      </c>
    </row>
    <row r="346">
      <c r="A346" s="476">
        <f t="shared" ref="A346:A347" si="174">A345+1</f>
        <v>44894</v>
      </c>
      <c r="B346" s="239">
        <v>100.0</v>
      </c>
      <c r="C346" s="240">
        <v>365.58</v>
      </c>
      <c r="D346" s="240">
        <v>568.62</v>
      </c>
      <c r="E346" s="239">
        <v>0.0</v>
      </c>
      <c r="F346" s="139">
        <f t="shared" si="173"/>
        <v>1034.2</v>
      </c>
      <c r="G346" s="242">
        <v>17.0</v>
      </c>
      <c r="H346" s="89">
        <v>6.0</v>
      </c>
      <c r="I346" s="241">
        <v>0.0</v>
      </c>
    </row>
    <row r="347">
      <c r="A347" s="476">
        <f t="shared" si="174"/>
        <v>44895</v>
      </c>
      <c r="B347" s="247">
        <v>50.0</v>
      </c>
      <c r="C347" s="81">
        <v>245.95</v>
      </c>
      <c r="D347" s="81">
        <v>370.0</v>
      </c>
      <c r="E347" s="81">
        <v>0.0</v>
      </c>
      <c r="F347" s="60">
        <f t="shared" si="173"/>
        <v>665.95</v>
      </c>
      <c r="G347" s="81">
        <v>14.0</v>
      </c>
      <c r="H347" s="81">
        <v>6.0</v>
      </c>
      <c r="I347" s="83">
        <v>0.0</v>
      </c>
    </row>
    <row r="348">
      <c r="A348" s="67"/>
      <c r="B348" s="215">
        <f t="shared" ref="B348:I348" si="175">SUM(B345:B347)</f>
        <v>150</v>
      </c>
      <c r="C348" s="471">
        <f t="shared" si="175"/>
        <v>824.32</v>
      </c>
      <c r="D348" s="471">
        <f t="shared" si="175"/>
        <v>1528.62</v>
      </c>
      <c r="E348" s="471">
        <f t="shared" si="175"/>
        <v>119.31</v>
      </c>
      <c r="F348" s="471">
        <f t="shared" si="175"/>
        <v>2622.25</v>
      </c>
      <c r="G348" s="133">
        <f t="shared" si="175"/>
        <v>47</v>
      </c>
      <c r="H348" s="133">
        <f t="shared" si="175"/>
        <v>16</v>
      </c>
      <c r="I348" s="472">
        <f t="shared" si="175"/>
        <v>120</v>
      </c>
    </row>
    <row r="349">
      <c r="A349" s="74"/>
      <c r="B349" s="75"/>
      <c r="C349" s="136"/>
      <c r="D349" s="136"/>
      <c r="E349" s="136"/>
      <c r="F349" s="136"/>
      <c r="G349" s="136"/>
      <c r="H349" s="136"/>
      <c r="I349" s="137"/>
    </row>
    <row r="350">
      <c r="A350" s="476">
        <v>44896.0</v>
      </c>
      <c r="B350" s="247">
        <v>140.0</v>
      </c>
      <c r="C350" s="81">
        <v>294.89</v>
      </c>
      <c r="D350" s="81">
        <v>697.93</v>
      </c>
      <c r="E350" s="81">
        <v>50.0</v>
      </c>
      <c r="F350" s="60">
        <f t="shared" ref="F350:F351" si="176">SUM(B350:E350)</f>
        <v>1182.82</v>
      </c>
      <c r="G350" s="81">
        <v>23.0</v>
      </c>
      <c r="H350" s="81">
        <v>5.0</v>
      </c>
      <c r="I350" s="83">
        <v>50.0</v>
      </c>
    </row>
    <row r="351">
      <c r="A351" s="476">
        <f>A350+1</f>
        <v>44897</v>
      </c>
      <c r="B351" s="81">
        <v>50.0</v>
      </c>
      <c r="C351" s="81">
        <v>233.82</v>
      </c>
      <c r="D351" s="81">
        <v>649.31</v>
      </c>
      <c r="E351" s="81">
        <v>50.0</v>
      </c>
      <c r="F351" s="60">
        <f t="shared" si="176"/>
        <v>983.13</v>
      </c>
      <c r="G351" s="81">
        <v>20.0</v>
      </c>
      <c r="H351" s="81">
        <v>5.0</v>
      </c>
      <c r="I351" s="83">
        <v>50.0</v>
      </c>
    </row>
    <row r="352">
      <c r="A352" s="67"/>
      <c r="B352" s="68">
        <f t="shared" ref="B352:I352" si="177">SUM(B350:B351)</f>
        <v>190</v>
      </c>
      <c r="C352" s="68">
        <f t="shared" si="177"/>
        <v>528.71</v>
      </c>
      <c r="D352" s="68">
        <f t="shared" si="177"/>
        <v>1347.24</v>
      </c>
      <c r="E352" s="68">
        <f t="shared" si="177"/>
        <v>100</v>
      </c>
      <c r="F352" s="68">
        <f t="shared" si="177"/>
        <v>2165.95</v>
      </c>
      <c r="G352" s="70">
        <f t="shared" si="177"/>
        <v>43</v>
      </c>
      <c r="H352" s="70">
        <f t="shared" si="177"/>
        <v>10</v>
      </c>
      <c r="I352" s="91">
        <f t="shared" si="177"/>
        <v>100</v>
      </c>
    </row>
    <row r="353">
      <c r="A353" s="74"/>
      <c r="B353" s="75"/>
      <c r="C353" s="75"/>
      <c r="D353" s="75"/>
      <c r="E353" s="75"/>
      <c r="F353" s="75"/>
      <c r="G353" s="76"/>
      <c r="H353" s="76"/>
      <c r="I353" s="74"/>
    </row>
    <row r="354">
      <c r="A354" s="476">
        <f>A351+3</f>
        <v>44900</v>
      </c>
      <c r="B354" s="59">
        <v>70.0</v>
      </c>
      <c r="C354" s="59">
        <v>519.09</v>
      </c>
      <c r="D354" s="59">
        <v>977.24</v>
      </c>
      <c r="E354" s="59">
        <v>0.0</v>
      </c>
      <c r="F354" s="60">
        <f t="shared" ref="F354:F358" si="178">SUM(B354:E354)</f>
        <v>1566.33</v>
      </c>
      <c r="G354" s="59">
        <v>26.0</v>
      </c>
      <c r="H354" s="59">
        <v>9.0</v>
      </c>
      <c r="I354" s="61">
        <v>0.0</v>
      </c>
    </row>
    <row r="355">
      <c r="A355" s="476">
        <f t="shared" ref="A355:A358" si="179">A354+1</f>
        <v>44901</v>
      </c>
      <c r="B355" s="59">
        <v>50.0</v>
      </c>
      <c r="C355" s="59">
        <v>182.79</v>
      </c>
      <c r="D355" s="59">
        <v>548.62</v>
      </c>
      <c r="E355" s="59">
        <v>0.0</v>
      </c>
      <c r="F355" s="141">
        <f t="shared" si="178"/>
        <v>781.41</v>
      </c>
      <c r="G355" s="124">
        <v>13.0</v>
      </c>
      <c r="H355" s="124">
        <v>3.0</v>
      </c>
      <c r="I355" s="61">
        <v>0.0</v>
      </c>
    </row>
    <row r="356">
      <c r="A356" s="476">
        <f t="shared" si="179"/>
        <v>44902</v>
      </c>
      <c r="B356" s="59">
        <v>100.0</v>
      </c>
      <c r="C356" s="59">
        <v>116.7</v>
      </c>
      <c r="D356" s="59">
        <v>570.0</v>
      </c>
      <c r="E356" s="59">
        <v>70.0</v>
      </c>
      <c r="F356" s="141">
        <f t="shared" si="178"/>
        <v>856.7</v>
      </c>
      <c r="G356" s="124">
        <v>18.0</v>
      </c>
      <c r="H356" s="124">
        <v>3.0</v>
      </c>
      <c r="I356" s="61">
        <v>70.0</v>
      </c>
    </row>
    <row r="357">
      <c r="A357" s="476">
        <f t="shared" si="179"/>
        <v>44903</v>
      </c>
      <c r="B357" s="59">
        <v>170.0</v>
      </c>
      <c r="C357" s="59">
        <v>142.1</v>
      </c>
      <c r="D357" s="59">
        <v>899.31</v>
      </c>
      <c r="E357" s="59">
        <v>150.0</v>
      </c>
      <c r="F357" s="141">
        <f t="shared" si="178"/>
        <v>1361.41</v>
      </c>
      <c r="G357" s="59">
        <v>26.0</v>
      </c>
      <c r="H357" s="59">
        <v>3.0</v>
      </c>
      <c r="I357" s="61">
        <v>150.0</v>
      </c>
    </row>
    <row r="358">
      <c r="A358" s="476">
        <f t="shared" si="179"/>
        <v>44904</v>
      </c>
      <c r="B358" s="59">
        <v>90.0</v>
      </c>
      <c r="C358" s="59">
        <v>254.2</v>
      </c>
      <c r="D358" s="59">
        <v>738.62</v>
      </c>
      <c r="E358" s="59">
        <v>140.0</v>
      </c>
      <c r="F358" s="141">
        <f t="shared" si="178"/>
        <v>1222.82</v>
      </c>
      <c r="G358" s="59">
        <v>20.0</v>
      </c>
      <c r="H358" s="59">
        <v>5.0</v>
      </c>
      <c r="I358" s="61">
        <v>150.0</v>
      </c>
    </row>
    <row r="359">
      <c r="A359" s="67"/>
      <c r="B359" s="68">
        <f t="shared" ref="B359:I359" si="180">SUM(B354:B358)</f>
        <v>480</v>
      </c>
      <c r="C359" s="68">
        <f t="shared" si="180"/>
        <v>1214.88</v>
      </c>
      <c r="D359" s="68">
        <f t="shared" si="180"/>
        <v>3733.79</v>
      </c>
      <c r="E359" s="68">
        <f t="shared" si="180"/>
        <v>360</v>
      </c>
      <c r="F359" s="249">
        <f t="shared" si="180"/>
        <v>5788.67</v>
      </c>
      <c r="G359" s="218">
        <f t="shared" si="180"/>
        <v>103</v>
      </c>
      <c r="H359" s="140">
        <f t="shared" si="180"/>
        <v>23</v>
      </c>
      <c r="I359" s="91">
        <f t="shared" si="180"/>
        <v>370</v>
      </c>
    </row>
    <row r="360">
      <c r="A360" s="74"/>
      <c r="B360" s="75"/>
      <c r="C360" s="75"/>
      <c r="D360" s="75"/>
      <c r="E360" s="75"/>
      <c r="F360" s="234"/>
      <c r="G360" s="74"/>
      <c r="H360" s="75"/>
      <c r="I360" s="74"/>
    </row>
    <row r="361">
      <c r="A361" s="476">
        <f>A358+3</f>
        <v>44907</v>
      </c>
      <c r="B361" s="59">
        <v>0.0</v>
      </c>
      <c r="C361" s="59">
        <v>224.2</v>
      </c>
      <c r="D361" s="59">
        <v>639.31</v>
      </c>
      <c r="E361" s="59">
        <v>0.0</v>
      </c>
      <c r="F361" s="141">
        <f t="shared" ref="F361:F365" si="181">SUM(B361:E361)</f>
        <v>863.51</v>
      </c>
      <c r="G361" s="59">
        <v>14.0</v>
      </c>
      <c r="H361" s="59">
        <v>4.0</v>
      </c>
      <c r="I361" s="61">
        <v>0.0</v>
      </c>
    </row>
    <row r="362">
      <c r="A362" s="476">
        <f t="shared" ref="A362:A365" si="182">A361+1</f>
        <v>44908</v>
      </c>
      <c r="B362" s="81">
        <v>50.0</v>
      </c>
      <c r="C362" s="81">
        <v>254.2</v>
      </c>
      <c r="D362" s="81">
        <v>350.0</v>
      </c>
      <c r="E362" s="81">
        <v>19.31</v>
      </c>
      <c r="F362" s="60">
        <f t="shared" si="181"/>
        <v>673.51</v>
      </c>
      <c r="G362" s="81">
        <v>13.0</v>
      </c>
      <c r="H362" s="81">
        <v>5.0</v>
      </c>
      <c r="I362" s="83">
        <v>15.0</v>
      </c>
    </row>
    <row r="363">
      <c r="A363" s="476">
        <f t="shared" si="182"/>
        <v>44909</v>
      </c>
      <c r="B363" s="81">
        <v>150.0</v>
      </c>
      <c r="C363" s="81">
        <v>202.03</v>
      </c>
      <c r="D363" s="81">
        <v>460.0</v>
      </c>
      <c r="E363" s="81">
        <v>70.0</v>
      </c>
      <c r="F363" s="60">
        <f t="shared" si="181"/>
        <v>882.03</v>
      </c>
      <c r="G363" s="81">
        <v>17.0</v>
      </c>
      <c r="H363" s="81">
        <v>5.0</v>
      </c>
      <c r="I363" s="83">
        <v>70.0</v>
      </c>
    </row>
    <row r="364">
      <c r="A364" s="476">
        <f t="shared" si="182"/>
        <v>44910</v>
      </c>
      <c r="B364" s="81">
        <v>150.0</v>
      </c>
      <c r="C364" s="81">
        <v>419.12</v>
      </c>
      <c r="D364" s="81">
        <v>728.62</v>
      </c>
      <c r="E364" s="81">
        <v>140.0</v>
      </c>
      <c r="F364" s="60">
        <f t="shared" si="181"/>
        <v>1437.74</v>
      </c>
      <c r="G364" s="81">
        <v>26.0</v>
      </c>
      <c r="H364" s="81">
        <v>8.0</v>
      </c>
      <c r="I364" s="83">
        <v>150.0</v>
      </c>
    </row>
    <row r="365">
      <c r="A365" s="476">
        <f t="shared" si="182"/>
        <v>44911</v>
      </c>
      <c r="B365" s="81">
        <v>120.0</v>
      </c>
      <c r="C365" s="81">
        <v>70.69</v>
      </c>
      <c r="D365" s="81">
        <v>809.31</v>
      </c>
      <c r="E365" s="81">
        <v>0.0</v>
      </c>
      <c r="F365" s="60">
        <f t="shared" si="181"/>
        <v>1000</v>
      </c>
      <c r="G365" s="81">
        <v>15.0</v>
      </c>
      <c r="H365" s="81">
        <v>1.0</v>
      </c>
      <c r="I365" s="83">
        <v>0.0</v>
      </c>
    </row>
    <row r="366">
      <c r="A366" s="67"/>
      <c r="B366" s="68">
        <f t="shared" ref="B366:I366" si="183">SUM(B361:B365)</f>
        <v>470</v>
      </c>
      <c r="C366" s="68">
        <f t="shared" si="183"/>
        <v>1170.24</v>
      </c>
      <c r="D366" s="68">
        <f t="shared" si="183"/>
        <v>2987.24</v>
      </c>
      <c r="E366" s="68">
        <f t="shared" si="183"/>
        <v>229.31</v>
      </c>
      <c r="F366" s="68">
        <f t="shared" si="183"/>
        <v>4856.79</v>
      </c>
      <c r="G366" s="70">
        <f t="shared" si="183"/>
        <v>85</v>
      </c>
      <c r="H366" s="70">
        <f t="shared" si="183"/>
        <v>23</v>
      </c>
      <c r="I366" s="91">
        <f t="shared" si="183"/>
        <v>235</v>
      </c>
    </row>
    <row r="367">
      <c r="A367" s="74"/>
      <c r="B367" s="75"/>
      <c r="C367" s="75"/>
      <c r="D367" s="75"/>
      <c r="E367" s="75"/>
      <c r="F367" s="75"/>
      <c r="G367" s="76"/>
      <c r="H367" s="76"/>
      <c r="I367" s="74"/>
    </row>
    <row r="368">
      <c r="A368" s="476">
        <f>A365+3</f>
        <v>44914</v>
      </c>
      <c r="B368" s="59">
        <v>70.0</v>
      </c>
      <c r="C368" s="59">
        <v>236.33</v>
      </c>
      <c r="D368" s="59">
        <v>1110.0</v>
      </c>
      <c r="E368" s="59">
        <v>270.0</v>
      </c>
      <c r="F368" s="141">
        <f t="shared" ref="F368:F372" si="184">SUM(B368:E368)</f>
        <v>1686.33</v>
      </c>
      <c r="G368" s="59">
        <v>30.0</v>
      </c>
      <c r="H368" s="59">
        <v>5.0</v>
      </c>
      <c r="I368" s="61">
        <v>270.0</v>
      </c>
    </row>
    <row r="369">
      <c r="A369" s="476">
        <f t="shared" ref="A369:A372" si="185">A368+1</f>
        <v>44915</v>
      </c>
      <c r="B369" s="59">
        <v>200.0</v>
      </c>
      <c r="C369" s="59">
        <v>154.23</v>
      </c>
      <c r="D369" s="59">
        <v>500.0</v>
      </c>
      <c r="E369" s="59">
        <v>200.0</v>
      </c>
      <c r="F369" s="141">
        <f t="shared" si="184"/>
        <v>1054.23</v>
      </c>
      <c r="G369" s="59">
        <v>22.0</v>
      </c>
      <c r="H369" s="59">
        <v>4.0</v>
      </c>
      <c r="I369" s="61">
        <v>250.0</v>
      </c>
    </row>
    <row r="370">
      <c r="A370" s="476">
        <f t="shared" si="185"/>
        <v>44916</v>
      </c>
      <c r="B370" s="59">
        <v>50.0</v>
      </c>
      <c r="C370" s="59">
        <v>267.7</v>
      </c>
      <c r="D370" s="59">
        <v>679.31</v>
      </c>
      <c r="E370" s="59">
        <v>0.0</v>
      </c>
      <c r="F370" s="141">
        <f t="shared" si="184"/>
        <v>997.01</v>
      </c>
      <c r="G370" s="59">
        <v>20.0</v>
      </c>
      <c r="H370" s="59">
        <v>6.0</v>
      </c>
      <c r="I370" s="61">
        <v>0.0</v>
      </c>
    </row>
    <row r="371">
      <c r="A371" s="476">
        <f t="shared" si="185"/>
        <v>44917</v>
      </c>
      <c r="B371" s="138"/>
      <c r="C371" s="138"/>
      <c r="D371" s="138"/>
      <c r="E371" s="138"/>
      <c r="F371" s="151">
        <f t="shared" si="184"/>
        <v>0</v>
      </c>
      <c r="G371" s="138"/>
      <c r="H371" s="138"/>
      <c r="I371" s="146"/>
    </row>
    <row r="372">
      <c r="A372" s="476">
        <f t="shared" si="185"/>
        <v>44918</v>
      </c>
      <c r="B372" s="84"/>
      <c r="C372" s="84"/>
      <c r="D372" s="84"/>
      <c r="E372" s="84"/>
      <c r="F372" s="85">
        <f t="shared" si="184"/>
        <v>0</v>
      </c>
      <c r="G372" s="84"/>
      <c r="H372" s="84"/>
      <c r="I372" s="86"/>
    </row>
    <row r="373">
      <c r="A373" s="67"/>
      <c r="B373" s="68">
        <f t="shared" ref="B373:I373" si="186">SUM(B368:B372)</f>
        <v>320</v>
      </c>
      <c r="C373" s="68">
        <f t="shared" si="186"/>
        <v>658.26</v>
      </c>
      <c r="D373" s="68">
        <f t="shared" si="186"/>
        <v>2289.31</v>
      </c>
      <c r="E373" s="68">
        <f t="shared" si="186"/>
        <v>470</v>
      </c>
      <c r="F373" s="68">
        <f t="shared" si="186"/>
        <v>3737.57</v>
      </c>
      <c r="G373" s="70">
        <f t="shared" si="186"/>
        <v>72</v>
      </c>
      <c r="H373" s="70">
        <f t="shared" si="186"/>
        <v>15</v>
      </c>
      <c r="I373" s="68">
        <f t="shared" si="186"/>
        <v>520</v>
      </c>
    </row>
    <row r="374">
      <c r="A374" s="74"/>
      <c r="B374" s="75"/>
      <c r="C374" s="75"/>
      <c r="D374" s="75"/>
      <c r="E374" s="75"/>
      <c r="F374" s="75"/>
      <c r="G374" s="76"/>
      <c r="H374" s="76"/>
      <c r="I374" s="75"/>
    </row>
    <row r="375">
      <c r="A375" s="476">
        <f>A372+3</f>
        <v>44921</v>
      </c>
      <c r="B375" s="84"/>
      <c r="C375" s="84"/>
      <c r="D375" s="84"/>
      <c r="E375" s="84"/>
      <c r="F375" s="85">
        <f t="shared" ref="F375:F378" si="187">SUM(B375:E375)</f>
        <v>0</v>
      </c>
      <c r="G375" s="84"/>
      <c r="H375" s="84"/>
      <c r="I375" s="86"/>
    </row>
    <row r="376">
      <c r="A376" s="476">
        <f t="shared" ref="A376:A378" si="188">A375+1</f>
        <v>44922</v>
      </c>
      <c r="B376" s="84"/>
      <c r="C376" s="84"/>
      <c r="D376" s="84"/>
      <c r="E376" s="84"/>
      <c r="F376" s="85">
        <f t="shared" si="187"/>
        <v>0</v>
      </c>
      <c r="G376" s="84"/>
      <c r="H376" s="84"/>
      <c r="I376" s="86"/>
    </row>
    <row r="377">
      <c r="A377" s="476">
        <f t="shared" si="188"/>
        <v>44923</v>
      </c>
      <c r="B377" s="84"/>
      <c r="C377" s="84"/>
      <c r="D377" s="84"/>
      <c r="E377" s="84"/>
      <c r="F377" s="85">
        <f t="shared" si="187"/>
        <v>0</v>
      </c>
      <c r="G377" s="84"/>
      <c r="H377" s="84"/>
      <c r="I377" s="86"/>
    </row>
    <row r="378">
      <c r="A378" s="476">
        <f t="shared" si="188"/>
        <v>44924</v>
      </c>
      <c r="B378" s="84"/>
      <c r="C378" s="84"/>
      <c r="D378" s="84"/>
      <c r="E378" s="84"/>
      <c r="F378" s="85">
        <f t="shared" si="187"/>
        <v>0</v>
      </c>
      <c r="G378" s="84"/>
      <c r="H378" s="84"/>
      <c r="I378" s="86"/>
    </row>
    <row r="379">
      <c r="A379" s="474"/>
      <c r="B379" s="68">
        <f t="shared" ref="B379:I379" si="189">SUM(B375:B378)</f>
        <v>0</v>
      </c>
      <c r="C379" s="68">
        <f t="shared" si="189"/>
        <v>0</v>
      </c>
      <c r="D379" s="68">
        <f t="shared" si="189"/>
        <v>0</v>
      </c>
      <c r="E379" s="68">
        <f t="shared" si="189"/>
        <v>0</v>
      </c>
      <c r="F379" s="68">
        <f t="shared" si="189"/>
        <v>0</v>
      </c>
      <c r="G379" s="70">
        <f t="shared" si="189"/>
        <v>0</v>
      </c>
      <c r="H379" s="70">
        <f t="shared" si="189"/>
        <v>0</v>
      </c>
      <c r="I379" s="68">
        <f t="shared" si="189"/>
        <v>0</v>
      </c>
    </row>
    <row r="380">
      <c r="A380" s="475"/>
      <c r="B380" s="75"/>
      <c r="C380" s="75"/>
      <c r="D380" s="75"/>
      <c r="E380" s="75"/>
      <c r="F380" s="75"/>
      <c r="G380" s="76"/>
      <c r="H380" s="76"/>
      <c r="I380" s="75"/>
    </row>
  </sheetData>
  <mergeCells count="551">
    <mergeCell ref="L3:M3"/>
    <mergeCell ref="A7:A8"/>
    <mergeCell ref="B7:B8"/>
    <mergeCell ref="C7:C8"/>
    <mergeCell ref="D7:D8"/>
    <mergeCell ref="E7:E8"/>
    <mergeCell ref="F7:F8"/>
    <mergeCell ref="I7:I8"/>
    <mergeCell ref="G14:G15"/>
    <mergeCell ref="H14:H15"/>
    <mergeCell ref="L20:M20"/>
    <mergeCell ref="G7:G8"/>
    <mergeCell ref="H7:H8"/>
    <mergeCell ref="L12:M12"/>
    <mergeCell ref="A14:A15"/>
    <mergeCell ref="B14:B15"/>
    <mergeCell ref="C14:C15"/>
    <mergeCell ref="D14:D15"/>
    <mergeCell ref="I14:I15"/>
    <mergeCell ref="F21:F22"/>
    <mergeCell ref="G21:G22"/>
    <mergeCell ref="H21:H22"/>
    <mergeCell ref="I21:I22"/>
    <mergeCell ref="E14:E15"/>
    <mergeCell ref="F14:F15"/>
    <mergeCell ref="A21:A22"/>
    <mergeCell ref="B21:B22"/>
    <mergeCell ref="C21:C22"/>
    <mergeCell ref="D21:D22"/>
    <mergeCell ref="E21:E22"/>
    <mergeCell ref="H28:H29"/>
    <mergeCell ref="I28:I29"/>
    <mergeCell ref="L29:M29"/>
    <mergeCell ref="A28:A29"/>
    <mergeCell ref="B28:B29"/>
    <mergeCell ref="C28:C29"/>
    <mergeCell ref="D28:D29"/>
    <mergeCell ref="E28:E29"/>
    <mergeCell ref="F28:F29"/>
    <mergeCell ref="G28:G29"/>
    <mergeCell ref="H58:H59"/>
    <mergeCell ref="I58:I59"/>
    <mergeCell ref="A58:A59"/>
    <mergeCell ref="B58:B59"/>
    <mergeCell ref="C58:C59"/>
    <mergeCell ref="D58:D59"/>
    <mergeCell ref="E58:E59"/>
    <mergeCell ref="F58:F59"/>
    <mergeCell ref="G58:G59"/>
    <mergeCell ref="H61:H62"/>
    <mergeCell ref="I61:I62"/>
    <mergeCell ref="L65:M65"/>
    <mergeCell ref="A61:A62"/>
    <mergeCell ref="B61:B62"/>
    <mergeCell ref="C61:C62"/>
    <mergeCell ref="D61:D62"/>
    <mergeCell ref="E61:E62"/>
    <mergeCell ref="F61:F62"/>
    <mergeCell ref="G61:G62"/>
    <mergeCell ref="H67:H68"/>
    <mergeCell ref="I67:I68"/>
    <mergeCell ref="A67:A68"/>
    <mergeCell ref="B67:B68"/>
    <mergeCell ref="C67:C68"/>
    <mergeCell ref="D67:D68"/>
    <mergeCell ref="E67:E68"/>
    <mergeCell ref="F67:F68"/>
    <mergeCell ref="G67:G68"/>
    <mergeCell ref="H74:H75"/>
    <mergeCell ref="I74:I75"/>
    <mergeCell ref="L74:M74"/>
    <mergeCell ref="A74:A75"/>
    <mergeCell ref="B74:B75"/>
    <mergeCell ref="C74:C75"/>
    <mergeCell ref="D74:D75"/>
    <mergeCell ref="E74:E75"/>
    <mergeCell ref="F74:F75"/>
    <mergeCell ref="G74:G75"/>
    <mergeCell ref="H81:H82"/>
    <mergeCell ref="I81:I82"/>
    <mergeCell ref="L83:M83"/>
    <mergeCell ref="A81:A82"/>
    <mergeCell ref="B81:B82"/>
    <mergeCell ref="C81:C82"/>
    <mergeCell ref="D81:D82"/>
    <mergeCell ref="E81:E82"/>
    <mergeCell ref="F81:F82"/>
    <mergeCell ref="G81:G82"/>
    <mergeCell ref="H88:H89"/>
    <mergeCell ref="I88:I89"/>
    <mergeCell ref="L92:M92"/>
    <mergeCell ref="A88:A89"/>
    <mergeCell ref="B88:B89"/>
    <mergeCell ref="C88:C89"/>
    <mergeCell ref="D88:D89"/>
    <mergeCell ref="E88:E89"/>
    <mergeCell ref="F88:F89"/>
    <mergeCell ref="G88:G89"/>
    <mergeCell ref="H94:H95"/>
    <mergeCell ref="I94:I95"/>
    <mergeCell ref="A94:A95"/>
    <mergeCell ref="B94:B95"/>
    <mergeCell ref="C94:C95"/>
    <mergeCell ref="D94:D95"/>
    <mergeCell ref="E94:E95"/>
    <mergeCell ref="F94:F95"/>
    <mergeCell ref="G94:G95"/>
    <mergeCell ref="H97:H98"/>
    <mergeCell ref="I97:I98"/>
    <mergeCell ref="L101:M101"/>
    <mergeCell ref="A97:A98"/>
    <mergeCell ref="B97:B98"/>
    <mergeCell ref="C97:C98"/>
    <mergeCell ref="D97:D98"/>
    <mergeCell ref="E97:E98"/>
    <mergeCell ref="F97:F98"/>
    <mergeCell ref="G97:G98"/>
    <mergeCell ref="H104:H105"/>
    <mergeCell ref="I104:I105"/>
    <mergeCell ref="A104:A105"/>
    <mergeCell ref="B104:B105"/>
    <mergeCell ref="C104:C105"/>
    <mergeCell ref="D104:D105"/>
    <mergeCell ref="E104:E105"/>
    <mergeCell ref="F104:F105"/>
    <mergeCell ref="G104:G105"/>
    <mergeCell ref="H111:H112"/>
    <mergeCell ref="I111:I112"/>
    <mergeCell ref="A111:A112"/>
    <mergeCell ref="B111:B112"/>
    <mergeCell ref="C111:C112"/>
    <mergeCell ref="D111:D112"/>
    <mergeCell ref="E111:E112"/>
    <mergeCell ref="F111:F112"/>
    <mergeCell ref="G111:G112"/>
    <mergeCell ref="H118:H119"/>
    <mergeCell ref="I118:I119"/>
    <mergeCell ref="A118:A119"/>
    <mergeCell ref="B118:B119"/>
    <mergeCell ref="C118:C119"/>
    <mergeCell ref="D118:D119"/>
    <mergeCell ref="E118:E119"/>
    <mergeCell ref="F118:F119"/>
    <mergeCell ref="G118:G119"/>
    <mergeCell ref="H125:H126"/>
    <mergeCell ref="I125:I126"/>
    <mergeCell ref="A125:A126"/>
    <mergeCell ref="B125:B126"/>
    <mergeCell ref="C125:C126"/>
    <mergeCell ref="D125:D126"/>
    <mergeCell ref="E125:E126"/>
    <mergeCell ref="F125:F126"/>
    <mergeCell ref="G125:G126"/>
    <mergeCell ref="H132:H133"/>
    <mergeCell ref="I132:I133"/>
    <mergeCell ref="A132:A133"/>
    <mergeCell ref="B132:B133"/>
    <mergeCell ref="C132:C133"/>
    <mergeCell ref="D132:D133"/>
    <mergeCell ref="E132:E133"/>
    <mergeCell ref="F132:F133"/>
    <mergeCell ref="G132:G133"/>
    <mergeCell ref="H139:H140"/>
    <mergeCell ref="I139:I140"/>
    <mergeCell ref="A139:A140"/>
    <mergeCell ref="B139:B140"/>
    <mergeCell ref="C139:C140"/>
    <mergeCell ref="D139:D140"/>
    <mergeCell ref="E139:E140"/>
    <mergeCell ref="F139:F140"/>
    <mergeCell ref="G139:G140"/>
    <mergeCell ref="H146:H147"/>
    <mergeCell ref="I146:I147"/>
    <mergeCell ref="A146:A147"/>
    <mergeCell ref="B146:B147"/>
    <mergeCell ref="C146:C147"/>
    <mergeCell ref="D146:D147"/>
    <mergeCell ref="E146:E147"/>
    <mergeCell ref="F146:F147"/>
    <mergeCell ref="G146:G147"/>
    <mergeCell ref="H153:H154"/>
    <mergeCell ref="I153:I154"/>
    <mergeCell ref="A153:A154"/>
    <mergeCell ref="B153:B154"/>
    <mergeCell ref="C153:C154"/>
    <mergeCell ref="D153:D154"/>
    <mergeCell ref="E153:E154"/>
    <mergeCell ref="F153:F154"/>
    <mergeCell ref="G153:G154"/>
    <mergeCell ref="H157:H158"/>
    <mergeCell ref="I157:I158"/>
    <mergeCell ref="A157:A158"/>
    <mergeCell ref="B157:B158"/>
    <mergeCell ref="C157:C158"/>
    <mergeCell ref="D157:D158"/>
    <mergeCell ref="E157:E158"/>
    <mergeCell ref="F157:F158"/>
    <mergeCell ref="G157:G158"/>
    <mergeCell ref="H162:H163"/>
    <mergeCell ref="I162:I163"/>
    <mergeCell ref="A162:A163"/>
    <mergeCell ref="B162:B163"/>
    <mergeCell ref="C162:C163"/>
    <mergeCell ref="D162:D163"/>
    <mergeCell ref="E162:E163"/>
    <mergeCell ref="F162:F163"/>
    <mergeCell ref="G162:G163"/>
    <mergeCell ref="H169:H170"/>
    <mergeCell ref="I169:I170"/>
    <mergeCell ref="A169:A170"/>
    <mergeCell ref="B169:B170"/>
    <mergeCell ref="C169:C170"/>
    <mergeCell ref="D169:D170"/>
    <mergeCell ref="E169:E170"/>
    <mergeCell ref="F169:F170"/>
    <mergeCell ref="G169:G170"/>
    <mergeCell ref="H176:H177"/>
    <mergeCell ref="I176:I177"/>
    <mergeCell ref="A176:A177"/>
    <mergeCell ref="B176:B177"/>
    <mergeCell ref="C176:C177"/>
    <mergeCell ref="D176:D177"/>
    <mergeCell ref="E176:E177"/>
    <mergeCell ref="F176:F177"/>
    <mergeCell ref="G176:G177"/>
    <mergeCell ref="H51:H52"/>
    <mergeCell ref="I51:I52"/>
    <mergeCell ref="L56:M56"/>
    <mergeCell ref="A51:A52"/>
    <mergeCell ref="B51:B52"/>
    <mergeCell ref="C51:C52"/>
    <mergeCell ref="D51:D52"/>
    <mergeCell ref="E51:E52"/>
    <mergeCell ref="F51:F52"/>
    <mergeCell ref="G51:G52"/>
    <mergeCell ref="H183:H184"/>
    <mergeCell ref="I183:I184"/>
    <mergeCell ref="A183:A184"/>
    <mergeCell ref="B183:B184"/>
    <mergeCell ref="C183:C184"/>
    <mergeCell ref="D183:D184"/>
    <mergeCell ref="E183:E184"/>
    <mergeCell ref="F183:F184"/>
    <mergeCell ref="G183:G184"/>
    <mergeCell ref="H31:H32"/>
    <mergeCell ref="I31:I32"/>
    <mergeCell ref="A31:A32"/>
    <mergeCell ref="B31:B32"/>
    <mergeCell ref="C31:C32"/>
    <mergeCell ref="D31:D32"/>
    <mergeCell ref="E31:E32"/>
    <mergeCell ref="F31:F32"/>
    <mergeCell ref="G31:G32"/>
    <mergeCell ref="H37:H38"/>
    <mergeCell ref="I37:I38"/>
    <mergeCell ref="L38:M38"/>
    <mergeCell ref="A37:A38"/>
    <mergeCell ref="B37:B38"/>
    <mergeCell ref="C37:C38"/>
    <mergeCell ref="D37:D38"/>
    <mergeCell ref="E37:E38"/>
    <mergeCell ref="F37:F38"/>
    <mergeCell ref="G37:G38"/>
    <mergeCell ref="H44:H45"/>
    <mergeCell ref="I44:I45"/>
    <mergeCell ref="L47:M47"/>
    <mergeCell ref="A44:A45"/>
    <mergeCell ref="B44:B45"/>
    <mergeCell ref="C44:C45"/>
    <mergeCell ref="D44:D45"/>
    <mergeCell ref="E44:E45"/>
    <mergeCell ref="F44:F45"/>
    <mergeCell ref="G44:G45"/>
    <mergeCell ref="H192:H193"/>
    <mergeCell ref="I192:I193"/>
    <mergeCell ref="A192:A193"/>
    <mergeCell ref="B192:B193"/>
    <mergeCell ref="C192:C193"/>
    <mergeCell ref="D192:D193"/>
    <mergeCell ref="E192:E193"/>
    <mergeCell ref="F192:F193"/>
    <mergeCell ref="G192:G193"/>
    <mergeCell ref="H213:H214"/>
    <mergeCell ref="I213:I214"/>
    <mergeCell ref="A213:A214"/>
    <mergeCell ref="B213:B214"/>
    <mergeCell ref="C213:C214"/>
    <mergeCell ref="D213:D214"/>
    <mergeCell ref="E213:E214"/>
    <mergeCell ref="F213:F214"/>
    <mergeCell ref="G213:G214"/>
    <mergeCell ref="H220:H221"/>
    <mergeCell ref="I220:I221"/>
    <mergeCell ref="A220:A221"/>
    <mergeCell ref="B220:B221"/>
    <mergeCell ref="C220:C221"/>
    <mergeCell ref="D220:D221"/>
    <mergeCell ref="E220:E221"/>
    <mergeCell ref="F220:F221"/>
    <mergeCell ref="G220:G221"/>
    <mergeCell ref="H227:H228"/>
    <mergeCell ref="I227:I228"/>
    <mergeCell ref="A227:A228"/>
    <mergeCell ref="B227:B228"/>
    <mergeCell ref="C227:C228"/>
    <mergeCell ref="D227:D228"/>
    <mergeCell ref="E227:E228"/>
    <mergeCell ref="F227:F228"/>
    <mergeCell ref="G227:G228"/>
    <mergeCell ref="H234:H235"/>
    <mergeCell ref="I234:I235"/>
    <mergeCell ref="A234:A235"/>
    <mergeCell ref="B234:B235"/>
    <mergeCell ref="C234:C235"/>
    <mergeCell ref="D234:D235"/>
    <mergeCell ref="E234:E235"/>
    <mergeCell ref="F234:F235"/>
    <mergeCell ref="G234:G235"/>
    <mergeCell ref="H241:H242"/>
    <mergeCell ref="I241:I242"/>
    <mergeCell ref="A241:A242"/>
    <mergeCell ref="B241:B242"/>
    <mergeCell ref="C241:C242"/>
    <mergeCell ref="D241:D242"/>
    <mergeCell ref="E241:E242"/>
    <mergeCell ref="F241:F242"/>
    <mergeCell ref="G241:G242"/>
    <mergeCell ref="H248:H249"/>
    <mergeCell ref="I248:I249"/>
    <mergeCell ref="A248:A249"/>
    <mergeCell ref="B248:B249"/>
    <mergeCell ref="C248:C249"/>
    <mergeCell ref="D248:D249"/>
    <mergeCell ref="E248:E249"/>
    <mergeCell ref="F248:F249"/>
    <mergeCell ref="G248:G249"/>
    <mergeCell ref="H253:H254"/>
    <mergeCell ref="I253:I254"/>
    <mergeCell ref="A253:A254"/>
    <mergeCell ref="B253:B254"/>
    <mergeCell ref="C253:C254"/>
    <mergeCell ref="D253:D254"/>
    <mergeCell ref="E253:E254"/>
    <mergeCell ref="F253:F254"/>
    <mergeCell ref="G253:G254"/>
    <mergeCell ref="H257:H258"/>
    <mergeCell ref="I257:I258"/>
    <mergeCell ref="A257:A258"/>
    <mergeCell ref="B257:B258"/>
    <mergeCell ref="C257:C258"/>
    <mergeCell ref="D257:D258"/>
    <mergeCell ref="E257:E258"/>
    <mergeCell ref="F257:F258"/>
    <mergeCell ref="G257:G258"/>
    <mergeCell ref="H264:H265"/>
    <mergeCell ref="I264:I265"/>
    <mergeCell ref="A264:A265"/>
    <mergeCell ref="B264:B265"/>
    <mergeCell ref="C264:C265"/>
    <mergeCell ref="D264:D265"/>
    <mergeCell ref="E264:E265"/>
    <mergeCell ref="F264:F265"/>
    <mergeCell ref="G264:G265"/>
    <mergeCell ref="H271:H272"/>
    <mergeCell ref="I271:I272"/>
    <mergeCell ref="A271:A272"/>
    <mergeCell ref="B271:B272"/>
    <mergeCell ref="C271:C272"/>
    <mergeCell ref="D271:D272"/>
    <mergeCell ref="E271:E272"/>
    <mergeCell ref="F271:F272"/>
    <mergeCell ref="G271:G272"/>
    <mergeCell ref="H278:H279"/>
    <mergeCell ref="I278:I279"/>
    <mergeCell ref="A278:A279"/>
    <mergeCell ref="B278:B279"/>
    <mergeCell ref="C278:C279"/>
    <mergeCell ref="D278:D279"/>
    <mergeCell ref="E278:E279"/>
    <mergeCell ref="F278:F279"/>
    <mergeCell ref="G278:G279"/>
    <mergeCell ref="H285:H286"/>
    <mergeCell ref="I285:I286"/>
    <mergeCell ref="A285:A286"/>
    <mergeCell ref="B285:B286"/>
    <mergeCell ref="C285:C286"/>
    <mergeCell ref="D285:D286"/>
    <mergeCell ref="E285:E286"/>
    <mergeCell ref="F285:F286"/>
    <mergeCell ref="G285:G286"/>
    <mergeCell ref="H292:H293"/>
    <mergeCell ref="I292:I293"/>
    <mergeCell ref="A292:A293"/>
    <mergeCell ref="B292:B293"/>
    <mergeCell ref="C292:C293"/>
    <mergeCell ref="D292:D293"/>
    <mergeCell ref="E292:E293"/>
    <mergeCell ref="F292:F293"/>
    <mergeCell ref="G292:G293"/>
    <mergeCell ref="H299:H300"/>
    <mergeCell ref="I299:I300"/>
    <mergeCell ref="A299:A300"/>
    <mergeCell ref="B299:B300"/>
    <mergeCell ref="C299:C300"/>
    <mergeCell ref="D299:D300"/>
    <mergeCell ref="E299:E300"/>
    <mergeCell ref="F299:F300"/>
    <mergeCell ref="G299:G300"/>
    <mergeCell ref="H306:H307"/>
    <mergeCell ref="I306:I307"/>
    <mergeCell ref="A306:A307"/>
    <mergeCell ref="B306:B307"/>
    <mergeCell ref="C306:C307"/>
    <mergeCell ref="D306:D307"/>
    <mergeCell ref="E306:E307"/>
    <mergeCell ref="F306:F307"/>
    <mergeCell ref="G306:G307"/>
    <mergeCell ref="H313:H314"/>
    <mergeCell ref="I313:I314"/>
    <mergeCell ref="A313:A314"/>
    <mergeCell ref="B313:B314"/>
    <mergeCell ref="C313:C314"/>
    <mergeCell ref="D313:D314"/>
    <mergeCell ref="E313:E314"/>
    <mergeCell ref="F313:F314"/>
    <mergeCell ref="G313:G314"/>
    <mergeCell ref="H316:H317"/>
    <mergeCell ref="I316:I317"/>
    <mergeCell ref="A316:A317"/>
    <mergeCell ref="B316:B317"/>
    <mergeCell ref="C316:C317"/>
    <mergeCell ref="D316:D317"/>
    <mergeCell ref="E316:E317"/>
    <mergeCell ref="F316:F317"/>
    <mergeCell ref="G316:G317"/>
    <mergeCell ref="H322:H323"/>
    <mergeCell ref="I322:I323"/>
    <mergeCell ref="A322:A323"/>
    <mergeCell ref="B322:B323"/>
    <mergeCell ref="C322:C323"/>
    <mergeCell ref="D322:D323"/>
    <mergeCell ref="E322:E323"/>
    <mergeCell ref="F322:F323"/>
    <mergeCell ref="G322:G323"/>
    <mergeCell ref="H373:H374"/>
    <mergeCell ref="I373:I374"/>
    <mergeCell ref="A373:A374"/>
    <mergeCell ref="B373:B374"/>
    <mergeCell ref="C373:C374"/>
    <mergeCell ref="D373:D374"/>
    <mergeCell ref="E373:E374"/>
    <mergeCell ref="F373:F374"/>
    <mergeCell ref="G373:G374"/>
    <mergeCell ref="H189:H190"/>
    <mergeCell ref="I189:I190"/>
    <mergeCell ref="A189:A190"/>
    <mergeCell ref="B189:B190"/>
    <mergeCell ref="C189:C190"/>
    <mergeCell ref="D189:D190"/>
    <mergeCell ref="E189:E190"/>
    <mergeCell ref="F189:F190"/>
    <mergeCell ref="G189:G190"/>
    <mergeCell ref="H199:H200"/>
    <mergeCell ref="I199:I200"/>
    <mergeCell ref="A199:A200"/>
    <mergeCell ref="B199:B200"/>
    <mergeCell ref="C199:C200"/>
    <mergeCell ref="D199:D200"/>
    <mergeCell ref="E199:E200"/>
    <mergeCell ref="F199:F200"/>
    <mergeCell ref="G199:G200"/>
    <mergeCell ref="H206:H207"/>
    <mergeCell ref="I206:I207"/>
    <mergeCell ref="A206:A207"/>
    <mergeCell ref="B206:B207"/>
    <mergeCell ref="C206:C207"/>
    <mergeCell ref="D206:D207"/>
    <mergeCell ref="E206:E207"/>
    <mergeCell ref="F206:F207"/>
    <mergeCell ref="G206:G207"/>
    <mergeCell ref="B379:B380"/>
    <mergeCell ref="C379:C380"/>
    <mergeCell ref="D379:D380"/>
    <mergeCell ref="E379:E380"/>
    <mergeCell ref="F379:F380"/>
    <mergeCell ref="G379:G380"/>
    <mergeCell ref="H379:H380"/>
    <mergeCell ref="I379:I380"/>
    <mergeCell ref="H329:H330"/>
    <mergeCell ref="I329:I330"/>
    <mergeCell ref="A329:A330"/>
    <mergeCell ref="B329:B330"/>
    <mergeCell ref="C329:C330"/>
    <mergeCell ref="D329:D330"/>
    <mergeCell ref="E329:E330"/>
    <mergeCell ref="F329:F330"/>
    <mergeCell ref="G329:G330"/>
    <mergeCell ref="H336:H337"/>
    <mergeCell ref="I336:I337"/>
    <mergeCell ref="A336:A337"/>
    <mergeCell ref="B336:B337"/>
    <mergeCell ref="C336:C337"/>
    <mergeCell ref="D336:D337"/>
    <mergeCell ref="E336:E337"/>
    <mergeCell ref="F336:F337"/>
    <mergeCell ref="G336:G337"/>
    <mergeCell ref="H343:H344"/>
    <mergeCell ref="I343:I344"/>
    <mergeCell ref="A343:A344"/>
    <mergeCell ref="B343:B344"/>
    <mergeCell ref="C343:C344"/>
    <mergeCell ref="D343:D344"/>
    <mergeCell ref="E343:E344"/>
    <mergeCell ref="F343:F344"/>
    <mergeCell ref="G343:G344"/>
    <mergeCell ref="H348:H349"/>
    <mergeCell ref="I348:I349"/>
    <mergeCell ref="A348:A349"/>
    <mergeCell ref="B348:B349"/>
    <mergeCell ref="C348:C349"/>
    <mergeCell ref="D348:D349"/>
    <mergeCell ref="E348:E349"/>
    <mergeCell ref="F348:F349"/>
    <mergeCell ref="G348:G349"/>
    <mergeCell ref="H352:H353"/>
    <mergeCell ref="I352:I353"/>
    <mergeCell ref="A352:A353"/>
    <mergeCell ref="B352:B353"/>
    <mergeCell ref="C352:C353"/>
    <mergeCell ref="D352:D353"/>
    <mergeCell ref="E352:E353"/>
    <mergeCell ref="F352:F353"/>
    <mergeCell ref="G352:G353"/>
    <mergeCell ref="H359:H360"/>
    <mergeCell ref="I359:I360"/>
    <mergeCell ref="A359:A360"/>
    <mergeCell ref="B359:B360"/>
    <mergeCell ref="C359:C360"/>
    <mergeCell ref="D359:D360"/>
    <mergeCell ref="E359:E360"/>
    <mergeCell ref="F359:F360"/>
    <mergeCell ref="G359:G360"/>
    <mergeCell ref="H366:H367"/>
    <mergeCell ref="I366:I367"/>
    <mergeCell ref="A366:A367"/>
    <mergeCell ref="B366:B367"/>
    <mergeCell ref="C366:C367"/>
    <mergeCell ref="D366:D367"/>
    <mergeCell ref="E366:E367"/>
    <mergeCell ref="F366:F367"/>
    <mergeCell ref="G366:G367"/>
  </mergeCells>
  <printOptions/>
  <pageMargins bottom="0.75" footer="0.0" header="0.0" left="0.7" right="0.7" top="0.75"/>
  <pageSetup paperSize="9" orientation="portrait"/>
  <drawing r:id="rId1"/>
</worksheet>
</file>

<file path=xl/worksheets/sheet1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030A0"/>
    <pageSetUpPr/>
  </sheetPr>
  <sheetViews>
    <sheetView workbookViewId="0"/>
  </sheetViews>
  <sheetFormatPr customHeight="1" defaultColWidth="12.63" defaultRowHeight="15.0"/>
  <cols>
    <col customWidth="1" min="1" max="1" width="13.63"/>
    <col customWidth="1" min="2" max="10" width="10.63"/>
    <col customWidth="1" min="11" max="11" width="14.63"/>
    <col customWidth="1" min="12" max="13" width="10.63"/>
    <col customWidth="1" min="14" max="14" width="18.13"/>
    <col customWidth="1" min="15" max="25" width="10.63"/>
  </cols>
  <sheetData>
    <row r="1" ht="12.75" customHeight="1">
      <c r="A1" s="55" t="s">
        <v>61</v>
      </c>
      <c r="B1" s="55" t="s">
        <v>62</v>
      </c>
      <c r="C1" s="55" t="s">
        <v>63</v>
      </c>
      <c r="D1" s="55" t="s">
        <v>45</v>
      </c>
      <c r="E1" s="55" t="s">
        <v>46</v>
      </c>
      <c r="F1" s="55" t="s">
        <v>64</v>
      </c>
      <c r="G1" s="56" t="s">
        <v>65</v>
      </c>
      <c r="H1" s="55" t="s">
        <v>66</v>
      </c>
      <c r="I1" s="484" t="s">
        <v>191</v>
      </c>
    </row>
    <row r="2" ht="12.75" customHeight="1">
      <c r="A2" s="80">
        <v>44928.0</v>
      </c>
      <c r="B2" s="138"/>
      <c r="C2" s="138"/>
      <c r="D2" s="138"/>
      <c r="E2" s="138"/>
      <c r="F2" s="85">
        <f t="shared" ref="F2:F6" si="1">SUM(B2:E2)</f>
        <v>0</v>
      </c>
      <c r="G2" s="138"/>
      <c r="H2" s="138"/>
      <c r="I2" s="146"/>
      <c r="K2" s="485" t="s">
        <v>192</v>
      </c>
    </row>
    <row r="3" ht="12.75" customHeight="1">
      <c r="A3" s="58">
        <f t="shared" ref="A3:A6" si="2">A2+1</f>
        <v>44929</v>
      </c>
      <c r="B3" s="138"/>
      <c r="C3" s="138"/>
      <c r="D3" s="138"/>
      <c r="E3" s="138"/>
      <c r="F3" s="85">
        <f t="shared" si="1"/>
        <v>0</v>
      </c>
      <c r="G3" s="138"/>
      <c r="H3" s="138"/>
      <c r="I3" s="146"/>
    </row>
    <row r="4" ht="13.5" customHeight="1">
      <c r="A4" s="58">
        <f t="shared" si="2"/>
        <v>44930</v>
      </c>
      <c r="B4" s="138"/>
      <c r="C4" s="138"/>
      <c r="D4" s="138"/>
      <c r="E4" s="138"/>
      <c r="F4" s="85">
        <f t="shared" si="1"/>
        <v>0</v>
      </c>
      <c r="G4" s="138"/>
      <c r="H4" s="138"/>
      <c r="I4" s="146"/>
    </row>
    <row r="5" ht="12.75" customHeight="1">
      <c r="A5" s="58">
        <f t="shared" si="2"/>
        <v>44931</v>
      </c>
      <c r="B5" s="138"/>
      <c r="C5" s="138"/>
      <c r="D5" s="138"/>
      <c r="E5" s="138"/>
      <c r="F5" s="85">
        <f t="shared" si="1"/>
        <v>0</v>
      </c>
      <c r="G5" s="138"/>
      <c r="H5" s="138"/>
      <c r="I5" s="146"/>
      <c r="K5" s="64"/>
      <c r="L5" s="477">
        <f>L6+M6</f>
        <v>89</v>
      </c>
      <c r="M5" s="478"/>
      <c r="N5" s="66"/>
    </row>
    <row r="6" ht="12.75" customHeight="1">
      <c r="A6" s="58">
        <f t="shared" si="2"/>
        <v>44932</v>
      </c>
      <c r="B6" s="59">
        <v>0.0</v>
      </c>
      <c r="C6" s="59">
        <v>294.89</v>
      </c>
      <c r="D6" s="59">
        <v>898.62</v>
      </c>
      <c r="E6" s="59">
        <v>50.0</v>
      </c>
      <c r="F6" s="60">
        <f t="shared" si="1"/>
        <v>1243.51</v>
      </c>
      <c r="G6" s="59">
        <v>19.0</v>
      </c>
      <c r="H6" s="59">
        <v>5.0</v>
      </c>
      <c r="I6" s="61">
        <v>50.0</v>
      </c>
      <c r="K6" s="64"/>
      <c r="L6" s="72">
        <f t="shared" ref="L6:N6" si="3">SUM(L8:L12)</f>
        <v>82</v>
      </c>
      <c r="M6" s="72">
        <f t="shared" si="3"/>
        <v>7</v>
      </c>
      <c r="N6" s="336">
        <f t="shared" si="3"/>
        <v>7874.83</v>
      </c>
    </row>
    <row r="7" ht="12.75" customHeight="1">
      <c r="A7" s="67"/>
      <c r="B7" s="68">
        <f t="shared" ref="B7:I7" si="4">SUM(B2:B6)</f>
        <v>0</v>
      </c>
      <c r="C7" s="68">
        <f t="shared" si="4"/>
        <v>294.89</v>
      </c>
      <c r="D7" s="68">
        <f t="shared" si="4"/>
        <v>898.62</v>
      </c>
      <c r="E7" s="68">
        <f t="shared" si="4"/>
        <v>50</v>
      </c>
      <c r="F7" s="69">
        <f t="shared" si="4"/>
        <v>1243.51</v>
      </c>
      <c r="G7" s="70">
        <f t="shared" si="4"/>
        <v>19</v>
      </c>
      <c r="H7" s="70">
        <f t="shared" si="4"/>
        <v>5</v>
      </c>
      <c r="I7" s="71">
        <f t="shared" si="4"/>
        <v>50</v>
      </c>
      <c r="K7" s="78" t="s">
        <v>69</v>
      </c>
      <c r="L7" s="79">
        <v>90.0</v>
      </c>
      <c r="M7" s="79">
        <v>70.69</v>
      </c>
      <c r="N7" s="66"/>
    </row>
    <row r="8" ht="12.75" customHeight="1">
      <c r="A8" s="74"/>
      <c r="B8" s="75"/>
      <c r="C8" s="75"/>
      <c r="D8" s="75"/>
      <c r="E8" s="75"/>
      <c r="F8" s="76"/>
      <c r="G8" s="76"/>
      <c r="H8" s="76"/>
      <c r="I8" s="77"/>
      <c r="K8" s="81" t="s">
        <v>70</v>
      </c>
      <c r="L8" s="81">
        <v>27.0</v>
      </c>
      <c r="M8" s="81">
        <v>2.0</v>
      </c>
      <c r="N8" s="82">
        <f t="shared" ref="N8:N12" si="5">L8*$L$7+M8*$M$7</f>
        <v>2571.38</v>
      </c>
    </row>
    <row r="9" ht="12.75" customHeight="1">
      <c r="A9" s="58">
        <f>A6+3</f>
        <v>44935</v>
      </c>
      <c r="B9" s="59">
        <v>120.0</v>
      </c>
      <c r="C9" s="59">
        <v>182.79</v>
      </c>
      <c r="D9" s="59">
        <v>469.31</v>
      </c>
      <c r="E9" s="59">
        <v>50.0</v>
      </c>
      <c r="F9" s="60">
        <f t="shared" ref="F9:F13" si="6">SUM(B9:E9)</f>
        <v>822.1</v>
      </c>
      <c r="G9" s="59">
        <v>17.0</v>
      </c>
      <c r="H9" s="59">
        <v>3.0</v>
      </c>
      <c r="I9" s="61">
        <v>50.0</v>
      </c>
      <c r="K9" s="81" t="s">
        <v>71</v>
      </c>
      <c r="L9" s="81">
        <v>26.0</v>
      </c>
      <c r="M9" s="81">
        <v>2.0</v>
      </c>
      <c r="N9" s="82">
        <f t="shared" si="5"/>
        <v>2481.38</v>
      </c>
    </row>
    <row r="10" ht="12.75" customHeight="1">
      <c r="A10" s="58">
        <f t="shared" ref="A10:A13" si="7">A9+1</f>
        <v>44936</v>
      </c>
      <c r="B10" s="81">
        <v>270.0</v>
      </c>
      <c r="C10" s="81">
        <v>70.69</v>
      </c>
      <c r="D10" s="81">
        <v>579.31</v>
      </c>
      <c r="E10" s="81">
        <v>50.0</v>
      </c>
      <c r="F10" s="60">
        <f t="shared" si="6"/>
        <v>970</v>
      </c>
      <c r="G10" s="81">
        <v>13.0</v>
      </c>
      <c r="H10" s="81">
        <v>1.0</v>
      </c>
      <c r="I10" s="83">
        <v>50.0</v>
      </c>
      <c r="K10" s="81" t="s">
        <v>72</v>
      </c>
      <c r="L10" s="81">
        <v>21.0</v>
      </c>
      <c r="M10" s="81">
        <v>1.0</v>
      </c>
      <c r="N10" s="82">
        <f t="shared" si="5"/>
        <v>1960.69</v>
      </c>
    </row>
    <row r="11" ht="12.75" customHeight="1">
      <c r="A11" s="58">
        <f t="shared" si="7"/>
        <v>44937</v>
      </c>
      <c r="B11" s="81">
        <v>150.0</v>
      </c>
      <c r="C11" s="81">
        <v>80.31</v>
      </c>
      <c r="D11" s="81">
        <v>520.0</v>
      </c>
      <c r="E11" s="81">
        <v>50.0</v>
      </c>
      <c r="F11" s="60">
        <f t="shared" si="6"/>
        <v>800.31</v>
      </c>
      <c r="G11" s="81">
        <v>16.0</v>
      </c>
      <c r="H11" s="81">
        <v>2.0</v>
      </c>
      <c r="I11" s="83">
        <v>50.0</v>
      </c>
      <c r="K11" s="81" t="s">
        <v>73</v>
      </c>
      <c r="L11" s="81">
        <v>8.0</v>
      </c>
      <c r="M11" s="81">
        <v>2.0</v>
      </c>
      <c r="N11" s="82">
        <f t="shared" si="5"/>
        <v>861.38</v>
      </c>
    </row>
    <row r="12" ht="12.75" customHeight="1">
      <c r="A12" s="58">
        <f t="shared" si="7"/>
        <v>44938</v>
      </c>
      <c r="B12" s="81">
        <v>100.0</v>
      </c>
      <c r="C12" s="81">
        <v>194.92</v>
      </c>
      <c r="D12" s="81">
        <v>809.31</v>
      </c>
      <c r="E12" s="81">
        <v>290.0</v>
      </c>
      <c r="F12" s="60">
        <f t="shared" si="6"/>
        <v>1394.23</v>
      </c>
      <c r="G12" s="81">
        <v>26.0</v>
      </c>
      <c r="H12" s="81">
        <v>4.0</v>
      </c>
      <c r="I12" s="83">
        <v>260.0</v>
      </c>
      <c r="K12" s="81" t="s">
        <v>74</v>
      </c>
      <c r="L12" s="84"/>
      <c r="M12" s="84"/>
      <c r="N12" s="82">
        <f t="shared" si="5"/>
        <v>0</v>
      </c>
    </row>
    <row r="13" ht="12.75" customHeight="1">
      <c r="A13" s="58">
        <f t="shared" si="7"/>
        <v>44939</v>
      </c>
      <c r="B13" s="81">
        <v>50.0</v>
      </c>
      <c r="C13" s="81">
        <v>212.79</v>
      </c>
      <c r="D13" s="81">
        <v>739.31</v>
      </c>
      <c r="E13" s="81">
        <v>19.31</v>
      </c>
      <c r="F13" s="60">
        <f t="shared" si="6"/>
        <v>1021.41</v>
      </c>
      <c r="G13" s="81">
        <v>17.0</v>
      </c>
      <c r="H13" s="81">
        <v>4.0</v>
      </c>
      <c r="I13" s="83">
        <v>20.0</v>
      </c>
    </row>
    <row r="14" ht="12.75" customHeight="1">
      <c r="A14" s="67"/>
      <c r="B14" s="68">
        <f t="shared" ref="B14:I14" si="8">SUM(B9:B13)</f>
        <v>690</v>
      </c>
      <c r="C14" s="68">
        <f t="shared" si="8"/>
        <v>741.5</v>
      </c>
      <c r="D14" s="68">
        <f t="shared" si="8"/>
        <v>3117.24</v>
      </c>
      <c r="E14" s="68">
        <f t="shared" si="8"/>
        <v>459.31</v>
      </c>
      <c r="F14" s="68">
        <f t="shared" si="8"/>
        <v>5008.05</v>
      </c>
      <c r="G14" s="70">
        <f t="shared" si="8"/>
        <v>89</v>
      </c>
      <c r="H14" s="70">
        <f t="shared" si="8"/>
        <v>14</v>
      </c>
      <c r="I14" s="71">
        <f t="shared" si="8"/>
        <v>430</v>
      </c>
      <c r="K14" s="64"/>
      <c r="L14" s="477">
        <f>L15+M15</f>
        <v>87</v>
      </c>
      <c r="M14" s="478"/>
      <c r="N14" s="66"/>
    </row>
    <row r="15" ht="12.75" customHeight="1">
      <c r="A15" s="74"/>
      <c r="B15" s="92"/>
      <c r="C15" s="92"/>
      <c r="D15" s="92"/>
      <c r="E15" s="92"/>
      <c r="F15" s="75"/>
      <c r="G15" s="93"/>
      <c r="H15" s="93"/>
      <c r="I15" s="77"/>
      <c r="K15" s="64"/>
      <c r="L15" s="72">
        <f t="shared" ref="L15:N15" si="9">SUM(L17:L21)</f>
        <v>73</v>
      </c>
      <c r="M15" s="72">
        <f t="shared" si="9"/>
        <v>14</v>
      </c>
      <c r="N15" s="336">
        <f t="shared" si="9"/>
        <v>7559.66</v>
      </c>
    </row>
    <row r="16" ht="12.75" customHeight="1">
      <c r="A16" s="58">
        <f>A13+3</f>
        <v>44942</v>
      </c>
      <c r="B16" s="81">
        <v>280.0</v>
      </c>
      <c r="C16" s="81">
        <v>328.02</v>
      </c>
      <c r="D16" s="81">
        <v>668.62</v>
      </c>
      <c r="E16" s="81">
        <v>150.0</v>
      </c>
      <c r="F16" s="60">
        <f t="shared" ref="F16:F20" si="10">SUM(B16:E16)</f>
        <v>1426.64</v>
      </c>
      <c r="G16" s="81">
        <v>27.0</v>
      </c>
      <c r="H16" s="81">
        <v>7.0</v>
      </c>
      <c r="I16" s="81">
        <v>140.0</v>
      </c>
      <c r="K16" s="78" t="s">
        <v>75</v>
      </c>
      <c r="L16" s="79">
        <v>90.0</v>
      </c>
      <c r="M16" s="79">
        <v>70.69</v>
      </c>
      <c r="N16" s="66"/>
    </row>
    <row r="17" ht="12.75" customHeight="1">
      <c r="A17" s="58">
        <f t="shared" ref="A17:A20" si="11">A16+1</f>
        <v>44943</v>
      </c>
      <c r="B17" s="59">
        <v>50.0</v>
      </c>
      <c r="C17" s="59">
        <v>112.1</v>
      </c>
      <c r="D17" s="59">
        <v>789.31</v>
      </c>
      <c r="E17" s="59">
        <v>0.0</v>
      </c>
      <c r="F17" s="60">
        <f t="shared" si="10"/>
        <v>951.41</v>
      </c>
      <c r="G17" s="59">
        <v>16.0</v>
      </c>
      <c r="H17" s="59">
        <v>2.0</v>
      </c>
      <c r="I17" s="61">
        <v>0.0</v>
      </c>
      <c r="K17" s="81" t="s">
        <v>70</v>
      </c>
      <c r="L17" s="81">
        <v>14.0</v>
      </c>
      <c r="M17" s="81">
        <v>4.0</v>
      </c>
      <c r="N17" s="82">
        <f t="shared" ref="N17:N21" si="12">L17*$L$16+M17*$M$16</f>
        <v>1542.76</v>
      </c>
    </row>
    <row r="18" ht="12.75" customHeight="1">
      <c r="A18" s="58">
        <f t="shared" si="11"/>
        <v>44944</v>
      </c>
      <c r="B18" s="81">
        <v>150.0</v>
      </c>
      <c r="C18" s="81">
        <v>279.83</v>
      </c>
      <c r="D18" s="81">
        <v>490.0</v>
      </c>
      <c r="E18" s="81">
        <v>100.0</v>
      </c>
      <c r="F18" s="60">
        <f t="shared" si="10"/>
        <v>1019.83</v>
      </c>
      <c r="G18" s="81">
        <v>21.0</v>
      </c>
      <c r="H18" s="81">
        <v>7.0</v>
      </c>
      <c r="I18" s="83">
        <v>100.0</v>
      </c>
      <c r="K18" s="81" t="s">
        <v>71</v>
      </c>
      <c r="L18" s="81">
        <v>20.0</v>
      </c>
      <c r="M18" s="81">
        <v>4.0</v>
      </c>
      <c r="N18" s="82">
        <f t="shared" si="12"/>
        <v>2082.76</v>
      </c>
    </row>
    <row r="19" ht="12.75" customHeight="1">
      <c r="A19" s="58">
        <f t="shared" si="11"/>
        <v>44945</v>
      </c>
      <c r="B19" s="81">
        <v>140.0</v>
      </c>
      <c r="C19" s="81">
        <v>294.89</v>
      </c>
      <c r="D19" s="81">
        <v>1308.62</v>
      </c>
      <c r="E19" s="81">
        <v>50.0</v>
      </c>
      <c r="F19" s="60">
        <f t="shared" si="10"/>
        <v>1793.51</v>
      </c>
      <c r="G19" s="81">
        <v>27.0</v>
      </c>
      <c r="H19" s="81">
        <v>5.0</v>
      </c>
      <c r="I19" s="83">
        <v>50.0</v>
      </c>
      <c r="K19" s="81" t="s">
        <v>72</v>
      </c>
      <c r="L19" s="81">
        <v>20.0</v>
      </c>
      <c r="M19" s="81">
        <v>2.0</v>
      </c>
      <c r="N19" s="82">
        <f t="shared" si="12"/>
        <v>1941.38</v>
      </c>
    </row>
    <row r="20" ht="12.75" customHeight="1">
      <c r="A20" s="58">
        <f t="shared" si="11"/>
        <v>44946</v>
      </c>
      <c r="B20" s="81">
        <v>270.0</v>
      </c>
      <c r="C20" s="81">
        <v>236.33</v>
      </c>
      <c r="D20" s="81">
        <v>660.0</v>
      </c>
      <c r="E20" s="81">
        <v>90.0</v>
      </c>
      <c r="F20" s="60">
        <f t="shared" si="10"/>
        <v>1256.33</v>
      </c>
      <c r="G20" s="81">
        <v>23.0</v>
      </c>
      <c r="H20" s="81">
        <v>5.0</v>
      </c>
      <c r="I20" s="83">
        <v>100.0</v>
      </c>
      <c r="K20" s="81" t="s">
        <v>73</v>
      </c>
      <c r="L20" s="81">
        <v>11.0</v>
      </c>
      <c r="M20" s="81">
        <v>3.0</v>
      </c>
      <c r="N20" s="82">
        <f t="shared" si="12"/>
        <v>1202.07</v>
      </c>
    </row>
    <row r="21" ht="12.75" customHeight="1">
      <c r="A21" s="67"/>
      <c r="B21" s="68">
        <f t="shared" ref="B21:I21" si="13">SUM(B16:B20)</f>
        <v>890</v>
      </c>
      <c r="C21" s="68">
        <f t="shared" si="13"/>
        <v>1251.17</v>
      </c>
      <c r="D21" s="68">
        <f t="shared" si="13"/>
        <v>3916.55</v>
      </c>
      <c r="E21" s="68">
        <f t="shared" si="13"/>
        <v>390</v>
      </c>
      <c r="F21" s="68">
        <f t="shared" si="13"/>
        <v>6447.72</v>
      </c>
      <c r="G21" s="70">
        <f t="shared" si="13"/>
        <v>114</v>
      </c>
      <c r="H21" s="70">
        <f t="shared" si="13"/>
        <v>26</v>
      </c>
      <c r="I21" s="68">
        <f t="shared" si="13"/>
        <v>390</v>
      </c>
      <c r="K21" s="81" t="s">
        <v>74</v>
      </c>
      <c r="L21" s="81">
        <v>8.0</v>
      </c>
      <c r="M21" s="81">
        <v>1.0</v>
      </c>
      <c r="N21" s="82">
        <f t="shared" si="12"/>
        <v>790.69</v>
      </c>
    </row>
    <row r="22" ht="12.75" customHeight="1">
      <c r="A22" s="74"/>
      <c r="B22" s="75"/>
      <c r="C22" s="75"/>
      <c r="D22" s="75"/>
      <c r="E22" s="75"/>
      <c r="F22" s="75"/>
      <c r="G22" s="76"/>
      <c r="H22" s="76"/>
      <c r="I22" s="75"/>
    </row>
    <row r="23" ht="12.75" customHeight="1">
      <c r="A23" s="58">
        <f>A20+3</f>
        <v>44949</v>
      </c>
      <c r="B23" s="81">
        <v>0.0</v>
      </c>
      <c r="C23" s="81">
        <v>124.23</v>
      </c>
      <c r="D23" s="81">
        <v>800.0</v>
      </c>
      <c r="E23" s="81">
        <v>30.0</v>
      </c>
      <c r="F23" s="60">
        <f t="shared" ref="F23:F27" si="14">SUM(B23:E23)</f>
        <v>954.23</v>
      </c>
      <c r="G23" s="81">
        <v>17.0</v>
      </c>
      <c r="H23" s="81">
        <v>3.0</v>
      </c>
      <c r="I23" s="83">
        <v>40.0</v>
      </c>
      <c r="L23" s="477">
        <f>L24+M24</f>
        <v>84</v>
      </c>
      <c r="M23" s="478"/>
    </row>
    <row r="24" ht="12.75" customHeight="1">
      <c r="A24" s="58">
        <f t="shared" ref="A24:A27" si="16">A23+1</f>
        <v>44950</v>
      </c>
      <c r="B24" s="81">
        <v>0.0</v>
      </c>
      <c r="C24" s="81">
        <v>112.82</v>
      </c>
      <c r="D24" s="81">
        <v>730.0</v>
      </c>
      <c r="E24" s="81">
        <v>100.0</v>
      </c>
      <c r="F24" s="60">
        <f t="shared" si="14"/>
        <v>942.82</v>
      </c>
      <c r="G24" s="81">
        <v>20.0</v>
      </c>
      <c r="H24" s="81">
        <v>3.0</v>
      </c>
      <c r="I24" s="83">
        <v>100.0</v>
      </c>
      <c r="K24" s="66"/>
      <c r="L24" s="72">
        <f t="shared" ref="L24:N24" si="15">SUM(L26:L30)</f>
        <v>70</v>
      </c>
      <c r="M24" s="72">
        <f t="shared" si="15"/>
        <v>14</v>
      </c>
      <c r="N24" s="336">
        <f t="shared" si="15"/>
        <v>7289.66</v>
      </c>
    </row>
    <row r="25" ht="12.75" customHeight="1">
      <c r="A25" s="58">
        <f t="shared" si="16"/>
        <v>44951</v>
      </c>
      <c r="B25" s="81">
        <v>50.0</v>
      </c>
      <c r="C25" s="81">
        <v>163.13</v>
      </c>
      <c r="D25" s="81">
        <v>640.0</v>
      </c>
      <c r="E25" s="81">
        <v>50.0</v>
      </c>
      <c r="F25" s="60">
        <f t="shared" si="14"/>
        <v>903.13</v>
      </c>
      <c r="G25" s="81">
        <v>19.0</v>
      </c>
      <c r="H25" s="81">
        <v>4.0</v>
      </c>
      <c r="I25" s="83">
        <v>50.0</v>
      </c>
      <c r="K25" s="95" t="s">
        <v>76</v>
      </c>
      <c r="L25" s="96">
        <v>90.0</v>
      </c>
      <c r="M25" s="96">
        <v>70.69</v>
      </c>
      <c r="N25" s="66"/>
    </row>
    <row r="26" ht="12.75" customHeight="1">
      <c r="A26" s="58">
        <f t="shared" si="16"/>
        <v>44952</v>
      </c>
      <c r="B26" s="81">
        <v>140.0</v>
      </c>
      <c r="C26" s="81">
        <v>124.23</v>
      </c>
      <c r="D26" s="81">
        <v>1280.0</v>
      </c>
      <c r="E26" s="81">
        <v>50.0</v>
      </c>
      <c r="F26" s="60">
        <f t="shared" si="14"/>
        <v>1594.23</v>
      </c>
      <c r="G26" s="81">
        <v>26.0</v>
      </c>
      <c r="H26" s="81">
        <v>3.0</v>
      </c>
      <c r="I26" s="83">
        <v>50.0</v>
      </c>
      <c r="K26" s="81" t="s">
        <v>70</v>
      </c>
      <c r="L26" s="81">
        <v>10.0</v>
      </c>
      <c r="M26" s="81">
        <v>3.0</v>
      </c>
      <c r="N26" s="82">
        <f t="shared" ref="N26:N30" si="17">L26*$L$25+M26*$M$25</f>
        <v>1112.07</v>
      </c>
    </row>
    <row r="27" ht="12.75" customHeight="1">
      <c r="A27" s="58">
        <f t="shared" si="16"/>
        <v>44953</v>
      </c>
      <c r="B27" s="81">
        <v>190.0</v>
      </c>
      <c r="C27" s="81">
        <v>112.1</v>
      </c>
      <c r="D27" s="81">
        <v>1070.0</v>
      </c>
      <c r="E27" s="81">
        <v>30.0</v>
      </c>
      <c r="F27" s="60">
        <f t="shared" si="14"/>
        <v>1402.1</v>
      </c>
      <c r="G27" s="81">
        <v>22.0</v>
      </c>
      <c r="H27" s="81">
        <v>2.0</v>
      </c>
      <c r="I27" s="83">
        <v>30.0</v>
      </c>
      <c r="K27" s="81" t="s">
        <v>71</v>
      </c>
      <c r="L27" s="81">
        <v>22.0</v>
      </c>
      <c r="M27" s="81">
        <v>5.0</v>
      </c>
      <c r="N27" s="82">
        <f t="shared" si="17"/>
        <v>2333.45</v>
      </c>
    </row>
    <row r="28" ht="12.75" customHeight="1">
      <c r="A28" s="67"/>
      <c r="B28" s="68">
        <f t="shared" ref="B28:I28" si="18">SUM(B23:B27)</f>
        <v>380</v>
      </c>
      <c r="C28" s="68">
        <f t="shared" si="18"/>
        <v>636.51</v>
      </c>
      <c r="D28" s="68">
        <f t="shared" si="18"/>
        <v>4520</v>
      </c>
      <c r="E28" s="68">
        <f t="shared" si="18"/>
        <v>260</v>
      </c>
      <c r="F28" s="68">
        <f t="shared" si="18"/>
        <v>5796.51</v>
      </c>
      <c r="G28" s="70">
        <f t="shared" si="18"/>
        <v>104</v>
      </c>
      <c r="H28" s="70">
        <f t="shared" si="18"/>
        <v>15</v>
      </c>
      <c r="I28" s="91">
        <f t="shared" si="18"/>
        <v>270</v>
      </c>
      <c r="K28" s="81" t="s">
        <v>72</v>
      </c>
      <c r="L28" s="81">
        <v>0.0</v>
      </c>
      <c r="M28" s="81">
        <v>0.0</v>
      </c>
      <c r="N28" s="82">
        <f t="shared" si="17"/>
        <v>0</v>
      </c>
    </row>
    <row r="29" ht="12.75" customHeight="1">
      <c r="A29" s="74"/>
      <c r="B29" s="75"/>
      <c r="C29" s="75"/>
      <c r="D29" s="75"/>
      <c r="E29" s="75"/>
      <c r="F29" s="75"/>
      <c r="G29" s="76"/>
      <c r="H29" s="76"/>
      <c r="I29" s="74"/>
      <c r="K29" s="81" t="s">
        <v>73</v>
      </c>
      <c r="L29" s="81">
        <v>19.0</v>
      </c>
      <c r="M29" s="81">
        <v>2.0</v>
      </c>
      <c r="N29" s="82">
        <f t="shared" si="17"/>
        <v>1851.38</v>
      </c>
    </row>
    <row r="30" ht="12.75" customHeight="1">
      <c r="A30" s="58">
        <f>A27+3</f>
        <v>44956</v>
      </c>
      <c r="B30" s="81">
        <v>150.0</v>
      </c>
      <c r="C30" s="81">
        <v>294.89</v>
      </c>
      <c r="D30" s="81">
        <v>969.31</v>
      </c>
      <c r="E30" s="81">
        <v>240.0</v>
      </c>
      <c r="F30" s="60">
        <f t="shared" ref="F30:F31" si="19">SUM(B30:E30)</f>
        <v>1654.2</v>
      </c>
      <c r="G30" s="81">
        <v>27.0</v>
      </c>
      <c r="H30" s="81">
        <v>5.0</v>
      </c>
      <c r="I30" s="83">
        <v>230.0</v>
      </c>
      <c r="K30" s="81" t="s">
        <v>74</v>
      </c>
      <c r="L30" s="81">
        <v>19.0</v>
      </c>
      <c r="M30" s="81">
        <v>4.0</v>
      </c>
      <c r="N30" s="82">
        <f t="shared" si="17"/>
        <v>1992.76</v>
      </c>
    </row>
    <row r="31" ht="12.75" customHeight="1">
      <c r="A31" s="58">
        <f>A30+1</f>
        <v>44957</v>
      </c>
      <c r="B31" s="81">
        <v>0.0</v>
      </c>
      <c r="C31" s="81">
        <v>333.33</v>
      </c>
      <c r="D31" s="81">
        <v>499.31</v>
      </c>
      <c r="E31" s="81">
        <v>0.0</v>
      </c>
      <c r="F31" s="60">
        <f t="shared" si="19"/>
        <v>832.64</v>
      </c>
      <c r="G31" s="81">
        <v>16.0</v>
      </c>
      <c r="H31" s="81">
        <v>8.0</v>
      </c>
      <c r="I31" s="83">
        <v>0.0</v>
      </c>
    </row>
    <row r="32" ht="12.75" customHeight="1">
      <c r="A32" s="67"/>
      <c r="B32" s="69">
        <f t="shared" ref="B32:I32" si="20">SUM(B30:B31)</f>
        <v>150</v>
      </c>
      <c r="C32" s="69">
        <f t="shared" si="20"/>
        <v>628.22</v>
      </c>
      <c r="D32" s="69">
        <f t="shared" si="20"/>
        <v>1468.62</v>
      </c>
      <c r="E32" s="69">
        <f t="shared" si="20"/>
        <v>240</v>
      </c>
      <c r="F32" s="68">
        <f t="shared" si="20"/>
        <v>2486.84</v>
      </c>
      <c r="G32" s="70">
        <f t="shared" si="20"/>
        <v>43</v>
      </c>
      <c r="H32" s="70">
        <f t="shared" si="20"/>
        <v>13</v>
      </c>
      <c r="I32" s="91">
        <f t="shared" si="20"/>
        <v>230</v>
      </c>
      <c r="K32" s="66"/>
      <c r="L32" s="477">
        <f>L33+M33</f>
        <v>78</v>
      </c>
      <c r="M32" s="478"/>
      <c r="N32" s="66"/>
    </row>
    <row r="33" ht="12.75" customHeight="1">
      <c r="A33" s="74"/>
      <c r="B33" s="76"/>
      <c r="C33" s="76"/>
      <c r="D33" s="76"/>
      <c r="E33" s="76"/>
      <c r="F33" s="75"/>
      <c r="G33" s="76"/>
      <c r="H33" s="76"/>
      <c r="I33" s="74"/>
      <c r="K33" s="66"/>
      <c r="L33" s="479">
        <f t="shared" ref="L33:N33" si="21">SUM(L35:L39)</f>
        <v>68</v>
      </c>
      <c r="M33" s="479">
        <f t="shared" si="21"/>
        <v>10</v>
      </c>
      <c r="N33" s="73">
        <f t="shared" si="21"/>
        <v>6826.9</v>
      </c>
    </row>
    <row r="34" ht="12.75" customHeight="1">
      <c r="A34" s="58">
        <v>44958.0</v>
      </c>
      <c r="B34" s="59">
        <v>0.0</v>
      </c>
      <c r="C34" s="59">
        <v>224.2</v>
      </c>
      <c r="D34" s="59">
        <v>850.0</v>
      </c>
      <c r="E34" s="59">
        <v>119.31</v>
      </c>
      <c r="F34" s="60">
        <f t="shared" ref="F34:F36" si="22">SUM(B34:E34)</f>
        <v>1193.51</v>
      </c>
      <c r="G34" s="59">
        <v>20.0</v>
      </c>
      <c r="H34" s="59">
        <v>4.0</v>
      </c>
      <c r="I34" s="61">
        <v>120.0</v>
      </c>
      <c r="K34" s="95" t="s">
        <v>77</v>
      </c>
      <c r="L34" s="96">
        <v>90.0</v>
      </c>
      <c r="M34" s="96">
        <v>70.69</v>
      </c>
      <c r="N34" s="66"/>
    </row>
    <row r="35" ht="16.5" customHeight="1">
      <c r="A35" s="58">
        <f t="shared" ref="A35:A36" si="23">A34+1</f>
        <v>44959</v>
      </c>
      <c r="B35" s="81">
        <v>360.0</v>
      </c>
      <c r="C35" s="81">
        <v>460.53</v>
      </c>
      <c r="D35" s="81">
        <v>879.31</v>
      </c>
      <c r="E35" s="81">
        <v>50.0</v>
      </c>
      <c r="F35" s="60">
        <f t="shared" si="22"/>
        <v>1749.84</v>
      </c>
      <c r="G35" s="81">
        <v>28.0</v>
      </c>
      <c r="H35" s="81">
        <v>9.0</v>
      </c>
      <c r="I35" s="83">
        <v>50.0</v>
      </c>
      <c r="K35" s="81" t="s">
        <v>70</v>
      </c>
      <c r="L35" s="480">
        <v>20.0</v>
      </c>
      <c r="M35" s="480">
        <v>3.0</v>
      </c>
      <c r="N35" s="82">
        <f t="shared" ref="N35:N39" si="24">L35*$L$34+M35*$M$34</f>
        <v>2012.07</v>
      </c>
    </row>
    <row r="36" ht="12.75" customHeight="1">
      <c r="A36" s="58">
        <f t="shared" si="23"/>
        <v>44960</v>
      </c>
      <c r="B36" s="81">
        <v>120.0</v>
      </c>
      <c r="C36" s="81">
        <v>277.32</v>
      </c>
      <c r="D36" s="81">
        <v>280.0</v>
      </c>
      <c r="E36" s="81">
        <v>0.0</v>
      </c>
      <c r="F36" s="60">
        <f t="shared" si="22"/>
        <v>677.32</v>
      </c>
      <c r="G36" s="81">
        <v>17.0</v>
      </c>
      <c r="H36" s="81">
        <v>7.0</v>
      </c>
      <c r="I36" s="83">
        <v>0.0</v>
      </c>
      <c r="K36" s="81" t="s">
        <v>71</v>
      </c>
      <c r="L36" s="480">
        <v>10.0</v>
      </c>
      <c r="M36" s="480">
        <v>5.0</v>
      </c>
      <c r="N36" s="82">
        <f t="shared" si="24"/>
        <v>1253.45</v>
      </c>
    </row>
    <row r="37" ht="12.75" customHeight="1">
      <c r="A37" s="67"/>
      <c r="B37" s="68">
        <f t="shared" ref="B37:I37" si="25">SUM(B34:B36)</f>
        <v>480</v>
      </c>
      <c r="C37" s="68">
        <f t="shared" si="25"/>
        <v>962.05</v>
      </c>
      <c r="D37" s="68">
        <f t="shared" si="25"/>
        <v>2009.31</v>
      </c>
      <c r="E37" s="68">
        <f t="shared" si="25"/>
        <v>169.31</v>
      </c>
      <c r="F37" s="68">
        <f t="shared" si="25"/>
        <v>3620.67</v>
      </c>
      <c r="G37" s="70">
        <f t="shared" si="25"/>
        <v>65</v>
      </c>
      <c r="H37" s="70">
        <f t="shared" si="25"/>
        <v>20</v>
      </c>
      <c r="I37" s="69">
        <f t="shared" si="25"/>
        <v>170</v>
      </c>
      <c r="K37" s="81" t="s">
        <v>72</v>
      </c>
      <c r="L37" s="480">
        <v>15.0</v>
      </c>
      <c r="M37" s="480">
        <v>2.0</v>
      </c>
      <c r="N37" s="82">
        <f t="shared" si="24"/>
        <v>1491.38</v>
      </c>
    </row>
    <row r="38" ht="12.75" customHeight="1">
      <c r="A38" s="74"/>
      <c r="B38" s="92"/>
      <c r="C38" s="92"/>
      <c r="D38" s="92"/>
      <c r="E38" s="92"/>
      <c r="F38" s="92"/>
      <c r="G38" s="93"/>
      <c r="H38" s="93"/>
      <c r="I38" s="93"/>
      <c r="K38" s="81" t="s">
        <v>73</v>
      </c>
      <c r="L38" s="480">
        <v>23.0</v>
      </c>
      <c r="M38" s="480"/>
      <c r="N38" s="82">
        <f t="shared" si="24"/>
        <v>2070</v>
      </c>
    </row>
    <row r="39" ht="12.75" customHeight="1">
      <c r="A39" s="97">
        <f>A36+3</f>
        <v>44963</v>
      </c>
      <c r="B39" s="98">
        <v>50.0</v>
      </c>
      <c r="C39" s="99">
        <v>298.74</v>
      </c>
      <c r="D39" s="99">
        <v>760.0</v>
      </c>
      <c r="E39" s="99">
        <v>150.0</v>
      </c>
      <c r="F39" s="100">
        <f t="shared" ref="F39:F43" si="26">SUM(B39:E39)</f>
        <v>1258.74</v>
      </c>
      <c r="G39" s="99">
        <v>26.0</v>
      </c>
      <c r="H39" s="99">
        <v>7.0</v>
      </c>
      <c r="I39" s="101">
        <v>150.0</v>
      </c>
      <c r="K39" s="81" t="s">
        <v>74</v>
      </c>
      <c r="L39" s="480"/>
      <c r="M39" s="480"/>
      <c r="N39" s="82">
        <f t="shared" si="24"/>
        <v>0</v>
      </c>
    </row>
    <row r="40" ht="12.75" customHeight="1">
      <c r="A40" s="102">
        <f t="shared" ref="A40:A43" si="27">A39+1</f>
        <v>44964</v>
      </c>
      <c r="B40" s="81">
        <v>50.0</v>
      </c>
      <c r="C40" s="81">
        <v>277.74</v>
      </c>
      <c r="D40" s="81">
        <v>1320.0</v>
      </c>
      <c r="E40" s="66">
        <v>0.0</v>
      </c>
      <c r="F40" s="104">
        <f t="shared" si="26"/>
        <v>1647.74</v>
      </c>
      <c r="G40" s="81">
        <v>29.0</v>
      </c>
      <c r="H40" s="81">
        <v>6.0</v>
      </c>
      <c r="I40" s="83">
        <v>0.0</v>
      </c>
    </row>
    <row r="41" ht="12.75" customHeight="1">
      <c r="A41" s="102">
        <f t="shared" si="27"/>
        <v>44965</v>
      </c>
      <c r="B41" s="103">
        <v>50.0</v>
      </c>
      <c r="C41" s="81">
        <v>282.34</v>
      </c>
      <c r="D41" s="81">
        <v>520.0</v>
      </c>
      <c r="E41" s="81">
        <v>0.0</v>
      </c>
      <c r="F41" s="104">
        <f t="shared" si="26"/>
        <v>852.34</v>
      </c>
      <c r="G41" s="81">
        <v>18.0</v>
      </c>
      <c r="H41" s="81">
        <v>7.0</v>
      </c>
      <c r="I41" s="83">
        <v>0.0</v>
      </c>
      <c r="K41" s="66"/>
      <c r="L41" s="477">
        <f>L42+M42</f>
        <v>62</v>
      </c>
      <c r="M41" s="478"/>
      <c r="N41" s="66"/>
    </row>
    <row r="42" ht="12.75" customHeight="1">
      <c r="A42" s="102">
        <f t="shared" si="27"/>
        <v>44966</v>
      </c>
      <c r="B42" s="103">
        <v>100.0</v>
      </c>
      <c r="C42" s="81">
        <v>41.41</v>
      </c>
      <c r="D42" s="81">
        <v>1230.0</v>
      </c>
      <c r="E42" s="81">
        <v>50.0</v>
      </c>
      <c r="F42" s="104">
        <f t="shared" si="26"/>
        <v>1421.41</v>
      </c>
      <c r="G42" s="81">
        <v>25.0</v>
      </c>
      <c r="H42" s="81">
        <v>1.0</v>
      </c>
      <c r="I42" s="83">
        <v>50.0</v>
      </c>
      <c r="K42" s="66"/>
      <c r="L42" s="479">
        <f t="shared" ref="L42:N42" si="28">SUM(L44:L48)</f>
        <v>49</v>
      </c>
      <c r="M42" s="479">
        <f t="shared" si="28"/>
        <v>13</v>
      </c>
      <c r="N42" s="73">
        <f t="shared" si="28"/>
        <v>5328.97</v>
      </c>
    </row>
    <row r="43" ht="12.75" customHeight="1">
      <c r="A43" s="102">
        <f t="shared" si="27"/>
        <v>44967</v>
      </c>
      <c r="B43" s="105">
        <v>230.0</v>
      </c>
      <c r="C43" s="106">
        <v>265.61</v>
      </c>
      <c r="D43" s="106">
        <v>690.0</v>
      </c>
      <c r="E43" s="106">
        <v>50.0</v>
      </c>
      <c r="F43" s="107">
        <f t="shared" si="26"/>
        <v>1235.61</v>
      </c>
      <c r="G43" s="106">
        <v>21.0</v>
      </c>
      <c r="H43" s="106">
        <v>5.0</v>
      </c>
      <c r="I43" s="108">
        <v>50.0</v>
      </c>
      <c r="K43" s="95" t="s">
        <v>78</v>
      </c>
      <c r="L43" s="96">
        <v>90.0</v>
      </c>
      <c r="M43" s="96">
        <v>70.69</v>
      </c>
      <c r="N43" s="66"/>
    </row>
    <row r="44" ht="12.75" customHeight="1">
      <c r="A44" s="109"/>
      <c r="B44" s="91">
        <f t="shared" ref="B44:I44" si="29">SUM(B39:B43)</f>
        <v>480</v>
      </c>
      <c r="C44" s="91">
        <f t="shared" si="29"/>
        <v>1165.84</v>
      </c>
      <c r="D44" s="91">
        <f t="shared" si="29"/>
        <v>4520</v>
      </c>
      <c r="E44" s="91">
        <f t="shared" si="29"/>
        <v>250</v>
      </c>
      <c r="F44" s="91">
        <f t="shared" si="29"/>
        <v>6415.84</v>
      </c>
      <c r="G44" s="70">
        <f t="shared" si="29"/>
        <v>119</v>
      </c>
      <c r="H44" s="70">
        <f t="shared" si="29"/>
        <v>26</v>
      </c>
      <c r="I44" s="91">
        <f t="shared" si="29"/>
        <v>250</v>
      </c>
      <c r="K44" s="81" t="s">
        <v>70</v>
      </c>
      <c r="L44" s="486">
        <v>0.0</v>
      </c>
      <c r="M44" s="486">
        <v>0.0</v>
      </c>
      <c r="N44" s="82">
        <f t="shared" ref="N44:N48" si="30">L44*$L$43+M44*$M$43</f>
        <v>0</v>
      </c>
    </row>
    <row r="45" ht="12.75" customHeight="1">
      <c r="A45" s="110"/>
      <c r="B45" s="74"/>
      <c r="C45" s="74"/>
      <c r="D45" s="74"/>
      <c r="E45" s="74"/>
      <c r="F45" s="74"/>
      <c r="G45" s="76"/>
      <c r="H45" s="76"/>
      <c r="I45" s="74"/>
      <c r="K45" s="81" t="s">
        <v>71</v>
      </c>
      <c r="L45" s="480">
        <v>25.0</v>
      </c>
      <c r="M45" s="480">
        <v>6.0</v>
      </c>
      <c r="N45" s="82">
        <f t="shared" si="30"/>
        <v>2674.14</v>
      </c>
    </row>
    <row r="46" ht="12.75" customHeight="1">
      <c r="A46" s="111">
        <f>A43+3</f>
        <v>44970</v>
      </c>
      <c r="B46" s="112">
        <v>169.31</v>
      </c>
      <c r="C46" s="112">
        <v>153.51</v>
      </c>
      <c r="D46" s="112">
        <v>1170.0</v>
      </c>
      <c r="E46" s="112">
        <v>0.0</v>
      </c>
      <c r="F46" s="107">
        <f t="shared" ref="F46:F50" si="31">SUM(B46:E46)</f>
        <v>1492.82</v>
      </c>
      <c r="G46" s="59">
        <v>25.0</v>
      </c>
      <c r="H46" s="59">
        <v>3.0</v>
      </c>
      <c r="I46" s="61">
        <v>0.0</v>
      </c>
      <c r="K46" s="81" t="s">
        <v>72</v>
      </c>
      <c r="L46" s="480">
        <v>8.0</v>
      </c>
      <c r="M46" s="480">
        <v>0.0</v>
      </c>
      <c r="N46" s="82">
        <f t="shared" si="30"/>
        <v>720</v>
      </c>
    </row>
    <row r="47" ht="12.75" customHeight="1">
      <c r="A47" s="113">
        <f t="shared" ref="A47:A50" si="32">A46+1</f>
        <v>44971</v>
      </c>
      <c r="B47" s="103">
        <v>90.0</v>
      </c>
      <c r="C47" s="103">
        <v>112.1</v>
      </c>
      <c r="D47" s="103">
        <v>1290.0</v>
      </c>
      <c r="E47" s="103">
        <v>150.0</v>
      </c>
      <c r="F47" s="107">
        <f t="shared" si="31"/>
        <v>1642.1</v>
      </c>
      <c r="G47" s="81">
        <v>27.0</v>
      </c>
      <c r="H47" s="81">
        <v>2.0</v>
      </c>
      <c r="I47" s="83">
        <v>150.0</v>
      </c>
      <c r="K47" s="81" t="s">
        <v>73</v>
      </c>
      <c r="L47" s="480">
        <v>16.0</v>
      </c>
      <c r="M47" s="480">
        <v>7.0</v>
      </c>
      <c r="N47" s="82">
        <f t="shared" si="30"/>
        <v>1934.83</v>
      </c>
    </row>
    <row r="48" ht="12.75" customHeight="1">
      <c r="A48" s="113">
        <f t="shared" si="32"/>
        <v>44972</v>
      </c>
      <c r="B48" s="103">
        <v>100.0</v>
      </c>
      <c r="C48" s="103">
        <v>231.31</v>
      </c>
      <c r="D48" s="103">
        <v>820.0</v>
      </c>
      <c r="E48" s="103">
        <v>0.0</v>
      </c>
      <c r="F48" s="107">
        <f t="shared" si="31"/>
        <v>1151.31</v>
      </c>
      <c r="G48" s="81">
        <v>21.0</v>
      </c>
      <c r="H48" s="81">
        <v>5.0</v>
      </c>
      <c r="I48" s="83">
        <v>0.0</v>
      </c>
      <c r="K48" s="81" t="s">
        <v>74</v>
      </c>
      <c r="L48" s="480"/>
      <c r="M48" s="480"/>
      <c r="N48" s="82">
        <f t="shared" si="30"/>
        <v>0</v>
      </c>
    </row>
    <row r="49" ht="12.75" customHeight="1">
      <c r="A49" s="113">
        <f t="shared" si="32"/>
        <v>44973</v>
      </c>
      <c r="B49" s="103">
        <v>100.0</v>
      </c>
      <c r="C49" s="103">
        <v>265.61</v>
      </c>
      <c r="D49" s="103">
        <v>1258.62</v>
      </c>
      <c r="E49" s="103">
        <v>100.0</v>
      </c>
      <c r="F49" s="107">
        <f t="shared" si="31"/>
        <v>1724.23</v>
      </c>
      <c r="G49" s="81">
        <v>30.0</v>
      </c>
      <c r="H49" s="81">
        <v>4.0</v>
      </c>
      <c r="I49" s="83">
        <v>100.0</v>
      </c>
    </row>
    <row r="50" ht="12.75" customHeight="1">
      <c r="A50" s="114">
        <f t="shared" si="32"/>
        <v>44974</v>
      </c>
      <c r="B50" s="103">
        <v>50.0</v>
      </c>
      <c r="C50" s="103">
        <v>194.92</v>
      </c>
      <c r="D50" s="103">
        <v>669.31</v>
      </c>
      <c r="E50" s="103">
        <v>0.0</v>
      </c>
      <c r="F50" s="107">
        <f t="shared" si="31"/>
        <v>914.23</v>
      </c>
      <c r="G50" s="81">
        <v>20.0</v>
      </c>
      <c r="H50" s="81">
        <v>4.0</v>
      </c>
      <c r="I50" s="83">
        <v>0.0</v>
      </c>
      <c r="K50" s="66"/>
      <c r="L50" s="477">
        <f>L51+M51</f>
        <v>88</v>
      </c>
      <c r="M50" s="478"/>
      <c r="N50" s="66"/>
    </row>
    <row r="51" ht="12.75" customHeight="1">
      <c r="A51" s="109"/>
      <c r="B51" s="91">
        <f t="shared" ref="B51:I51" si="33">SUM(B46:B50)</f>
        <v>509.31</v>
      </c>
      <c r="C51" s="91">
        <f t="shared" si="33"/>
        <v>957.45</v>
      </c>
      <c r="D51" s="91">
        <f t="shared" si="33"/>
        <v>5207.93</v>
      </c>
      <c r="E51" s="91">
        <f t="shared" si="33"/>
        <v>250</v>
      </c>
      <c r="F51" s="91">
        <f t="shared" si="33"/>
        <v>6924.69</v>
      </c>
      <c r="G51" s="140">
        <f t="shared" si="33"/>
        <v>123</v>
      </c>
      <c r="H51" s="133">
        <f t="shared" si="33"/>
        <v>18</v>
      </c>
      <c r="I51" s="132">
        <f t="shared" si="33"/>
        <v>250</v>
      </c>
      <c r="K51" s="66"/>
      <c r="L51" s="479">
        <f t="shared" ref="L51:M51" si="34">SUM(L53:L57)</f>
        <v>78</v>
      </c>
      <c r="M51" s="479">
        <f t="shared" si="34"/>
        <v>10</v>
      </c>
      <c r="N51" s="73">
        <f>SUM(N52:N57)</f>
        <v>7738.2</v>
      </c>
    </row>
    <row r="52" ht="12.75" customHeight="1">
      <c r="A52" s="110"/>
      <c r="B52" s="74"/>
      <c r="C52" s="74"/>
      <c r="D52" s="74"/>
      <c r="E52" s="74"/>
      <c r="F52" s="74"/>
      <c r="G52" s="75"/>
      <c r="H52" s="136"/>
      <c r="I52" s="116"/>
      <c r="K52" s="78" t="s">
        <v>79</v>
      </c>
      <c r="L52" s="79">
        <v>90.0</v>
      </c>
      <c r="M52" s="79">
        <v>71.82</v>
      </c>
      <c r="N52" s="66"/>
    </row>
    <row r="53" ht="12.75" customHeight="1">
      <c r="A53" s="113">
        <f>A50+3</f>
        <v>44977</v>
      </c>
      <c r="B53" s="103">
        <v>0.0</v>
      </c>
      <c r="C53" s="103">
        <v>298.74</v>
      </c>
      <c r="D53" s="103">
        <v>570.0</v>
      </c>
      <c r="E53" s="103">
        <v>0.0</v>
      </c>
      <c r="F53" s="107">
        <f t="shared" ref="F53:F57" si="35">SUM(B53:E53)</f>
        <v>868.74</v>
      </c>
      <c r="G53" s="81">
        <v>16.0</v>
      </c>
      <c r="H53" s="81">
        <v>7.0</v>
      </c>
      <c r="I53" s="83">
        <v>0.0</v>
      </c>
      <c r="K53" s="81" t="s">
        <v>70</v>
      </c>
      <c r="L53" s="81">
        <v>14.0</v>
      </c>
      <c r="M53" s="81">
        <v>2.0</v>
      </c>
      <c r="N53" s="82">
        <f t="shared" ref="N53:N57" si="36">L53*$L$52+M53*$M$52</f>
        <v>1403.64</v>
      </c>
    </row>
    <row r="54" ht="12.75" customHeight="1">
      <c r="A54" s="114">
        <f t="shared" ref="A54:A57" si="37">A53+1</f>
        <v>44978</v>
      </c>
      <c r="B54" s="66">
        <v>0.0</v>
      </c>
      <c r="C54" s="103"/>
      <c r="D54" s="103">
        <v>620.0</v>
      </c>
      <c r="E54" s="103">
        <v>120.0</v>
      </c>
      <c r="F54" s="107">
        <f t="shared" si="35"/>
        <v>740</v>
      </c>
      <c r="G54" s="81">
        <v>14.0</v>
      </c>
      <c r="H54" s="81">
        <v>0.0</v>
      </c>
      <c r="I54" s="83">
        <v>120.0</v>
      </c>
      <c r="K54" s="81" t="s">
        <v>71</v>
      </c>
      <c r="L54" s="487">
        <v>9.0</v>
      </c>
      <c r="M54" s="487">
        <v>0.0</v>
      </c>
      <c r="N54" s="82">
        <f t="shared" si="36"/>
        <v>810</v>
      </c>
    </row>
    <row r="55" ht="12.75" customHeight="1">
      <c r="A55" s="113">
        <f t="shared" si="37"/>
        <v>44979</v>
      </c>
      <c r="B55" s="103">
        <v>270.0</v>
      </c>
      <c r="C55" s="124">
        <v>160.62</v>
      </c>
      <c r="D55" s="124">
        <v>450.0</v>
      </c>
      <c r="E55" s="124">
        <v>0.0</v>
      </c>
      <c r="F55" s="107">
        <f t="shared" si="35"/>
        <v>880.62</v>
      </c>
      <c r="G55" s="66">
        <v>18.0</v>
      </c>
      <c r="H55" s="59">
        <v>4.0</v>
      </c>
      <c r="I55" s="61">
        <v>0.0</v>
      </c>
      <c r="K55" s="81" t="s">
        <v>72</v>
      </c>
      <c r="L55" s="487">
        <v>21.0</v>
      </c>
      <c r="M55" s="487">
        <v>3.0</v>
      </c>
      <c r="N55" s="82">
        <f t="shared" si="36"/>
        <v>2105.46</v>
      </c>
    </row>
    <row r="56" ht="12.75" customHeight="1">
      <c r="A56" s="113">
        <f t="shared" si="37"/>
        <v>44980</v>
      </c>
      <c r="B56" s="59">
        <v>119.31</v>
      </c>
      <c r="C56" s="59">
        <v>377.71</v>
      </c>
      <c r="D56" s="59">
        <v>1170.0</v>
      </c>
      <c r="E56" s="59">
        <v>100.0</v>
      </c>
      <c r="F56" s="107">
        <f t="shared" si="35"/>
        <v>1767.02</v>
      </c>
      <c r="G56" s="59">
        <v>28.0</v>
      </c>
      <c r="H56" s="59">
        <v>7.0</v>
      </c>
      <c r="I56" s="61">
        <v>100.0</v>
      </c>
      <c r="K56" s="81" t="s">
        <v>73</v>
      </c>
      <c r="L56" s="487">
        <v>22.0</v>
      </c>
      <c r="M56" s="487">
        <v>1.0</v>
      </c>
      <c r="N56" s="82">
        <f t="shared" si="36"/>
        <v>2051.82</v>
      </c>
    </row>
    <row r="57" ht="12.75" customHeight="1">
      <c r="A57" s="113">
        <f t="shared" si="37"/>
        <v>44981</v>
      </c>
      <c r="B57" s="138"/>
      <c r="C57" s="138"/>
      <c r="D57" s="138"/>
      <c r="E57" s="138"/>
      <c r="F57" s="185">
        <f t="shared" si="35"/>
        <v>0</v>
      </c>
      <c r="G57" s="154"/>
      <c r="H57" s="154"/>
      <c r="I57" s="154" t="s">
        <v>193</v>
      </c>
      <c r="K57" s="81" t="s">
        <v>74</v>
      </c>
      <c r="L57" s="487">
        <v>12.0</v>
      </c>
      <c r="M57" s="487">
        <v>4.0</v>
      </c>
      <c r="N57" s="82">
        <f t="shared" si="36"/>
        <v>1367.28</v>
      </c>
    </row>
    <row r="58" ht="12.75" customHeight="1">
      <c r="A58" s="109" t="s">
        <v>87</v>
      </c>
      <c r="B58" s="91">
        <f t="shared" ref="B58:I58" si="38">SUM(B53:B57)</f>
        <v>389.31</v>
      </c>
      <c r="C58" s="91">
        <f t="shared" si="38"/>
        <v>837.07</v>
      </c>
      <c r="D58" s="91">
        <f t="shared" si="38"/>
        <v>2810</v>
      </c>
      <c r="E58" s="91">
        <f t="shared" si="38"/>
        <v>220</v>
      </c>
      <c r="F58" s="91">
        <f t="shared" si="38"/>
        <v>4256.38</v>
      </c>
      <c r="G58" s="70">
        <f t="shared" si="38"/>
        <v>76</v>
      </c>
      <c r="H58" s="70">
        <f t="shared" si="38"/>
        <v>18</v>
      </c>
      <c r="I58" s="91">
        <f t="shared" si="38"/>
        <v>220</v>
      </c>
    </row>
    <row r="59" ht="12.75" customHeight="1">
      <c r="A59" s="110"/>
      <c r="B59" s="74"/>
      <c r="C59" s="74"/>
      <c r="D59" s="74"/>
      <c r="E59" s="74"/>
      <c r="F59" s="74"/>
      <c r="G59" s="76"/>
      <c r="H59" s="76"/>
      <c r="I59" s="74"/>
      <c r="K59" s="66"/>
      <c r="L59" s="477">
        <f>L60+M60</f>
        <v>72</v>
      </c>
      <c r="M59" s="478"/>
      <c r="N59" s="66"/>
    </row>
    <row r="60" ht="12.75" customHeight="1">
      <c r="A60" s="113">
        <f>A57+3</f>
        <v>44984</v>
      </c>
      <c r="B60" s="103">
        <v>220.0</v>
      </c>
      <c r="C60" s="103">
        <v>265.61</v>
      </c>
      <c r="D60" s="103">
        <v>979.31</v>
      </c>
      <c r="E60" s="103">
        <v>50.0</v>
      </c>
      <c r="F60" s="107">
        <f t="shared" ref="F60:F61" si="40">SUM(B60:E60)</f>
        <v>1514.92</v>
      </c>
      <c r="G60" s="81">
        <v>26.0</v>
      </c>
      <c r="H60" s="81">
        <v>5.0</v>
      </c>
      <c r="I60" s="83">
        <v>50.0</v>
      </c>
      <c r="K60" s="66"/>
      <c r="L60" s="481">
        <f t="shared" ref="L60:M60" si="39">SUM(L62:L66)</f>
        <v>63</v>
      </c>
      <c r="M60" s="481">
        <f t="shared" si="39"/>
        <v>9</v>
      </c>
      <c r="N60" s="73">
        <f>SUM(N61:N66)</f>
        <v>6316.38</v>
      </c>
    </row>
    <row r="61" ht="12.75" customHeight="1">
      <c r="A61" s="114">
        <f>A60+1</f>
        <v>44985</v>
      </c>
      <c r="B61" s="103">
        <v>100.0</v>
      </c>
      <c r="C61" s="103">
        <v>194.92</v>
      </c>
      <c r="D61" s="103">
        <v>469.31</v>
      </c>
      <c r="E61" s="103">
        <v>50.0</v>
      </c>
      <c r="F61" s="107">
        <f t="shared" si="40"/>
        <v>814.23</v>
      </c>
      <c r="G61" s="81">
        <v>14.0</v>
      </c>
      <c r="H61" s="81">
        <v>4.0</v>
      </c>
      <c r="I61" s="83">
        <v>50.0</v>
      </c>
      <c r="K61" s="95" t="s">
        <v>80</v>
      </c>
      <c r="L61" s="79">
        <v>90.0</v>
      </c>
      <c r="M61" s="79">
        <v>71.82</v>
      </c>
      <c r="N61" s="66"/>
    </row>
    <row r="62" ht="12.75" customHeight="1">
      <c r="A62" s="109" t="s">
        <v>87</v>
      </c>
      <c r="B62" s="91">
        <f t="shared" ref="B62:I62" si="41">SUM(B60:B61)</f>
        <v>320</v>
      </c>
      <c r="C62" s="91">
        <f t="shared" si="41"/>
        <v>460.53</v>
      </c>
      <c r="D62" s="91">
        <f t="shared" si="41"/>
        <v>1448.62</v>
      </c>
      <c r="E62" s="91">
        <f t="shared" si="41"/>
        <v>100</v>
      </c>
      <c r="F62" s="91">
        <f t="shared" si="41"/>
        <v>2329.15</v>
      </c>
      <c r="G62" s="70">
        <f t="shared" si="41"/>
        <v>40</v>
      </c>
      <c r="H62" s="70">
        <f t="shared" si="41"/>
        <v>9</v>
      </c>
      <c r="I62" s="91">
        <f t="shared" si="41"/>
        <v>100</v>
      </c>
      <c r="K62" s="81" t="s">
        <v>70</v>
      </c>
      <c r="L62" s="81">
        <v>16.0</v>
      </c>
      <c r="M62" s="81">
        <v>6.0</v>
      </c>
      <c r="N62" s="82">
        <f t="shared" ref="N62:N66" si="42">L62*$L$61+M62*$M$61</f>
        <v>1870.92</v>
      </c>
    </row>
    <row r="63" ht="12.75" customHeight="1">
      <c r="A63" s="110"/>
      <c r="B63" s="74"/>
      <c r="C63" s="74"/>
      <c r="D63" s="74"/>
      <c r="E63" s="74"/>
      <c r="F63" s="74"/>
      <c r="G63" s="76"/>
      <c r="H63" s="76"/>
      <c r="I63" s="74"/>
      <c r="K63" s="81" t="s">
        <v>71</v>
      </c>
      <c r="L63" s="81">
        <v>16.0</v>
      </c>
      <c r="M63" s="81">
        <v>0.0</v>
      </c>
      <c r="N63" s="82">
        <f t="shared" si="42"/>
        <v>1440</v>
      </c>
    </row>
    <row r="64" ht="12.75" customHeight="1">
      <c r="A64" s="58">
        <v>44986.0</v>
      </c>
      <c r="B64" s="81">
        <v>50.0</v>
      </c>
      <c r="C64" s="81">
        <v>310.59</v>
      </c>
      <c r="D64" s="81">
        <v>389.31</v>
      </c>
      <c r="E64" s="81">
        <v>0.0</v>
      </c>
      <c r="F64" s="60">
        <f t="shared" ref="F64:F66" si="43">SUM(B64:E64)</f>
        <v>749.9</v>
      </c>
      <c r="G64" s="81">
        <v>14.0</v>
      </c>
      <c r="H64" s="81">
        <v>6.0</v>
      </c>
      <c r="I64" s="83">
        <v>0.0</v>
      </c>
      <c r="K64" s="81" t="s">
        <v>72</v>
      </c>
      <c r="L64" s="81">
        <v>13.0</v>
      </c>
      <c r="M64" s="81">
        <v>3.0</v>
      </c>
      <c r="N64" s="82">
        <f t="shared" si="42"/>
        <v>1385.46</v>
      </c>
    </row>
    <row r="65" ht="12.75" customHeight="1">
      <c r="A65" s="58">
        <f t="shared" ref="A65:A66" si="44">A64+1</f>
        <v>44987</v>
      </c>
      <c r="B65" s="81">
        <v>120.0</v>
      </c>
      <c r="C65" s="81">
        <v>348.43</v>
      </c>
      <c r="D65" s="81">
        <v>898.62</v>
      </c>
      <c r="E65" s="81">
        <v>100.0</v>
      </c>
      <c r="F65" s="60">
        <f t="shared" si="43"/>
        <v>1467.05</v>
      </c>
      <c r="G65" s="81">
        <v>26.0</v>
      </c>
      <c r="H65" s="81">
        <v>7.0</v>
      </c>
      <c r="I65" s="81">
        <v>100.0</v>
      </c>
      <c r="K65" s="81" t="s">
        <v>73</v>
      </c>
      <c r="L65" s="81">
        <v>18.0</v>
      </c>
      <c r="M65" s="81">
        <v>0.0</v>
      </c>
      <c r="N65" s="82">
        <f t="shared" si="42"/>
        <v>1620</v>
      </c>
    </row>
    <row r="66" ht="12.75" customHeight="1">
      <c r="A66" s="58">
        <f t="shared" si="44"/>
        <v>44988</v>
      </c>
      <c r="B66" s="81">
        <v>100.0</v>
      </c>
      <c r="C66" s="81">
        <v>182.79</v>
      </c>
      <c r="D66" s="81">
        <v>870.0</v>
      </c>
      <c r="E66" s="81">
        <v>190.0</v>
      </c>
      <c r="F66" s="60">
        <f t="shared" si="43"/>
        <v>1342.79</v>
      </c>
      <c r="G66" s="81">
        <v>24.0</v>
      </c>
      <c r="H66" s="81">
        <v>3.0</v>
      </c>
      <c r="I66" s="81">
        <v>190.0</v>
      </c>
      <c r="K66" s="81" t="s">
        <v>74</v>
      </c>
      <c r="L66" s="81"/>
      <c r="M66" s="81"/>
      <c r="N66" s="82">
        <f t="shared" si="42"/>
        <v>0</v>
      </c>
    </row>
    <row r="67" ht="12.75" customHeight="1">
      <c r="A67" s="67"/>
      <c r="B67" s="68">
        <f t="shared" ref="B67:I67" si="45">SUM(B64:B66)</f>
        <v>270</v>
      </c>
      <c r="C67" s="68">
        <f t="shared" si="45"/>
        <v>841.81</v>
      </c>
      <c r="D67" s="68">
        <f t="shared" si="45"/>
        <v>2157.93</v>
      </c>
      <c r="E67" s="68">
        <f t="shared" si="45"/>
        <v>290</v>
      </c>
      <c r="F67" s="68">
        <f t="shared" si="45"/>
        <v>3559.74</v>
      </c>
      <c r="G67" s="70">
        <f t="shared" si="45"/>
        <v>64</v>
      </c>
      <c r="H67" s="70">
        <f t="shared" si="45"/>
        <v>16</v>
      </c>
      <c r="I67" s="91">
        <f t="shared" si="45"/>
        <v>290</v>
      </c>
      <c r="K67" s="64"/>
      <c r="L67" s="66"/>
      <c r="M67" s="66"/>
      <c r="N67" s="66"/>
    </row>
    <row r="68" ht="12.75" customHeight="1">
      <c r="A68" s="74"/>
      <c r="B68" s="92"/>
      <c r="C68" s="92"/>
      <c r="D68" s="92"/>
      <c r="E68" s="92"/>
      <c r="F68" s="75"/>
      <c r="G68" s="93"/>
      <c r="H68" s="93"/>
      <c r="I68" s="94"/>
      <c r="K68" s="66"/>
      <c r="L68" s="477">
        <f>L69+M69</f>
        <v>15</v>
      </c>
      <c r="M68" s="478"/>
      <c r="N68" s="66"/>
    </row>
    <row r="69" ht="12.75" customHeight="1">
      <c r="A69" s="97">
        <f>A66+3</f>
        <v>44991</v>
      </c>
      <c r="B69" s="98">
        <v>50.0</v>
      </c>
      <c r="C69" s="99">
        <v>41.41</v>
      </c>
      <c r="D69" s="99">
        <v>470.0</v>
      </c>
      <c r="E69" s="99">
        <v>140.0</v>
      </c>
      <c r="F69" s="60">
        <f t="shared" ref="F69:F73" si="47">SUM(B69:E69)</f>
        <v>701.41</v>
      </c>
      <c r="G69" s="99">
        <v>13.0</v>
      </c>
      <c r="H69" s="99">
        <v>1.0</v>
      </c>
      <c r="I69" s="101">
        <v>140.0</v>
      </c>
      <c r="K69" s="66"/>
      <c r="L69" s="481">
        <f t="shared" ref="L69:N69" si="46">SUM(L71:L75)</f>
        <v>12</v>
      </c>
      <c r="M69" s="481">
        <f t="shared" si="46"/>
        <v>3</v>
      </c>
      <c r="N69" s="482">
        <f t="shared" si="46"/>
        <v>1295.46</v>
      </c>
    </row>
    <row r="70" ht="12.75" customHeight="1">
      <c r="A70" s="102">
        <f t="shared" ref="A70:A73" si="48">A69+1</f>
        <v>44992</v>
      </c>
      <c r="B70" s="103">
        <v>0.0</v>
      </c>
      <c r="C70" s="81">
        <v>124.23</v>
      </c>
      <c r="D70" s="81">
        <v>370.0</v>
      </c>
      <c r="E70" s="81">
        <v>250.0</v>
      </c>
      <c r="F70" s="60">
        <f t="shared" si="47"/>
        <v>744.23</v>
      </c>
      <c r="G70" s="81">
        <v>16.0</v>
      </c>
      <c r="H70" s="81">
        <v>3.0</v>
      </c>
      <c r="I70" s="83">
        <v>250.0</v>
      </c>
      <c r="K70" s="333" t="s">
        <v>81</v>
      </c>
      <c r="L70" s="426">
        <v>90.0</v>
      </c>
      <c r="M70" s="426">
        <v>71.82</v>
      </c>
      <c r="N70" s="81"/>
    </row>
    <row r="71" ht="12.75" customHeight="1">
      <c r="A71" s="102">
        <f t="shared" si="48"/>
        <v>44993</v>
      </c>
      <c r="B71" s="103">
        <v>250.0</v>
      </c>
      <c r="C71" s="81">
        <v>119.21</v>
      </c>
      <c r="D71" s="81">
        <v>400.0</v>
      </c>
      <c r="E71" s="81">
        <v>150.0</v>
      </c>
      <c r="F71" s="60">
        <f t="shared" si="47"/>
        <v>919.21</v>
      </c>
      <c r="G71" s="81">
        <v>19.0</v>
      </c>
      <c r="H71" s="81">
        <v>3.0</v>
      </c>
      <c r="I71" s="83">
        <v>150.0</v>
      </c>
      <c r="K71" s="81" t="s">
        <v>70</v>
      </c>
      <c r="L71" s="81">
        <v>12.0</v>
      </c>
      <c r="M71" s="81">
        <v>3.0</v>
      </c>
      <c r="N71" s="82">
        <f>L71*L70+M71*M70</f>
        <v>1295.46</v>
      </c>
    </row>
    <row r="72" ht="12.75" customHeight="1">
      <c r="A72" s="102">
        <f t="shared" si="48"/>
        <v>44994</v>
      </c>
      <c r="B72" s="103">
        <v>180.0</v>
      </c>
      <c r="C72" s="81">
        <v>582.25</v>
      </c>
      <c r="D72" s="81">
        <v>739.31</v>
      </c>
      <c r="E72" s="81">
        <v>50.0</v>
      </c>
      <c r="F72" s="60">
        <f t="shared" si="47"/>
        <v>1551.56</v>
      </c>
      <c r="G72" s="81">
        <v>27.0</v>
      </c>
      <c r="H72" s="81">
        <v>12.0</v>
      </c>
      <c r="I72" s="83">
        <v>60.0</v>
      </c>
      <c r="K72" s="59" t="s">
        <v>71</v>
      </c>
      <c r="L72" s="84"/>
      <c r="M72" s="84"/>
      <c r="N72" s="120">
        <f t="shared" ref="N72:N75" si="49">L72*$C$45+M72*$D$45</f>
        <v>0</v>
      </c>
    </row>
    <row r="73" ht="12.75" customHeight="1">
      <c r="A73" s="102">
        <f t="shared" si="48"/>
        <v>44995</v>
      </c>
      <c r="B73" s="103">
        <v>0.0</v>
      </c>
      <c r="C73" s="81">
        <v>307.02</v>
      </c>
      <c r="D73" s="81">
        <v>950.0</v>
      </c>
      <c r="E73" s="81">
        <v>0.0</v>
      </c>
      <c r="F73" s="60">
        <f t="shared" si="47"/>
        <v>1257.02</v>
      </c>
      <c r="G73" s="81">
        <v>21.0</v>
      </c>
      <c r="H73" s="81">
        <v>6.0</v>
      </c>
      <c r="I73" s="83">
        <v>0.0</v>
      </c>
      <c r="K73" s="59" t="s">
        <v>72</v>
      </c>
      <c r="L73" s="84"/>
      <c r="M73" s="84"/>
      <c r="N73" s="120">
        <f t="shared" si="49"/>
        <v>0</v>
      </c>
    </row>
    <row r="74" ht="12.75" customHeight="1">
      <c r="A74" s="67"/>
      <c r="B74" s="121">
        <f t="shared" ref="B74:I74" si="50">SUM(B69:B73)</f>
        <v>480</v>
      </c>
      <c r="C74" s="121">
        <f t="shared" si="50"/>
        <v>1174.12</v>
      </c>
      <c r="D74" s="121">
        <f t="shared" si="50"/>
        <v>2929.31</v>
      </c>
      <c r="E74" s="121">
        <f t="shared" si="50"/>
        <v>590</v>
      </c>
      <c r="F74" s="132">
        <f t="shared" si="50"/>
        <v>5173.43</v>
      </c>
      <c r="G74" s="122">
        <f t="shared" si="50"/>
        <v>96</v>
      </c>
      <c r="H74" s="122">
        <f t="shared" si="50"/>
        <v>25</v>
      </c>
      <c r="I74" s="121">
        <f t="shared" si="50"/>
        <v>600</v>
      </c>
      <c r="K74" s="59" t="s">
        <v>73</v>
      </c>
      <c r="L74" s="84"/>
      <c r="M74" s="84"/>
      <c r="N74" s="120">
        <f t="shared" si="49"/>
        <v>0</v>
      </c>
    </row>
    <row r="75" ht="12.75" customHeight="1">
      <c r="A75" s="94"/>
      <c r="B75" s="75"/>
      <c r="C75" s="75"/>
      <c r="D75" s="75"/>
      <c r="E75" s="75"/>
      <c r="F75" s="136"/>
      <c r="G75" s="75"/>
      <c r="H75" s="75"/>
      <c r="I75" s="75"/>
      <c r="K75" s="59" t="s">
        <v>74</v>
      </c>
      <c r="L75" s="81"/>
      <c r="M75" s="81"/>
      <c r="N75" s="82">
        <f t="shared" si="49"/>
        <v>0</v>
      </c>
    </row>
    <row r="76" ht="12.75" customHeight="1">
      <c r="A76" s="123">
        <f>A73+3</f>
        <v>44998</v>
      </c>
      <c r="B76" s="98">
        <v>120.0</v>
      </c>
      <c r="C76" s="99">
        <v>383.45</v>
      </c>
      <c r="D76" s="99">
        <v>1118.62</v>
      </c>
      <c r="E76" s="99">
        <v>67.0</v>
      </c>
      <c r="F76" s="60">
        <f t="shared" ref="F76:F80" si="51">SUM(B76:E76)</f>
        <v>1689.07</v>
      </c>
      <c r="G76" s="99">
        <v>28.0</v>
      </c>
      <c r="H76" s="99">
        <v>6.0</v>
      </c>
      <c r="I76" s="101">
        <v>60.0</v>
      </c>
    </row>
    <row r="77" ht="12.75" customHeight="1">
      <c r="A77" s="123">
        <f t="shared" ref="A77:A80" si="52">A76+1</f>
        <v>44999</v>
      </c>
      <c r="B77" s="103">
        <v>150.0</v>
      </c>
      <c r="C77" s="81">
        <v>41.41</v>
      </c>
      <c r="D77" s="81">
        <v>710.0</v>
      </c>
      <c r="E77" s="81">
        <v>0.0</v>
      </c>
      <c r="F77" s="60">
        <f t="shared" si="51"/>
        <v>901.41</v>
      </c>
      <c r="G77" s="81">
        <v>15.0</v>
      </c>
      <c r="H77" s="81">
        <v>1.0</v>
      </c>
      <c r="I77" s="83">
        <v>0.0</v>
      </c>
      <c r="K77" s="64"/>
      <c r="L77" s="477">
        <f>L78+M78</f>
        <v>72</v>
      </c>
      <c r="M77" s="478"/>
      <c r="N77" s="66"/>
    </row>
    <row r="78" ht="12.75" customHeight="1">
      <c r="A78" s="123">
        <f t="shared" si="52"/>
        <v>45000</v>
      </c>
      <c r="B78" s="103">
        <v>0.0</v>
      </c>
      <c r="C78" s="81">
        <v>382.31</v>
      </c>
      <c r="D78" s="81">
        <v>489.31</v>
      </c>
      <c r="E78" s="81">
        <v>0.0</v>
      </c>
      <c r="F78" s="60">
        <f t="shared" si="51"/>
        <v>871.62</v>
      </c>
      <c r="G78" s="81">
        <v>17.0</v>
      </c>
      <c r="H78" s="81">
        <v>8.0</v>
      </c>
      <c r="I78" s="83">
        <v>0.0</v>
      </c>
      <c r="K78" s="64"/>
      <c r="L78" s="483">
        <f t="shared" ref="L78:N78" si="53">SUM(L80:L84)</f>
        <v>62</v>
      </c>
      <c r="M78" s="483">
        <f t="shared" si="53"/>
        <v>10</v>
      </c>
      <c r="N78" s="488">
        <f t="shared" si="53"/>
        <v>6298.2</v>
      </c>
    </row>
    <row r="79" ht="12.75" customHeight="1">
      <c r="A79" s="123">
        <f t="shared" si="52"/>
        <v>45001</v>
      </c>
      <c r="B79" s="103">
        <v>180.0</v>
      </c>
      <c r="C79" s="81">
        <v>406.99</v>
      </c>
      <c r="D79" s="81">
        <v>668.62</v>
      </c>
      <c r="E79" s="81">
        <v>150.0</v>
      </c>
      <c r="F79" s="60">
        <f t="shared" si="51"/>
        <v>1405.61</v>
      </c>
      <c r="G79" s="81">
        <v>25.0</v>
      </c>
      <c r="H79" s="81">
        <v>7.0</v>
      </c>
      <c r="I79" s="83">
        <v>150.0</v>
      </c>
      <c r="K79" s="117" t="s">
        <v>82</v>
      </c>
      <c r="L79" s="79">
        <v>90.0</v>
      </c>
      <c r="M79" s="79">
        <v>71.82</v>
      </c>
      <c r="N79" s="66"/>
    </row>
    <row r="80" ht="12.75" customHeight="1">
      <c r="A80" s="123">
        <f t="shared" si="52"/>
        <v>45002</v>
      </c>
      <c r="B80" s="103">
        <v>140.0</v>
      </c>
      <c r="C80" s="81">
        <v>236.33</v>
      </c>
      <c r="D80" s="81">
        <v>899.31</v>
      </c>
      <c r="E80" s="81">
        <v>150.0</v>
      </c>
      <c r="F80" s="60">
        <f t="shared" si="51"/>
        <v>1425.64</v>
      </c>
      <c r="G80" s="81">
        <v>24.0</v>
      </c>
      <c r="H80" s="81">
        <v>5.0</v>
      </c>
      <c r="I80" s="83">
        <v>150.0</v>
      </c>
      <c r="K80" s="81" t="s">
        <v>70</v>
      </c>
      <c r="L80" s="118">
        <v>8.0</v>
      </c>
      <c r="M80" s="118">
        <v>2.0</v>
      </c>
      <c r="N80" s="82">
        <f t="shared" ref="N80:N84" si="55">L80*$L$79+M80*$M$79</f>
        <v>863.64</v>
      </c>
    </row>
    <row r="81" ht="12.75" customHeight="1">
      <c r="A81" s="67"/>
      <c r="B81" s="121">
        <f t="shared" ref="B81:I81" si="54">SUM(B76:B80)</f>
        <v>590</v>
      </c>
      <c r="C81" s="121">
        <f t="shared" si="54"/>
        <v>1450.49</v>
      </c>
      <c r="D81" s="121">
        <f t="shared" si="54"/>
        <v>3885.86</v>
      </c>
      <c r="E81" s="121">
        <f t="shared" si="54"/>
        <v>367</v>
      </c>
      <c r="F81" s="132">
        <f t="shared" si="54"/>
        <v>6293.35</v>
      </c>
      <c r="G81" s="128">
        <f t="shared" si="54"/>
        <v>109</v>
      </c>
      <c r="H81" s="128">
        <f t="shared" si="54"/>
        <v>27</v>
      </c>
      <c r="I81" s="121">
        <f t="shared" si="54"/>
        <v>360</v>
      </c>
      <c r="K81" s="59" t="s">
        <v>71</v>
      </c>
      <c r="L81" s="124">
        <v>24.0</v>
      </c>
      <c r="M81" s="124">
        <v>2.0</v>
      </c>
      <c r="N81" s="82">
        <f t="shared" si="55"/>
        <v>2303.64</v>
      </c>
    </row>
    <row r="82" ht="12.75" customHeight="1">
      <c r="A82" s="94"/>
      <c r="B82" s="92"/>
      <c r="C82" s="92"/>
      <c r="D82" s="92"/>
      <c r="E82" s="92"/>
      <c r="F82" s="136"/>
      <c r="G82" s="92"/>
      <c r="H82" s="92"/>
      <c r="I82" s="92"/>
      <c r="K82" s="59" t="s">
        <v>72</v>
      </c>
      <c r="L82" s="124">
        <v>17.0</v>
      </c>
      <c r="M82" s="124">
        <v>3.0</v>
      </c>
      <c r="N82" s="82">
        <f t="shared" si="55"/>
        <v>1745.46</v>
      </c>
    </row>
    <row r="83" ht="12.75" customHeight="1">
      <c r="A83" s="129">
        <f>A80+3</f>
        <v>45005</v>
      </c>
      <c r="B83" s="98">
        <v>50.0</v>
      </c>
      <c r="C83" s="99">
        <v>82.82</v>
      </c>
      <c r="D83" s="99">
        <v>790.0</v>
      </c>
      <c r="E83" s="99">
        <v>0.0</v>
      </c>
      <c r="F83" s="60">
        <f t="shared" ref="F83:F87" si="56">SUM(B83:E83)</f>
        <v>922.82</v>
      </c>
      <c r="G83" s="99">
        <v>17.0</v>
      </c>
      <c r="H83" s="99">
        <v>2.0</v>
      </c>
      <c r="I83" s="101">
        <v>0.0</v>
      </c>
      <c r="K83" s="59" t="s">
        <v>73</v>
      </c>
      <c r="L83" s="124">
        <v>13.0</v>
      </c>
      <c r="M83" s="124">
        <v>3.0</v>
      </c>
      <c r="N83" s="82">
        <f t="shared" si="55"/>
        <v>1385.46</v>
      </c>
    </row>
    <row r="84" ht="12.75" customHeight="1">
      <c r="A84" s="129">
        <f t="shared" ref="A84:A86" si="57">A83+1</f>
        <v>45006</v>
      </c>
      <c r="B84" s="103">
        <v>0.0</v>
      </c>
      <c r="C84" s="81">
        <v>254.92</v>
      </c>
      <c r="D84" s="81">
        <v>780.0</v>
      </c>
      <c r="E84" s="81">
        <v>0.0</v>
      </c>
      <c r="F84" s="60">
        <f t="shared" si="56"/>
        <v>1034.92</v>
      </c>
      <c r="G84" s="81">
        <v>20.0</v>
      </c>
      <c r="H84" s="81">
        <v>6.0</v>
      </c>
      <c r="I84" s="83">
        <v>0.0</v>
      </c>
      <c r="K84" s="59" t="s">
        <v>74</v>
      </c>
      <c r="L84" s="124"/>
      <c r="M84" s="124"/>
      <c r="N84" s="82">
        <f t="shared" si="55"/>
        <v>0</v>
      </c>
    </row>
    <row r="85" ht="12.75" customHeight="1">
      <c r="A85" s="129">
        <f t="shared" si="57"/>
        <v>45007</v>
      </c>
      <c r="B85" s="103">
        <v>320.0</v>
      </c>
      <c r="C85" s="81">
        <v>282.34</v>
      </c>
      <c r="D85" s="81">
        <v>590.0</v>
      </c>
      <c r="E85" s="81">
        <v>0.0</v>
      </c>
      <c r="F85" s="60">
        <f t="shared" si="56"/>
        <v>1192.34</v>
      </c>
      <c r="G85" s="81">
        <v>24.0</v>
      </c>
      <c r="H85" s="81">
        <v>7.0</v>
      </c>
      <c r="I85" s="83">
        <v>0.0</v>
      </c>
    </row>
    <row r="86" ht="12.75" customHeight="1">
      <c r="A86" s="129">
        <f t="shared" si="57"/>
        <v>45008</v>
      </c>
      <c r="B86" s="103">
        <v>220.0</v>
      </c>
      <c r="C86" s="81">
        <v>211.64</v>
      </c>
      <c r="D86" s="81">
        <v>1470.0</v>
      </c>
      <c r="E86" s="81">
        <v>0.0</v>
      </c>
      <c r="F86" s="60">
        <f t="shared" si="56"/>
        <v>1901.64</v>
      </c>
      <c r="G86" s="81">
        <v>33.0</v>
      </c>
      <c r="H86" s="81">
        <v>5.0</v>
      </c>
      <c r="I86" s="83">
        <v>0.0</v>
      </c>
      <c r="K86" s="64"/>
      <c r="L86" s="477">
        <f>L87+M87</f>
        <v>50</v>
      </c>
      <c r="M86" s="478"/>
      <c r="N86" s="66"/>
    </row>
    <row r="87" ht="12.75" customHeight="1">
      <c r="A87" s="129">
        <f>A84+3</f>
        <v>45009</v>
      </c>
      <c r="B87" s="105">
        <v>50.0</v>
      </c>
      <c r="C87" s="106">
        <v>112.1</v>
      </c>
      <c r="D87" s="106">
        <v>1030.0</v>
      </c>
      <c r="E87" s="106">
        <v>100.0</v>
      </c>
      <c r="F87" s="60">
        <f t="shared" si="56"/>
        <v>1292.1</v>
      </c>
      <c r="G87" s="106">
        <v>23.0</v>
      </c>
      <c r="H87" s="106">
        <v>2.0</v>
      </c>
      <c r="I87" s="108">
        <v>100.0</v>
      </c>
      <c r="K87" s="64"/>
      <c r="L87" s="483">
        <f t="shared" ref="L87:N87" si="58">SUM(L89:L93)</f>
        <v>38</v>
      </c>
      <c r="M87" s="483">
        <f t="shared" si="58"/>
        <v>12</v>
      </c>
      <c r="N87" s="73">
        <f t="shared" si="58"/>
        <v>4281.84</v>
      </c>
    </row>
    <row r="88" ht="12.75" customHeight="1">
      <c r="A88" s="131"/>
      <c r="B88" s="68">
        <f t="shared" ref="B88:I88" si="59">SUM(B83:B87)</f>
        <v>640</v>
      </c>
      <c r="C88" s="132">
        <f t="shared" si="59"/>
        <v>943.82</v>
      </c>
      <c r="D88" s="132">
        <f t="shared" si="59"/>
        <v>4660</v>
      </c>
      <c r="E88" s="132">
        <f t="shared" si="59"/>
        <v>100</v>
      </c>
      <c r="F88" s="132">
        <f t="shared" si="59"/>
        <v>6343.82</v>
      </c>
      <c r="G88" s="133">
        <f t="shared" si="59"/>
        <v>117</v>
      </c>
      <c r="H88" s="133">
        <f t="shared" si="59"/>
        <v>22</v>
      </c>
      <c r="I88" s="134">
        <f t="shared" si="59"/>
        <v>100</v>
      </c>
      <c r="K88" s="78" t="s">
        <v>83</v>
      </c>
      <c r="L88" s="79">
        <v>90.0</v>
      </c>
      <c r="M88" s="79">
        <v>71.82</v>
      </c>
      <c r="N88" s="66"/>
    </row>
    <row r="89" ht="12.75" customHeight="1">
      <c r="A89" s="135"/>
      <c r="B89" s="75"/>
      <c r="C89" s="136"/>
      <c r="D89" s="136"/>
      <c r="E89" s="136"/>
      <c r="F89" s="136"/>
      <c r="G89" s="136"/>
      <c r="H89" s="136"/>
      <c r="I89" s="137"/>
      <c r="K89" s="81" t="s">
        <v>70</v>
      </c>
      <c r="L89" s="81">
        <v>16.0</v>
      </c>
      <c r="M89" s="81">
        <v>7.0</v>
      </c>
      <c r="N89" s="82">
        <f t="shared" ref="N89:N93" si="60">L89*$L$88+M89*$M$88</f>
        <v>1942.74</v>
      </c>
    </row>
    <row r="90" ht="12.75" customHeight="1">
      <c r="A90" s="129">
        <f>A87+3</f>
        <v>45012</v>
      </c>
      <c r="B90" s="98">
        <v>190.0</v>
      </c>
      <c r="C90" s="99">
        <v>319.15</v>
      </c>
      <c r="D90" s="99">
        <v>760.0</v>
      </c>
      <c r="E90" s="99">
        <v>90.0</v>
      </c>
      <c r="F90" s="60">
        <f t="shared" ref="F90:F94" si="61">SUM(B90:E90)</f>
        <v>1359.15</v>
      </c>
      <c r="G90" s="99">
        <v>26.0</v>
      </c>
      <c r="H90" s="99">
        <v>7.0</v>
      </c>
      <c r="I90" s="101">
        <v>90.0</v>
      </c>
      <c r="K90" s="81" t="s">
        <v>71</v>
      </c>
      <c r="L90" s="81">
        <v>22.0</v>
      </c>
      <c r="M90" s="81">
        <v>5.0</v>
      </c>
      <c r="N90" s="82">
        <f t="shared" si="60"/>
        <v>2339.1</v>
      </c>
    </row>
    <row r="91" ht="12.75" customHeight="1">
      <c r="A91" s="129">
        <f t="shared" ref="A91:A94" si="62">A90+1</f>
        <v>45013</v>
      </c>
      <c r="B91" s="103">
        <v>200.0</v>
      </c>
      <c r="C91" s="81">
        <v>70.69</v>
      </c>
      <c r="D91" s="81">
        <v>269.31</v>
      </c>
      <c r="E91" s="81">
        <v>190.0</v>
      </c>
      <c r="F91" s="60">
        <f t="shared" si="61"/>
        <v>730</v>
      </c>
      <c r="G91" s="81">
        <v>14.0</v>
      </c>
      <c r="H91" s="81">
        <v>1.0</v>
      </c>
      <c r="I91" s="83">
        <v>190.0</v>
      </c>
      <c r="K91" s="81" t="s">
        <v>72</v>
      </c>
      <c r="L91" s="81"/>
      <c r="M91" s="81"/>
      <c r="N91" s="82">
        <f t="shared" si="60"/>
        <v>0</v>
      </c>
    </row>
    <row r="92" ht="12.75" customHeight="1">
      <c r="A92" s="129">
        <f t="shared" si="62"/>
        <v>45014</v>
      </c>
      <c r="B92" s="103">
        <v>190.0</v>
      </c>
      <c r="C92" s="81">
        <v>223.03</v>
      </c>
      <c r="D92" s="81">
        <v>560.0</v>
      </c>
      <c r="E92" s="81">
        <v>100.0</v>
      </c>
      <c r="F92" s="60">
        <f t="shared" si="61"/>
        <v>1073.03</v>
      </c>
      <c r="G92" s="81">
        <v>22.0</v>
      </c>
      <c r="H92" s="81">
        <v>6.0</v>
      </c>
      <c r="I92" s="83">
        <v>100.0</v>
      </c>
      <c r="K92" s="81" t="s">
        <v>73</v>
      </c>
      <c r="L92" s="81"/>
      <c r="M92" s="81"/>
      <c r="N92" s="82">
        <f t="shared" si="60"/>
        <v>0</v>
      </c>
    </row>
    <row r="93" ht="12.75" customHeight="1">
      <c r="A93" s="129">
        <f t="shared" si="62"/>
        <v>45015</v>
      </c>
      <c r="B93" s="103">
        <v>90.0</v>
      </c>
      <c r="C93" s="81">
        <v>395.58</v>
      </c>
      <c r="D93" s="81">
        <v>988.62</v>
      </c>
      <c r="E93" s="81">
        <v>100.0</v>
      </c>
      <c r="F93" s="60">
        <f t="shared" si="61"/>
        <v>1574.2</v>
      </c>
      <c r="G93" s="81">
        <v>26.0</v>
      </c>
      <c r="H93" s="81">
        <v>7.0</v>
      </c>
      <c r="I93" s="83">
        <v>100.0</v>
      </c>
      <c r="K93" s="81" t="s">
        <v>74</v>
      </c>
      <c r="L93" s="81"/>
      <c r="M93" s="81"/>
      <c r="N93" s="82">
        <f t="shared" si="60"/>
        <v>0</v>
      </c>
    </row>
    <row r="94" ht="12.75" customHeight="1">
      <c r="A94" s="129">
        <f t="shared" si="62"/>
        <v>45016</v>
      </c>
      <c r="B94" s="103">
        <v>50.0</v>
      </c>
      <c r="C94" s="81">
        <v>336.3</v>
      </c>
      <c r="D94" s="81">
        <v>648.62</v>
      </c>
      <c r="E94" s="81">
        <v>0.0</v>
      </c>
      <c r="F94" s="60">
        <f t="shared" si="61"/>
        <v>1034.92</v>
      </c>
      <c r="G94" s="81">
        <v>19.0</v>
      </c>
      <c r="H94" s="81">
        <v>6.0</v>
      </c>
      <c r="I94" s="83">
        <v>0.0</v>
      </c>
    </row>
    <row r="95" ht="12.75" customHeight="1">
      <c r="A95" s="131"/>
      <c r="B95" s="132">
        <f t="shared" ref="B95:I95" si="63">SUM(B90:B94)</f>
        <v>720</v>
      </c>
      <c r="C95" s="132">
        <f t="shared" si="63"/>
        <v>1344.75</v>
      </c>
      <c r="D95" s="132">
        <f t="shared" si="63"/>
        <v>3226.55</v>
      </c>
      <c r="E95" s="132">
        <f t="shared" si="63"/>
        <v>480</v>
      </c>
      <c r="F95" s="132">
        <f t="shared" si="63"/>
        <v>5771.3</v>
      </c>
      <c r="G95" s="133">
        <f t="shared" si="63"/>
        <v>107</v>
      </c>
      <c r="H95" s="133">
        <f t="shared" si="63"/>
        <v>27</v>
      </c>
      <c r="I95" s="134">
        <f t="shared" si="63"/>
        <v>480</v>
      </c>
      <c r="K95" s="64"/>
      <c r="L95" s="477">
        <f>L96+M96</f>
        <v>51</v>
      </c>
      <c r="M95" s="478"/>
      <c r="N95" s="66"/>
    </row>
    <row r="96" ht="12.75" customHeight="1">
      <c r="A96" s="135"/>
      <c r="B96" s="136"/>
      <c r="C96" s="136"/>
      <c r="D96" s="136"/>
      <c r="E96" s="136"/>
      <c r="F96" s="136"/>
      <c r="G96" s="136"/>
      <c r="H96" s="136"/>
      <c r="I96" s="137"/>
      <c r="K96" s="64"/>
      <c r="L96" s="483">
        <f t="shared" ref="L96:N96" si="64">SUM(L98:L102)</f>
        <v>39</v>
      </c>
      <c r="M96" s="483">
        <f t="shared" si="64"/>
        <v>12</v>
      </c>
      <c r="N96" s="336">
        <f t="shared" si="64"/>
        <v>4371.84</v>
      </c>
    </row>
    <row r="97" ht="12.75" customHeight="1">
      <c r="A97" s="58">
        <v>45019.0</v>
      </c>
      <c r="B97" s="59">
        <v>0.0</v>
      </c>
      <c r="C97" s="59">
        <v>336.3</v>
      </c>
      <c r="D97" s="59">
        <v>549.31</v>
      </c>
      <c r="E97" s="59">
        <v>100.0</v>
      </c>
      <c r="F97" s="60">
        <f t="shared" ref="F97:F101" si="65">SUM(B97:E97)</f>
        <v>985.61</v>
      </c>
      <c r="G97" s="59">
        <v>18.0</v>
      </c>
      <c r="H97" s="59">
        <v>6.0</v>
      </c>
      <c r="I97" s="61">
        <v>100.0</v>
      </c>
      <c r="K97" s="78" t="s">
        <v>84</v>
      </c>
      <c r="L97" s="79">
        <v>90.0</v>
      </c>
      <c r="M97" s="79">
        <v>71.82</v>
      </c>
      <c r="N97" s="66"/>
    </row>
    <row r="98" ht="12.75" customHeight="1">
      <c r="A98" s="58">
        <f t="shared" ref="A98:A101" si="66">A97+1</f>
        <v>45020</v>
      </c>
      <c r="B98" s="59">
        <v>50.0</v>
      </c>
      <c r="C98" s="59">
        <v>70.69</v>
      </c>
      <c r="D98" s="59">
        <v>659.31</v>
      </c>
      <c r="E98" s="59">
        <v>50.0</v>
      </c>
      <c r="F98" s="60">
        <f t="shared" si="65"/>
        <v>830</v>
      </c>
      <c r="G98" s="59">
        <v>14.0</v>
      </c>
      <c r="H98" s="59">
        <v>1.0</v>
      </c>
      <c r="I98" s="61">
        <v>50.0</v>
      </c>
      <c r="K98" s="81" t="s">
        <v>70</v>
      </c>
      <c r="L98" s="84"/>
      <c r="M98" s="84"/>
      <c r="N98" s="120">
        <f t="shared" ref="N98:N99" si="67">L98*$C$41+M98*$D$41</f>
        <v>0</v>
      </c>
    </row>
    <row r="99" ht="12.75" customHeight="1">
      <c r="A99" s="58">
        <f t="shared" si="66"/>
        <v>45021</v>
      </c>
      <c r="B99" s="59">
        <v>270.0</v>
      </c>
      <c r="C99" s="59">
        <v>77.8</v>
      </c>
      <c r="D99" s="59">
        <v>560.0</v>
      </c>
      <c r="E99" s="59">
        <v>150.0</v>
      </c>
      <c r="F99" s="60">
        <f t="shared" si="65"/>
        <v>1057.8</v>
      </c>
      <c r="G99" s="59">
        <v>24.0</v>
      </c>
      <c r="H99" s="59">
        <v>2.0</v>
      </c>
      <c r="I99" s="61">
        <v>150.0</v>
      </c>
      <c r="K99" s="81" t="s">
        <v>71</v>
      </c>
      <c r="L99" s="84"/>
      <c r="M99" s="84"/>
      <c r="N99" s="120">
        <f t="shared" si="67"/>
        <v>0</v>
      </c>
    </row>
    <row r="100" ht="12.75" customHeight="1">
      <c r="A100" s="58">
        <f t="shared" si="66"/>
        <v>45022</v>
      </c>
      <c r="B100" s="59">
        <v>180.0</v>
      </c>
      <c r="C100" s="59">
        <v>449.12</v>
      </c>
      <c r="D100" s="59">
        <v>938.62</v>
      </c>
      <c r="E100" s="59">
        <v>90.0</v>
      </c>
      <c r="F100" s="60">
        <f t="shared" si="65"/>
        <v>1657.74</v>
      </c>
      <c r="G100" s="59">
        <v>28.0</v>
      </c>
      <c r="H100" s="59">
        <v>9.0</v>
      </c>
      <c r="I100" s="61">
        <v>90.0</v>
      </c>
      <c r="K100" s="81" t="s">
        <v>72</v>
      </c>
      <c r="L100" s="81">
        <v>10.0</v>
      </c>
      <c r="M100" s="81">
        <v>5.0</v>
      </c>
      <c r="N100" s="82">
        <f t="shared" ref="N100:N102" si="68">L100*$L$97+M100*$M$97</f>
        <v>1259.1</v>
      </c>
    </row>
    <row r="101" ht="12.75" customHeight="1">
      <c r="A101" s="58">
        <f t="shared" si="66"/>
        <v>45023</v>
      </c>
      <c r="B101" s="59">
        <v>90.0</v>
      </c>
      <c r="C101" s="59">
        <v>153.51</v>
      </c>
      <c r="D101" s="59">
        <v>1049.31</v>
      </c>
      <c r="E101" s="59">
        <v>50.0</v>
      </c>
      <c r="F101" s="60">
        <f t="shared" si="65"/>
        <v>1342.82</v>
      </c>
      <c r="G101" s="59">
        <v>22.0</v>
      </c>
      <c r="H101" s="59">
        <v>3.0</v>
      </c>
      <c r="I101" s="61">
        <v>60.0</v>
      </c>
      <c r="K101" s="81" t="s">
        <v>73</v>
      </c>
      <c r="L101" s="81">
        <v>13.0</v>
      </c>
      <c r="M101" s="81">
        <v>4.0</v>
      </c>
      <c r="N101" s="82">
        <f t="shared" si="68"/>
        <v>1457.28</v>
      </c>
    </row>
    <row r="102" ht="12.75" customHeight="1">
      <c r="A102" s="67"/>
      <c r="B102" s="68">
        <f t="shared" ref="B102:I102" si="69">SUM(B97:B101)</f>
        <v>590</v>
      </c>
      <c r="C102" s="68">
        <f t="shared" si="69"/>
        <v>1087.42</v>
      </c>
      <c r="D102" s="68">
        <f t="shared" si="69"/>
        <v>3756.55</v>
      </c>
      <c r="E102" s="68">
        <f t="shared" si="69"/>
        <v>440</v>
      </c>
      <c r="F102" s="68">
        <f t="shared" si="69"/>
        <v>5873.97</v>
      </c>
      <c r="G102" s="140">
        <f t="shared" si="69"/>
        <v>106</v>
      </c>
      <c r="H102" s="140">
        <f t="shared" si="69"/>
        <v>21</v>
      </c>
      <c r="I102" s="68">
        <f t="shared" si="69"/>
        <v>450</v>
      </c>
      <c r="K102" s="81" t="s">
        <v>74</v>
      </c>
      <c r="L102" s="81">
        <v>16.0</v>
      </c>
      <c r="M102" s="81">
        <v>3.0</v>
      </c>
      <c r="N102" s="82">
        <f t="shared" si="68"/>
        <v>1655.46</v>
      </c>
    </row>
    <row r="103" ht="12.75" customHeight="1">
      <c r="A103" s="74"/>
      <c r="B103" s="75"/>
      <c r="C103" s="75"/>
      <c r="D103" s="75"/>
      <c r="E103" s="75"/>
      <c r="F103" s="75"/>
      <c r="G103" s="75"/>
      <c r="H103" s="75"/>
      <c r="I103" s="75"/>
    </row>
    <row r="104" ht="12.75" customHeight="1">
      <c r="A104" s="58">
        <f>A101+3</f>
        <v>45026</v>
      </c>
      <c r="B104" s="138"/>
      <c r="C104" s="138"/>
      <c r="D104" s="138"/>
      <c r="E104" s="138"/>
      <c r="F104" s="85">
        <f t="shared" ref="F104:F108" si="70">SUM(B104:E104)</f>
        <v>0</v>
      </c>
      <c r="G104" s="138"/>
      <c r="H104" s="138"/>
      <c r="I104" s="146"/>
      <c r="K104" s="64"/>
      <c r="L104" s="477">
        <f>L105+M105</f>
        <v>53</v>
      </c>
      <c r="M104" s="478"/>
      <c r="N104" s="66"/>
    </row>
    <row r="105" ht="12.75" customHeight="1">
      <c r="A105" s="58">
        <f t="shared" ref="A105:A108" si="72">A104+1</f>
        <v>45027</v>
      </c>
      <c r="B105" s="59">
        <v>50.0</v>
      </c>
      <c r="C105" s="59">
        <v>236.33</v>
      </c>
      <c r="D105" s="59">
        <v>1119.31</v>
      </c>
      <c r="E105" s="59">
        <v>150.0</v>
      </c>
      <c r="F105" s="60">
        <f t="shared" si="70"/>
        <v>1555.64</v>
      </c>
      <c r="G105" s="59">
        <v>29.0</v>
      </c>
      <c r="H105" s="59">
        <v>5.0</v>
      </c>
      <c r="I105" s="61">
        <v>150.0</v>
      </c>
      <c r="K105" s="64"/>
      <c r="L105" s="483">
        <f t="shared" ref="L105:N105" si="71">SUM(L107:L111)</f>
        <v>46</v>
      </c>
      <c r="M105" s="483">
        <f t="shared" si="71"/>
        <v>7</v>
      </c>
      <c r="N105" s="336">
        <f t="shared" si="71"/>
        <v>4642.74</v>
      </c>
    </row>
    <row r="106" ht="12.75" customHeight="1">
      <c r="A106" s="58">
        <f t="shared" si="72"/>
        <v>45028</v>
      </c>
      <c r="B106" s="81">
        <v>300.0</v>
      </c>
      <c r="C106" s="81">
        <v>243.44</v>
      </c>
      <c r="D106" s="81">
        <v>670.0</v>
      </c>
      <c r="E106" s="81">
        <v>150.0</v>
      </c>
      <c r="F106" s="60">
        <f t="shared" si="70"/>
        <v>1363.44</v>
      </c>
      <c r="G106" s="81">
        <v>28.0</v>
      </c>
      <c r="H106" s="81">
        <v>6.0</v>
      </c>
      <c r="I106" s="81">
        <v>150.0</v>
      </c>
      <c r="K106" s="78" t="s">
        <v>85</v>
      </c>
      <c r="L106" s="79">
        <v>90.0</v>
      </c>
      <c r="M106" s="79">
        <v>71.82</v>
      </c>
      <c r="N106" s="66"/>
    </row>
    <row r="107" ht="12.75" customHeight="1">
      <c r="A107" s="58">
        <f t="shared" si="72"/>
        <v>45029</v>
      </c>
      <c r="B107" s="81">
        <v>90.0</v>
      </c>
      <c r="C107" s="81">
        <v>307.02</v>
      </c>
      <c r="D107" s="81">
        <v>920.0</v>
      </c>
      <c r="E107" s="81">
        <v>190.0</v>
      </c>
      <c r="F107" s="60">
        <f t="shared" si="70"/>
        <v>1507.02</v>
      </c>
      <c r="G107" s="81">
        <v>26.0</v>
      </c>
      <c r="H107" s="81">
        <v>6.0</v>
      </c>
      <c r="I107" s="81">
        <v>200.0</v>
      </c>
      <c r="K107" s="81" t="s">
        <v>70</v>
      </c>
      <c r="L107" s="81">
        <v>16.0</v>
      </c>
      <c r="M107" s="81">
        <v>0.0</v>
      </c>
      <c r="N107" s="82">
        <f t="shared" ref="N107:N109" si="73">L107*$L$106+M107*$M$106</f>
        <v>1440</v>
      </c>
    </row>
    <row r="108" ht="12.75" customHeight="1">
      <c r="A108" s="58">
        <f t="shared" si="72"/>
        <v>45030</v>
      </c>
      <c r="B108" s="89">
        <v>190.0</v>
      </c>
      <c r="C108" s="89">
        <v>324.17</v>
      </c>
      <c r="D108" s="89">
        <v>519.31</v>
      </c>
      <c r="E108" s="89">
        <v>200.0</v>
      </c>
      <c r="F108" s="60">
        <f t="shared" si="70"/>
        <v>1233.48</v>
      </c>
      <c r="G108" s="89">
        <v>22.0</v>
      </c>
      <c r="H108" s="89">
        <v>5.0</v>
      </c>
      <c r="I108" s="89">
        <v>200.0</v>
      </c>
      <c r="K108" s="81" t="s">
        <v>71</v>
      </c>
      <c r="L108" s="81">
        <v>19.0</v>
      </c>
      <c r="M108" s="81">
        <v>3.0</v>
      </c>
      <c r="N108" s="82">
        <f t="shared" si="73"/>
        <v>1925.46</v>
      </c>
    </row>
    <row r="109" ht="12.75" customHeight="1">
      <c r="A109" s="67"/>
      <c r="B109" s="68">
        <f t="shared" ref="B109:I109" si="74">SUM(B104:B108)</f>
        <v>630</v>
      </c>
      <c r="C109" s="68">
        <f t="shared" si="74"/>
        <v>1110.96</v>
      </c>
      <c r="D109" s="68">
        <f t="shared" si="74"/>
        <v>3228.62</v>
      </c>
      <c r="E109" s="68">
        <f t="shared" si="74"/>
        <v>690</v>
      </c>
      <c r="F109" s="68">
        <f t="shared" si="74"/>
        <v>5659.58</v>
      </c>
      <c r="G109" s="140">
        <f t="shared" si="74"/>
        <v>105</v>
      </c>
      <c r="H109" s="140">
        <f t="shared" si="74"/>
        <v>22</v>
      </c>
      <c r="I109" s="68">
        <f t="shared" si="74"/>
        <v>700</v>
      </c>
      <c r="K109" s="81" t="s">
        <v>72</v>
      </c>
      <c r="L109" s="81">
        <v>11.0</v>
      </c>
      <c r="M109" s="81">
        <v>4.0</v>
      </c>
      <c r="N109" s="82">
        <f t="shared" si="73"/>
        <v>1277.28</v>
      </c>
    </row>
    <row r="110" ht="12.75" customHeight="1">
      <c r="A110" s="74"/>
      <c r="B110" s="75"/>
      <c r="C110" s="75"/>
      <c r="D110" s="75"/>
      <c r="E110" s="75"/>
      <c r="F110" s="75"/>
      <c r="G110" s="75"/>
      <c r="H110" s="75"/>
      <c r="I110" s="75"/>
      <c r="K110" s="81" t="s">
        <v>73</v>
      </c>
      <c r="L110" s="84"/>
      <c r="M110" s="84"/>
      <c r="N110" s="120">
        <f t="shared" ref="N110:N111" si="75">L110*$C$39+M110*$D$39</f>
        <v>0</v>
      </c>
    </row>
    <row r="111" ht="12.75" customHeight="1">
      <c r="A111" s="58">
        <f>A108+3</f>
        <v>45033</v>
      </c>
      <c r="B111" s="59">
        <v>190.0</v>
      </c>
      <c r="C111" s="59">
        <v>112.1</v>
      </c>
      <c r="D111" s="59">
        <v>1099.31</v>
      </c>
      <c r="E111" s="59">
        <v>190.0</v>
      </c>
      <c r="F111" s="60">
        <f t="shared" ref="F111:F115" si="76">SUM(B111:E111)</f>
        <v>1591.41</v>
      </c>
      <c r="G111" s="59">
        <v>26.0</v>
      </c>
      <c r="H111" s="59">
        <v>2.0</v>
      </c>
      <c r="I111" s="61">
        <v>170.0</v>
      </c>
      <c r="K111" s="81" t="s">
        <v>74</v>
      </c>
      <c r="L111" s="84"/>
      <c r="M111" s="84"/>
      <c r="N111" s="120">
        <f t="shared" si="75"/>
        <v>0</v>
      </c>
    </row>
    <row r="112" ht="12.75" customHeight="1">
      <c r="A112" s="58">
        <f t="shared" ref="A112:A115" si="77">A111+1</f>
        <v>45034</v>
      </c>
      <c r="B112" s="59">
        <v>100.0</v>
      </c>
      <c r="C112" s="59">
        <v>501.94</v>
      </c>
      <c r="D112" s="59">
        <v>519.31</v>
      </c>
      <c r="E112" s="59">
        <v>50.0</v>
      </c>
      <c r="F112" s="60">
        <f t="shared" si="76"/>
        <v>1171.25</v>
      </c>
      <c r="G112" s="59">
        <v>23.0</v>
      </c>
      <c r="H112" s="59">
        <v>10.0</v>
      </c>
      <c r="I112" s="61">
        <v>50.0</v>
      </c>
    </row>
    <row r="113" ht="12.75" customHeight="1">
      <c r="A113" s="58">
        <f t="shared" si="77"/>
        <v>45035</v>
      </c>
      <c r="B113" s="59">
        <v>100.0</v>
      </c>
      <c r="C113" s="59">
        <v>274.81</v>
      </c>
      <c r="D113" s="59">
        <v>570.0</v>
      </c>
      <c r="E113" s="59">
        <v>50.0</v>
      </c>
      <c r="F113" s="60">
        <f t="shared" si="76"/>
        <v>994.81</v>
      </c>
      <c r="G113" s="59">
        <v>22.0</v>
      </c>
      <c r="H113" s="59">
        <v>7.0</v>
      </c>
      <c r="I113" s="61">
        <v>50.0</v>
      </c>
    </row>
    <row r="114" ht="12.75" customHeight="1">
      <c r="A114" s="58">
        <f t="shared" si="77"/>
        <v>45036</v>
      </c>
      <c r="B114" s="81">
        <v>240.0</v>
      </c>
      <c r="C114" s="81">
        <v>207.05</v>
      </c>
      <c r="D114" s="81">
        <v>1080.0</v>
      </c>
      <c r="E114" s="81">
        <v>70.0</v>
      </c>
      <c r="F114" s="60">
        <f t="shared" si="76"/>
        <v>1597.05</v>
      </c>
      <c r="G114" s="124">
        <v>29.0</v>
      </c>
      <c r="H114" s="124">
        <v>5.0</v>
      </c>
      <c r="I114" s="143">
        <v>70.0</v>
      </c>
    </row>
    <row r="115" ht="12.75" customHeight="1">
      <c r="A115" s="58">
        <f t="shared" si="77"/>
        <v>45037</v>
      </c>
      <c r="B115" s="84"/>
      <c r="C115" s="84"/>
      <c r="D115" s="84"/>
      <c r="E115" s="84"/>
      <c r="F115" s="85">
        <f t="shared" si="76"/>
        <v>0</v>
      </c>
      <c r="G115" s="84"/>
      <c r="H115" s="84"/>
      <c r="I115" s="84"/>
    </row>
    <row r="116" ht="12.75" customHeight="1">
      <c r="A116" s="67"/>
      <c r="B116" s="68">
        <f t="shared" ref="B116:I116" si="78">SUM(B111:B115)</f>
        <v>630</v>
      </c>
      <c r="C116" s="68">
        <f t="shared" si="78"/>
        <v>1095.9</v>
      </c>
      <c r="D116" s="68">
        <f t="shared" si="78"/>
        <v>3268.62</v>
      </c>
      <c r="E116" s="68">
        <f t="shared" si="78"/>
        <v>360</v>
      </c>
      <c r="F116" s="68">
        <f t="shared" si="78"/>
        <v>5354.52</v>
      </c>
      <c r="G116" s="140">
        <f t="shared" si="78"/>
        <v>100</v>
      </c>
      <c r="H116" s="140">
        <f t="shared" si="78"/>
        <v>24</v>
      </c>
      <c r="I116" s="68">
        <f t="shared" si="78"/>
        <v>340</v>
      </c>
    </row>
    <row r="117" ht="12.75" customHeight="1">
      <c r="A117" s="74"/>
      <c r="B117" s="75"/>
      <c r="C117" s="75"/>
      <c r="D117" s="75"/>
      <c r="E117" s="75"/>
      <c r="F117" s="75"/>
      <c r="G117" s="75"/>
      <c r="H117" s="75"/>
      <c r="I117" s="75"/>
    </row>
    <row r="118" ht="12.75" customHeight="1">
      <c r="A118" s="58">
        <f>A115+3</f>
        <v>45040</v>
      </c>
      <c r="B118" s="89">
        <v>190.0</v>
      </c>
      <c r="C118" s="89">
        <v>194.92</v>
      </c>
      <c r="D118" s="89">
        <v>1599.31</v>
      </c>
      <c r="E118" s="89">
        <v>50.0</v>
      </c>
      <c r="F118" s="60">
        <f t="shared" ref="F118:F122" si="79">SUM(B118:E118)</f>
        <v>2034.23</v>
      </c>
      <c r="G118" s="81">
        <v>32.0</v>
      </c>
      <c r="H118" s="81">
        <v>4.0</v>
      </c>
      <c r="I118" s="81">
        <v>50.0</v>
      </c>
    </row>
    <row r="119" ht="12.75" customHeight="1">
      <c r="A119" s="58">
        <f t="shared" ref="A119:A122" si="80">A118+1</f>
        <v>45041</v>
      </c>
      <c r="B119" s="89">
        <v>50.0</v>
      </c>
      <c r="C119" s="89">
        <v>112.1</v>
      </c>
      <c r="D119" s="89">
        <v>169.31</v>
      </c>
      <c r="E119" s="89">
        <v>100.0</v>
      </c>
      <c r="F119" s="60">
        <f t="shared" si="79"/>
        <v>431.41</v>
      </c>
      <c r="G119" s="81">
        <v>17.0</v>
      </c>
      <c r="H119" s="81">
        <v>2.0</v>
      </c>
      <c r="I119" s="81">
        <v>100.0</v>
      </c>
    </row>
    <row r="120" ht="12.75" customHeight="1">
      <c r="A120" s="58">
        <f t="shared" si="80"/>
        <v>45042</v>
      </c>
      <c r="B120" s="81">
        <v>150.0</v>
      </c>
      <c r="C120" s="81">
        <v>202.03</v>
      </c>
      <c r="D120" s="81">
        <v>620.0</v>
      </c>
      <c r="E120" s="81">
        <v>210.0</v>
      </c>
      <c r="F120" s="60">
        <f t="shared" si="79"/>
        <v>1182.03</v>
      </c>
      <c r="G120" s="81">
        <v>23.0</v>
      </c>
      <c r="H120" s="81">
        <v>5.0</v>
      </c>
      <c r="I120" s="83">
        <v>210.0</v>
      </c>
    </row>
    <row r="121" ht="12.75" customHeight="1">
      <c r="A121" s="58">
        <f t="shared" si="80"/>
        <v>45043</v>
      </c>
      <c r="B121" s="81">
        <v>140.0</v>
      </c>
      <c r="C121" s="81">
        <v>182.79</v>
      </c>
      <c r="D121" s="81">
        <v>409.31</v>
      </c>
      <c r="E121" s="81">
        <v>0.0</v>
      </c>
      <c r="F121" s="60">
        <f t="shared" si="79"/>
        <v>732.1</v>
      </c>
      <c r="G121" s="81">
        <v>12.0</v>
      </c>
      <c r="H121" s="81">
        <v>3.0</v>
      </c>
      <c r="I121" s="83">
        <v>0.0</v>
      </c>
    </row>
    <row r="122" ht="12.75" customHeight="1">
      <c r="A122" s="58">
        <f t="shared" si="80"/>
        <v>45044</v>
      </c>
      <c r="B122" s="84"/>
      <c r="C122" s="84"/>
      <c r="D122" s="84"/>
      <c r="E122" s="84"/>
      <c r="F122" s="85">
        <f t="shared" si="79"/>
        <v>0</v>
      </c>
      <c r="G122" s="84"/>
      <c r="H122" s="84"/>
      <c r="I122" s="86"/>
    </row>
    <row r="123" ht="12.75" customHeight="1">
      <c r="A123" s="67"/>
      <c r="B123" s="68">
        <f t="shared" ref="B123:I123" si="81">SUM(B118:B122)</f>
        <v>530</v>
      </c>
      <c r="C123" s="68">
        <f t="shared" si="81"/>
        <v>691.84</v>
      </c>
      <c r="D123" s="68">
        <f t="shared" si="81"/>
        <v>2797.93</v>
      </c>
      <c r="E123" s="68">
        <f t="shared" si="81"/>
        <v>360</v>
      </c>
      <c r="F123" s="68">
        <f t="shared" si="81"/>
        <v>4379.77</v>
      </c>
      <c r="G123" s="140">
        <f t="shared" si="81"/>
        <v>84</v>
      </c>
      <c r="H123" s="140">
        <f t="shared" si="81"/>
        <v>14</v>
      </c>
      <c r="I123" s="68">
        <f t="shared" si="81"/>
        <v>360</v>
      </c>
    </row>
    <row r="124" ht="12.75" customHeight="1">
      <c r="A124" s="74"/>
      <c r="B124" s="75"/>
      <c r="C124" s="75"/>
      <c r="D124" s="75"/>
      <c r="E124" s="75"/>
      <c r="F124" s="75"/>
      <c r="G124" s="75"/>
      <c r="H124" s="75"/>
      <c r="I124" s="75"/>
    </row>
    <row r="125" ht="12.75" customHeight="1">
      <c r="A125" s="58">
        <v>45047.0</v>
      </c>
      <c r="B125" s="138"/>
      <c r="C125" s="138"/>
      <c r="D125" s="138"/>
      <c r="E125" s="138"/>
      <c r="F125" s="85">
        <f t="shared" ref="F125:F129" si="82">SUM(B125:E125)</f>
        <v>0</v>
      </c>
      <c r="G125" s="84"/>
      <c r="H125" s="84"/>
      <c r="I125" s="86"/>
    </row>
    <row r="126" ht="12.75" customHeight="1">
      <c r="A126" s="58">
        <f t="shared" ref="A126:A129" si="83">A125+1</f>
        <v>45048</v>
      </c>
      <c r="B126" s="138"/>
      <c r="C126" s="138"/>
      <c r="D126" s="138"/>
      <c r="E126" s="138"/>
      <c r="F126" s="85">
        <f t="shared" si="82"/>
        <v>0</v>
      </c>
      <c r="G126" s="84"/>
      <c r="H126" s="84"/>
      <c r="I126" s="86"/>
    </row>
    <row r="127" ht="12.75" customHeight="1">
      <c r="A127" s="58">
        <f t="shared" si="83"/>
        <v>45049</v>
      </c>
      <c r="B127" s="138"/>
      <c r="C127" s="138"/>
      <c r="D127" s="138"/>
      <c r="E127" s="138"/>
      <c r="F127" s="85">
        <f t="shared" si="82"/>
        <v>0</v>
      </c>
      <c r="G127" s="84"/>
      <c r="H127" s="84"/>
      <c r="I127" s="86"/>
    </row>
    <row r="128" ht="12.75" customHeight="1">
      <c r="A128" s="58">
        <f t="shared" si="83"/>
        <v>45050</v>
      </c>
      <c r="B128" s="138"/>
      <c r="C128" s="138"/>
      <c r="D128" s="138"/>
      <c r="E128" s="138"/>
      <c r="F128" s="85">
        <f t="shared" si="82"/>
        <v>0</v>
      </c>
      <c r="G128" s="84"/>
      <c r="H128" s="84"/>
      <c r="I128" s="86"/>
    </row>
    <row r="129" ht="12.75" customHeight="1">
      <c r="A129" s="58">
        <f t="shared" si="83"/>
        <v>45051</v>
      </c>
      <c r="B129" s="138"/>
      <c r="C129" s="138"/>
      <c r="D129" s="138"/>
      <c r="E129" s="138"/>
      <c r="F129" s="85">
        <f t="shared" si="82"/>
        <v>0</v>
      </c>
      <c r="G129" s="84"/>
      <c r="H129" s="84"/>
      <c r="I129" s="86"/>
    </row>
    <row r="130" ht="12.75" customHeight="1">
      <c r="A130" s="67"/>
      <c r="B130" s="68">
        <f t="shared" ref="B130:I130" si="84">SUM(B125:B129)</f>
        <v>0</v>
      </c>
      <c r="C130" s="68">
        <f t="shared" si="84"/>
        <v>0</v>
      </c>
      <c r="D130" s="68">
        <f t="shared" si="84"/>
        <v>0</v>
      </c>
      <c r="E130" s="91">
        <f t="shared" si="84"/>
        <v>0</v>
      </c>
      <c r="F130" s="68">
        <f t="shared" si="84"/>
        <v>0</v>
      </c>
      <c r="G130" s="70">
        <f t="shared" si="84"/>
        <v>0</v>
      </c>
      <c r="H130" s="70">
        <f t="shared" si="84"/>
        <v>0</v>
      </c>
      <c r="I130" s="91">
        <f t="shared" si="84"/>
        <v>0</v>
      </c>
    </row>
    <row r="131" ht="12.75" customHeight="1">
      <c r="A131" s="74"/>
      <c r="B131" s="75"/>
      <c r="C131" s="75"/>
      <c r="D131" s="75"/>
      <c r="E131" s="74"/>
      <c r="F131" s="75"/>
      <c r="G131" s="76"/>
      <c r="H131" s="76"/>
      <c r="I131" s="74"/>
    </row>
    <row r="132" ht="12.75" customHeight="1">
      <c r="A132" s="97">
        <f>A129+3</f>
        <v>45054</v>
      </c>
      <c r="B132" s="150"/>
      <c r="C132" s="138"/>
      <c r="D132" s="138"/>
      <c r="E132" s="138"/>
      <c r="F132" s="151">
        <f t="shared" ref="F132:F136" si="85">SUM(B132:E132)</f>
        <v>0</v>
      </c>
      <c r="G132" s="138"/>
      <c r="H132" s="138"/>
      <c r="I132" s="146"/>
    </row>
    <row r="133" ht="12.75" customHeight="1">
      <c r="A133" s="97">
        <f t="shared" ref="A133:A135" si="86">A132+1</f>
        <v>45055</v>
      </c>
      <c r="B133" s="81">
        <v>50.0</v>
      </c>
      <c r="C133" s="81">
        <v>307.02</v>
      </c>
      <c r="D133" s="81">
        <v>800.0</v>
      </c>
      <c r="E133" s="81">
        <v>0.0</v>
      </c>
      <c r="F133" s="141">
        <f t="shared" si="85"/>
        <v>1157.02</v>
      </c>
      <c r="G133" s="81">
        <v>19.0</v>
      </c>
      <c r="H133" s="81">
        <v>6.0</v>
      </c>
      <c r="I133" s="83">
        <v>0.0</v>
      </c>
    </row>
    <row r="134" ht="12.75" customHeight="1">
      <c r="A134" s="97">
        <f t="shared" si="86"/>
        <v>45056</v>
      </c>
      <c r="B134" s="81">
        <v>230.0</v>
      </c>
      <c r="C134" s="81">
        <v>116.7</v>
      </c>
      <c r="D134" s="81">
        <v>790.0</v>
      </c>
      <c r="E134" s="81">
        <v>50.0</v>
      </c>
      <c r="F134" s="141">
        <f t="shared" si="85"/>
        <v>1186.7</v>
      </c>
      <c r="G134" s="81">
        <v>24.0</v>
      </c>
      <c r="H134" s="81">
        <v>3.0</v>
      </c>
      <c r="I134" s="83">
        <v>60.0</v>
      </c>
    </row>
    <row r="135" ht="12.75" customHeight="1">
      <c r="A135" s="97">
        <f t="shared" si="86"/>
        <v>45057</v>
      </c>
      <c r="B135" s="81">
        <v>280.0</v>
      </c>
      <c r="C135" s="81">
        <v>494.53</v>
      </c>
      <c r="D135" s="81">
        <v>1067.93</v>
      </c>
      <c r="E135" s="81">
        <v>100.0</v>
      </c>
      <c r="F135" s="141">
        <f t="shared" si="85"/>
        <v>1942.46</v>
      </c>
      <c r="G135" s="59">
        <v>34.0</v>
      </c>
      <c r="H135" s="59">
        <v>8.0</v>
      </c>
      <c r="I135" s="61">
        <v>100.0</v>
      </c>
    </row>
    <row r="136" ht="12.75" customHeight="1">
      <c r="A136" s="97">
        <f>A133+3</f>
        <v>45058</v>
      </c>
      <c r="B136" s="81">
        <v>140.0</v>
      </c>
      <c r="C136" s="81">
        <v>245.2</v>
      </c>
      <c r="D136" s="81">
        <v>739.31</v>
      </c>
      <c r="E136" s="81">
        <v>90.0</v>
      </c>
      <c r="F136" s="141">
        <f t="shared" si="85"/>
        <v>1214.51</v>
      </c>
      <c r="G136" s="81">
        <v>20.0</v>
      </c>
      <c r="H136" s="81">
        <v>5.0</v>
      </c>
      <c r="I136" s="83">
        <v>90.0</v>
      </c>
    </row>
    <row r="137" ht="12.75" customHeight="1">
      <c r="A137" s="131"/>
      <c r="B137" s="68">
        <f t="shared" ref="B137:I137" si="87">SUM(B132:B136)</f>
        <v>700</v>
      </c>
      <c r="C137" s="68">
        <f t="shared" si="87"/>
        <v>1163.45</v>
      </c>
      <c r="D137" s="68">
        <f t="shared" si="87"/>
        <v>3397.24</v>
      </c>
      <c r="E137" s="68">
        <f t="shared" si="87"/>
        <v>240</v>
      </c>
      <c r="F137" s="68">
        <f t="shared" si="87"/>
        <v>5500.69</v>
      </c>
      <c r="G137" s="147">
        <f t="shared" si="87"/>
        <v>97</v>
      </c>
      <c r="H137" s="147">
        <f t="shared" si="87"/>
        <v>22</v>
      </c>
      <c r="I137" s="91">
        <f t="shared" si="87"/>
        <v>250</v>
      </c>
    </row>
    <row r="138" ht="12.75" customHeight="1">
      <c r="A138" s="148"/>
      <c r="B138" s="75"/>
      <c r="C138" s="75"/>
      <c r="D138" s="75"/>
      <c r="E138" s="75"/>
      <c r="F138" s="75"/>
      <c r="G138" s="75"/>
      <c r="H138" s="75"/>
      <c r="I138" s="74"/>
    </row>
    <row r="139" ht="12.75" customHeight="1">
      <c r="A139" s="97">
        <f>A136+3</f>
        <v>45061</v>
      </c>
      <c r="B139" s="112">
        <v>50.0</v>
      </c>
      <c r="C139" s="59">
        <v>153.51</v>
      </c>
      <c r="D139" s="59">
        <v>679.31</v>
      </c>
      <c r="E139" s="59">
        <v>0.0</v>
      </c>
      <c r="F139" s="141">
        <f t="shared" ref="F139:F143" si="88">SUM(B139:E139)</f>
        <v>882.82</v>
      </c>
      <c r="G139" s="124">
        <v>16.0</v>
      </c>
      <c r="H139" s="124">
        <v>3.0</v>
      </c>
      <c r="I139" s="149">
        <v>0.0</v>
      </c>
    </row>
    <row r="140" ht="12.75" customHeight="1">
      <c r="A140" s="97">
        <f t="shared" ref="A140:A143" si="89">A139+1</f>
        <v>45062</v>
      </c>
      <c r="B140" s="59">
        <v>50.0</v>
      </c>
      <c r="C140" s="59">
        <v>153.31</v>
      </c>
      <c r="D140" s="59">
        <v>749.31</v>
      </c>
      <c r="E140" s="59">
        <v>90.0</v>
      </c>
      <c r="F140" s="141">
        <f t="shared" si="88"/>
        <v>1042.62</v>
      </c>
      <c r="G140" s="124">
        <v>16.0</v>
      </c>
      <c r="H140" s="124">
        <v>3.0</v>
      </c>
      <c r="I140" s="149">
        <v>90.0</v>
      </c>
    </row>
    <row r="141" ht="12.75" customHeight="1">
      <c r="A141" s="97">
        <f t="shared" si="89"/>
        <v>45063</v>
      </c>
      <c r="B141" s="59">
        <v>170.0</v>
      </c>
      <c r="C141" s="59">
        <v>202.03</v>
      </c>
      <c r="D141" s="59">
        <v>510.0</v>
      </c>
      <c r="E141" s="59">
        <v>200.0</v>
      </c>
      <c r="F141" s="141">
        <f t="shared" si="88"/>
        <v>1082.03</v>
      </c>
      <c r="G141" s="124">
        <v>23.0</v>
      </c>
      <c r="H141" s="124">
        <v>5.0</v>
      </c>
      <c r="I141" s="149">
        <v>200.0</v>
      </c>
    </row>
    <row r="142" ht="12.75" customHeight="1">
      <c r="A142" s="97">
        <f t="shared" si="89"/>
        <v>45064</v>
      </c>
      <c r="B142" s="138"/>
      <c r="C142" s="138"/>
      <c r="D142" s="138"/>
      <c r="E142" s="138"/>
      <c r="F142" s="151">
        <f t="shared" si="88"/>
        <v>0</v>
      </c>
      <c r="G142" s="119"/>
      <c r="H142" s="119"/>
      <c r="I142" s="152"/>
    </row>
    <row r="143" ht="12.75" customHeight="1">
      <c r="A143" s="97">
        <f t="shared" si="89"/>
        <v>45065</v>
      </c>
      <c r="B143" s="138"/>
      <c r="C143" s="138"/>
      <c r="D143" s="138"/>
      <c r="E143" s="138"/>
      <c r="F143" s="151">
        <f t="shared" si="88"/>
        <v>0</v>
      </c>
      <c r="G143" s="119"/>
      <c r="H143" s="119"/>
      <c r="I143" s="152"/>
    </row>
    <row r="144" ht="12.75" customHeight="1">
      <c r="A144" s="131"/>
      <c r="B144" s="68">
        <f t="shared" ref="B144:I144" si="90">SUM(B139:B143)</f>
        <v>270</v>
      </c>
      <c r="C144" s="68">
        <f t="shared" si="90"/>
        <v>508.85</v>
      </c>
      <c r="D144" s="68">
        <f t="shared" si="90"/>
        <v>1938.62</v>
      </c>
      <c r="E144" s="68">
        <f t="shared" si="90"/>
        <v>290</v>
      </c>
      <c r="F144" s="68">
        <f t="shared" si="90"/>
        <v>3007.47</v>
      </c>
      <c r="G144" s="147">
        <f t="shared" si="90"/>
        <v>55</v>
      </c>
      <c r="H144" s="147">
        <f t="shared" si="90"/>
        <v>11</v>
      </c>
      <c r="I144" s="91">
        <f t="shared" si="90"/>
        <v>290</v>
      </c>
    </row>
    <row r="145" ht="12.75" customHeight="1">
      <c r="A145" s="148"/>
      <c r="B145" s="75"/>
      <c r="C145" s="75"/>
      <c r="D145" s="75"/>
      <c r="E145" s="75"/>
      <c r="F145" s="75"/>
      <c r="G145" s="75"/>
      <c r="H145" s="75"/>
      <c r="I145" s="74"/>
    </row>
    <row r="146" ht="12.75" customHeight="1">
      <c r="A146" s="97">
        <f>A143+3</f>
        <v>45068</v>
      </c>
      <c r="B146" s="150"/>
      <c r="C146" s="138"/>
      <c r="D146" s="138"/>
      <c r="E146" s="138"/>
      <c r="F146" s="151">
        <f t="shared" ref="F146:F150" si="91">SUM(B146:E146)</f>
        <v>0</v>
      </c>
      <c r="G146" s="119"/>
      <c r="H146" s="119"/>
      <c r="I146" s="152"/>
    </row>
    <row r="147" ht="12.75" customHeight="1">
      <c r="A147" s="97">
        <f t="shared" ref="A147:A150" si="92">A146+1</f>
        <v>45069</v>
      </c>
      <c r="B147" s="59">
        <v>50.0</v>
      </c>
      <c r="C147" s="59">
        <v>307.02</v>
      </c>
      <c r="D147" s="59">
        <v>670.0</v>
      </c>
      <c r="E147" s="59">
        <v>0.0</v>
      </c>
      <c r="F147" s="141">
        <f t="shared" si="91"/>
        <v>1027.02</v>
      </c>
      <c r="G147" s="124">
        <v>18.0</v>
      </c>
      <c r="H147" s="124">
        <v>6.0</v>
      </c>
      <c r="I147" s="149">
        <v>0.0</v>
      </c>
    </row>
    <row r="148" ht="12.75" customHeight="1">
      <c r="A148" s="97">
        <f t="shared" si="92"/>
        <v>45070</v>
      </c>
      <c r="B148" s="112">
        <v>120.0</v>
      </c>
      <c r="C148" s="59">
        <v>328.77</v>
      </c>
      <c r="D148" s="59">
        <v>860.0</v>
      </c>
      <c r="E148" s="59">
        <v>0.0</v>
      </c>
      <c r="F148" s="141">
        <f t="shared" si="91"/>
        <v>1308.77</v>
      </c>
      <c r="G148" s="124">
        <v>26.0</v>
      </c>
      <c r="H148" s="124">
        <v>8.0</v>
      </c>
      <c r="I148" s="149">
        <v>0.0</v>
      </c>
    </row>
    <row r="149" ht="12.75" customHeight="1">
      <c r="A149" s="97">
        <f t="shared" si="92"/>
        <v>45071</v>
      </c>
      <c r="B149" s="59">
        <v>159.31</v>
      </c>
      <c r="C149" s="59">
        <v>212.07</v>
      </c>
      <c r="D149" s="59">
        <v>1340.0</v>
      </c>
      <c r="E149" s="59">
        <v>160.0</v>
      </c>
      <c r="F149" s="141">
        <f t="shared" si="91"/>
        <v>1871.38</v>
      </c>
      <c r="G149" s="124">
        <v>31.0</v>
      </c>
      <c r="H149" s="124">
        <v>3.0</v>
      </c>
      <c r="I149" s="149">
        <v>160.0</v>
      </c>
    </row>
    <row r="150" ht="12.75" customHeight="1">
      <c r="A150" s="97">
        <f t="shared" si="92"/>
        <v>45072</v>
      </c>
      <c r="B150" s="59">
        <v>190.0</v>
      </c>
      <c r="C150" s="59">
        <v>324.17</v>
      </c>
      <c r="D150" s="59">
        <v>768.0</v>
      </c>
      <c r="E150" s="59">
        <v>90.0</v>
      </c>
      <c r="F150" s="141">
        <f t="shared" si="91"/>
        <v>1372.17</v>
      </c>
      <c r="G150" s="124">
        <v>22.0</v>
      </c>
      <c r="H150" s="124">
        <v>5.0</v>
      </c>
      <c r="I150" s="149">
        <v>100.0</v>
      </c>
    </row>
    <row r="151" ht="12.75" customHeight="1">
      <c r="A151" s="131"/>
      <c r="B151" s="68">
        <f t="shared" ref="B151:I151" si="93">SUM(B146:B150)</f>
        <v>519.31</v>
      </c>
      <c r="C151" s="68">
        <f t="shared" si="93"/>
        <v>1172.03</v>
      </c>
      <c r="D151" s="68">
        <f t="shared" si="93"/>
        <v>3638</v>
      </c>
      <c r="E151" s="68">
        <f t="shared" si="93"/>
        <v>250</v>
      </c>
      <c r="F151" s="68">
        <f t="shared" si="93"/>
        <v>5579.34</v>
      </c>
      <c r="G151" s="147">
        <f t="shared" si="93"/>
        <v>97</v>
      </c>
      <c r="H151" s="147">
        <f t="shared" si="93"/>
        <v>22</v>
      </c>
      <c r="I151" s="91">
        <f t="shared" si="93"/>
        <v>260</v>
      </c>
    </row>
    <row r="152" ht="12.75" customHeight="1">
      <c r="A152" s="148"/>
      <c r="B152" s="75"/>
      <c r="C152" s="75"/>
      <c r="D152" s="75"/>
      <c r="E152" s="75"/>
      <c r="F152" s="75"/>
      <c r="G152" s="75"/>
      <c r="H152" s="75"/>
      <c r="I152" s="74"/>
    </row>
    <row r="153" ht="12.75" customHeight="1">
      <c r="A153" s="97">
        <f>A150+3</f>
        <v>45075</v>
      </c>
      <c r="B153" s="150"/>
      <c r="C153" s="138"/>
      <c r="D153" s="138"/>
      <c r="E153" s="138"/>
      <c r="F153" s="151">
        <f t="shared" ref="F153:F155" si="94">SUM(B153:E153)</f>
        <v>0</v>
      </c>
      <c r="G153" s="119"/>
      <c r="H153" s="119"/>
      <c r="I153" s="152"/>
    </row>
    <row r="154" ht="12.75" customHeight="1">
      <c r="A154" s="97">
        <f t="shared" ref="A154:A155" si="95">A153+1</f>
        <v>45076</v>
      </c>
      <c r="B154" s="59">
        <v>100.0</v>
      </c>
      <c r="C154" s="59">
        <v>224.2</v>
      </c>
      <c r="D154" s="59">
        <v>1119.31</v>
      </c>
      <c r="E154" s="59">
        <v>169.31</v>
      </c>
      <c r="F154" s="141">
        <f t="shared" si="94"/>
        <v>1612.82</v>
      </c>
      <c r="G154" s="124">
        <v>274.0</v>
      </c>
      <c r="H154" s="124">
        <v>4.0</v>
      </c>
      <c r="I154" s="149">
        <v>170.0</v>
      </c>
    </row>
    <row r="155" ht="12.75" customHeight="1">
      <c r="A155" s="97">
        <f t="shared" si="95"/>
        <v>45077</v>
      </c>
      <c r="B155" s="59">
        <v>150.0</v>
      </c>
      <c r="C155" s="59">
        <v>82.82</v>
      </c>
      <c r="D155" s="59">
        <v>600.0</v>
      </c>
      <c r="E155" s="59">
        <v>125.0</v>
      </c>
      <c r="F155" s="141">
        <f t="shared" si="94"/>
        <v>957.82</v>
      </c>
      <c r="G155" s="124">
        <v>21.0</v>
      </c>
      <c r="H155" s="124">
        <v>2.0</v>
      </c>
      <c r="I155" s="149">
        <v>125.0</v>
      </c>
    </row>
    <row r="156" ht="12.75" customHeight="1">
      <c r="A156" s="131"/>
      <c r="B156" s="68">
        <f t="shared" ref="B156:C156" si="96">SUM(B154:B155)</f>
        <v>250</v>
      </c>
      <c r="C156" s="68">
        <f t="shared" si="96"/>
        <v>307.02</v>
      </c>
      <c r="D156" s="91">
        <f t="shared" ref="D156:H156" si="97">SUM(D155)</f>
        <v>600</v>
      </c>
      <c r="E156" s="91">
        <f t="shared" si="97"/>
        <v>125</v>
      </c>
      <c r="F156" s="68">
        <f t="shared" si="97"/>
        <v>957.82</v>
      </c>
      <c r="G156" s="147">
        <f t="shared" si="97"/>
        <v>21</v>
      </c>
      <c r="H156" s="147">
        <f t="shared" si="97"/>
        <v>2</v>
      </c>
      <c r="I156" s="91">
        <f>SUM(I154:I155)</f>
        <v>295</v>
      </c>
    </row>
    <row r="157" ht="12.75" customHeight="1">
      <c r="A157" s="148"/>
      <c r="B157" s="75"/>
      <c r="C157" s="75"/>
      <c r="D157" s="74"/>
      <c r="E157" s="74"/>
      <c r="F157" s="75"/>
      <c r="G157" s="75"/>
      <c r="H157" s="75"/>
      <c r="I157" s="74"/>
    </row>
    <row r="158" ht="12.75" customHeight="1">
      <c r="A158" s="58">
        <v>45078.0</v>
      </c>
      <c r="B158" s="81">
        <v>290.0</v>
      </c>
      <c r="C158" s="81">
        <v>419.12</v>
      </c>
      <c r="D158" s="81">
        <v>782.62</v>
      </c>
      <c r="E158" s="81">
        <v>150.0</v>
      </c>
      <c r="F158" s="60">
        <f t="shared" ref="F158:F159" si="98">SUM(B158:E158)</f>
        <v>1641.74</v>
      </c>
      <c r="G158" s="81">
        <v>30.0</v>
      </c>
      <c r="H158" s="81">
        <v>8.0</v>
      </c>
      <c r="I158" s="83">
        <v>140.0</v>
      </c>
    </row>
    <row r="159" ht="12.75" customHeight="1">
      <c r="A159" s="58">
        <f>A158+1</f>
        <v>45079</v>
      </c>
      <c r="B159" s="81">
        <v>100.0</v>
      </c>
      <c r="C159" s="81">
        <v>41.41</v>
      </c>
      <c r="D159" s="81">
        <v>1030.0</v>
      </c>
      <c r="E159" s="81">
        <v>0.0</v>
      </c>
      <c r="F159" s="60">
        <f t="shared" si="98"/>
        <v>1171.41</v>
      </c>
      <c r="G159" s="81">
        <v>21.0</v>
      </c>
      <c r="H159" s="81">
        <v>1.0</v>
      </c>
      <c r="I159" s="83">
        <v>0.0</v>
      </c>
    </row>
    <row r="160" ht="12.75" customHeight="1">
      <c r="A160" s="67"/>
      <c r="B160" s="68">
        <f t="shared" ref="B160:I160" si="99">SUM(B158:B159)</f>
        <v>390</v>
      </c>
      <c r="C160" s="68">
        <f t="shared" si="99"/>
        <v>460.53</v>
      </c>
      <c r="D160" s="68">
        <f t="shared" si="99"/>
        <v>1812.62</v>
      </c>
      <c r="E160" s="68">
        <f t="shared" si="99"/>
        <v>150</v>
      </c>
      <c r="F160" s="68">
        <f t="shared" si="99"/>
        <v>2813.15</v>
      </c>
      <c r="G160" s="70">
        <f t="shared" si="99"/>
        <v>51</v>
      </c>
      <c r="H160" s="70">
        <f t="shared" si="99"/>
        <v>9</v>
      </c>
      <c r="I160" s="91">
        <f t="shared" si="99"/>
        <v>140</v>
      </c>
    </row>
    <row r="161" ht="12.75" customHeight="1">
      <c r="A161" s="74"/>
      <c r="B161" s="75"/>
      <c r="C161" s="75"/>
      <c r="D161" s="75"/>
      <c r="E161" s="75"/>
      <c r="F161" s="75"/>
      <c r="G161" s="76"/>
      <c r="H161" s="76"/>
      <c r="I161" s="74"/>
    </row>
    <row r="162" ht="12.75" customHeight="1">
      <c r="A162" s="58">
        <f>A159+3</f>
        <v>45082</v>
      </c>
      <c r="B162" s="84"/>
      <c r="C162" s="84"/>
      <c r="D162" s="84"/>
      <c r="E162" s="84"/>
      <c r="F162" s="85">
        <f t="shared" ref="F162:F166" si="100">SUM(B162:E162)</f>
        <v>0</v>
      </c>
      <c r="G162" s="84"/>
      <c r="H162" s="84"/>
      <c r="I162" s="84"/>
    </row>
    <row r="163" ht="12.75" customHeight="1">
      <c r="A163" s="58">
        <f t="shared" ref="A163:A166" si="101">A162+1</f>
        <v>45083</v>
      </c>
      <c r="B163" s="84"/>
      <c r="C163" s="84"/>
      <c r="D163" s="84"/>
      <c r="E163" s="84"/>
      <c r="F163" s="85">
        <f t="shared" si="100"/>
        <v>0</v>
      </c>
      <c r="G163" s="84"/>
      <c r="H163" s="84"/>
      <c r="I163" s="86"/>
    </row>
    <row r="164" ht="12.75" customHeight="1">
      <c r="A164" s="58">
        <f t="shared" si="101"/>
        <v>45084</v>
      </c>
      <c r="B164" s="84"/>
      <c r="C164" s="84"/>
      <c r="D164" s="84"/>
      <c r="E164" s="84"/>
      <c r="F164" s="85">
        <f t="shared" si="100"/>
        <v>0</v>
      </c>
      <c r="G164" s="84"/>
      <c r="H164" s="84"/>
      <c r="I164" s="86"/>
    </row>
    <row r="165" ht="12.75" customHeight="1">
      <c r="A165" s="58">
        <f t="shared" si="101"/>
        <v>45085</v>
      </c>
      <c r="B165" s="487">
        <v>0.0</v>
      </c>
      <c r="C165" s="487">
        <v>41.41</v>
      </c>
      <c r="D165" s="487">
        <v>480.0</v>
      </c>
      <c r="E165" s="487">
        <v>50.0</v>
      </c>
      <c r="F165" s="60">
        <f t="shared" si="100"/>
        <v>571.41</v>
      </c>
      <c r="G165" s="487">
        <v>10.0</v>
      </c>
      <c r="H165" s="487">
        <v>1.0</v>
      </c>
      <c r="I165" s="489">
        <v>50.0</v>
      </c>
    </row>
    <row r="166" ht="12.75" customHeight="1">
      <c r="A166" s="58">
        <f t="shared" si="101"/>
        <v>45086</v>
      </c>
      <c r="B166" s="487">
        <v>50.0</v>
      </c>
      <c r="C166" s="487">
        <v>153.51</v>
      </c>
      <c r="D166" s="487">
        <v>1039.31</v>
      </c>
      <c r="E166" s="487">
        <v>50.0</v>
      </c>
      <c r="F166" s="60">
        <f t="shared" si="100"/>
        <v>1292.82</v>
      </c>
      <c r="G166" s="487">
        <v>22.0</v>
      </c>
      <c r="H166" s="487">
        <v>3.0</v>
      </c>
      <c r="I166" s="489">
        <v>50.0</v>
      </c>
    </row>
    <row r="167" ht="12.75" customHeight="1">
      <c r="A167" s="67"/>
      <c r="B167" s="68">
        <f t="shared" ref="B167:I167" si="102">SUM(B162:B166)</f>
        <v>50</v>
      </c>
      <c r="C167" s="68">
        <f t="shared" si="102"/>
        <v>194.92</v>
      </c>
      <c r="D167" s="68">
        <f t="shared" si="102"/>
        <v>1519.31</v>
      </c>
      <c r="E167" s="68">
        <f t="shared" si="102"/>
        <v>100</v>
      </c>
      <c r="F167" s="68">
        <f t="shared" si="102"/>
        <v>1864.23</v>
      </c>
      <c r="G167" s="70">
        <f t="shared" si="102"/>
        <v>32</v>
      </c>
      <c r="H167" s="70">
        <f t="shared" si="102"/>
        <v>4</v>
      </c>
      <c r="I167" s="91">
        <f t="shared" si="102"/>
        <v>100</v>
      </c>
    </row>
    <row r="168" ht="12.75" customHeight="1">
      <c r="A168" s="74"/>
      <c r="B168" s="92"/>
      <c r="C168" s="92"/>
      <c r="D168" s="92"/>
      <c r="E168" s="92"/>
      <c r="F168" s="75"/>
      <c r="G168" s="93"/>
      <c r="H168" s="93"/>
      <c r="I168" s="94"/>
    </row>
    <row r="169" ht="12.75" customHeight="1">
      <c r="A169" s="97">
        <f>A166+3</f>
        <v>45089</v>
      </c>
      <c r="B169" s="487">
        <v>100.0</v>
      </c>
      <c r="C169" s="487">
        <v>82.82</v>
      </c>
      <c r="D169" s="487">
        <v>790.0</v>
      </c>
      <c r="E169" s="487">
        <v>50.0</v>
      </c>
      <c r="F169" s="60">
        <f t="shared" ref="F169:F173" si="103">SUM(B169:E169)</f>
        <v>1022.82</v>
      </c>
      <c r="G169" s="487">
        <v>18.0</v>
      </c>
      <c r="H169" s="487">
        <v>2.0</v>
      </c>
      <c r="I169" s="487">
        <v>50.0</v>
      </c>
    </row>
    <row r="170" ht="12.75" customHeight="1">
      <c r="A170" s="97">
        <f t="shared" ref="A170:A173" si="104">A169+1</f>
        <v>45090</v>
      </c>
      <c r="B170" s="487">
        <v>100.0</v>
      </c>
      <c r="C170" s="487">
        <v>406.99</v>
      </c>
      <c r="D170" s="487">
        <v>478.6</v>
      </c>
      <c r="E170" s="487">
        <v>50.0</v>
      </c>
      <c r="F170" s="60">
        <f t="shared" si="103"/>
        <v>1035.59</v>
      </c>
      <c r="G170" s="487">
        <v>19.0</v>
      </c>
      <c r="H170" s="487">
        <v>7.0</v>
      </c>
      <c r="I170" s="489">
        <v>50.0</v>
      </c>
    </row>
    <row r="171" ht="12.75" customHeight="1">
      <c r="A171" s="97">
        <f t="shared" si="104"/>
        <v>45091</v>
      </c>
      <c r="B171" s="487">
        <v>190.0</v>
      </c>
      <c r="C171" s="487">
        <v>199.52</v>
      </c>
      <c r="D171" s="487">
        <v>550.0</v>
      </c>
      <c r="E171" s="487">
        <v>0.0</v>
      </c>
      <c r="F171" s="60">
        <f t="shared" si="103"/>
        <v>939.52</v>
      </c>
      <c r="G171" s="487">
        <v>19.0</v>
      </c>
      <c r="H171" s="487">
        <v>5.0</v>
      </c>
      <c r="I171" s="489">
        <v>0.0</v>
      </c>
    </row>
    <row r="172" ht="12.75" customHeight="1">
      <c r="A172" s="97">
        <f t="shared" si="104"/>
        <v>45092</v>
      </c>
      <c r="B172" s="487">
        <v>200.0</v>
      </c>
      <c r="C172" s="487">
        <v>489.81</v>
      </c>
      <c r="D172" s="487">
        <v>1257.93</v>
      </c>
      <c r="E172" s="487">
        <v>89.31</v>
      </c>
      <c r="F172" s="60">
        <f t="shared" si="103"/>
        <v>2037.05</v>
      </c>
      <c r="G172" s="487">
        <v>34.0</v>
      </c>
      <c r="H172" s="487">
        <v>9.0</v>
      </c>
      <c r="I172" s="489">
        <v>80.0</v>
      </c>
    </row>
    <row r="173" ht="12.75" customHeight="1">
      <c r="A173" s="97">
        <f t="shared" si="104"/>
        <v>45093</v>
      </c>
      <c r="B173" s="487">
        <v>270.0</v>
      </c>
      <c r="C173" s="487">
        <v>224.2</v>
      </c>
      <c r="D173" s="487">
        <v>968.62</v>
      </c>
      <c r="E173" s="487">
        <v>50.0</v>
      </c>
      <c r="F173" s="60">
        <f t="shared" si="103"/>
        <v>1512.82</v>
      </c>
      <c r="G173" s="487">
        <v>23.0</v>
      </c>
      <c r="H173" s="487">
        <v>4.0</v>
      </c>
      <c r="I173" s="489">
        <v>50.0</v>
      </c>
    </row>
    <row r="174" ht="12.75" customHeight="1">
      <c r="A174" s="131"/>
      <c r="B174" s="68">
        <f t="shared" ref="B174:I174" si="105">SUM(B169:B173)</f>
        <v>860</v>
      </c>
      <c r="C174" s="132">
        <f t="shared" si="105"/>
        <v>1403.34</v>
      </c>
      <c r="D174" s="132">
        <f t="shared" si="105"/>
        <v>4045.15</v>
      </c>
      <c r="E174" s="132">
        <f t="shared" si="105"/>
        <v>239.31</v>
      </c>
      <c r="F174" s="132">
        <f t="shared" si="105"/>
        <v>6547.8</v>
      </c>
      <c r="G174" s="155">
        <f t="shared" si="105"/>
        <v>113</v>
      </c>
      <c r="H174" s="155">
        <f t="shared" si="105"/>
        <v>27</v>
      </c>
      <c r="I174" s="134">
        <f t="shared" si="105"/>
        <v>230</v>
      </c>
    </row>
    <row r="175" ht="12.75" customHeight="1">
      <c r="A175" s="148"/>
      <c r="B175" s="75"/>
      <c r="C175" s="136"/>
      <c r="D175" s="136"/>
      <c r="E175" s="136"/>
      <c r="F175" s="136"/>
      <c r="G175" s="136"/>
      <c r="H175" s="136"/>
      <c r="I175" s="137"/>
    </row>
    <row r="176" ht="12.75" customHeight="1">
      <c r="A176" s="97">
        <f>A173+3</f>
        <v>45096</v>
      </c>
      <c r="B176" s="487">
        <v>50.0</v>
      </c>
      <c r="C176" s="487">
        <v>183.51</v>
      </c>
      <c r="D176" s="487">
        <v>1299.31</v>
      </c>
      <c r="E176" s="487">
        <v>220.0</v>
      </c>
      <c r="F176" s="60">
        <f t="shared" ref="F176:F180" si="106">SUM(B176:E176)</f>
        <v>1752.82</v>
      </c>
      <c r="G176" s="487">
        <v>29.0</v>
      </c>
      <c r="H176" s="487">
        <v>4.0</v>
      </c>
      <c r="I176" s="487">
        <v>220.0</v>
      </c>
    </row>
    <row r="177" ht="12.75" customHeight="1">
      <c r="A177" s="97">
        <f t="shared" ref="A177:A180" si="107">A176+1</f>
        <v>45097</v>
      </c>
      <c r="B177" s="487">
        <v>50.0</v>
      </c>
      <c r="C177" s="487">
        <v>112.1</v>
      </c>
      <c r="D177" s="487">
        <v>739.31</v>
      </c>
      <c r="E177" s="487">
        <v>190.0</v>
      </c>
      <c r="F177" s="60">
        <f t="shared" si="106"/>
        <v>1091.41</v>
      </c>
      <c r="G177" s="487">
        <v>19.0</v>
      </c>
      <c r="H177" s="487">
        <v>2.0</v>
      </c>
      <c r="I177" s="487">
        <v>190.0</v>
      </c>
    </row>
    <row r="178" ht="12.75" customHeight="1">
      <c r="A178" s="97">
        <f t="shared" si="107"/>
        <v>45098</v>
      </c>
      <c r="B178" s="487">
        <v>0.0</v>
      </c>
      <c r="C178" s="487">
        <v>160.62</v>
      </c>
      <c r="D178" s="487">
        <v>670.0</v>
      </c>
      <c r="E178" s="487">
        <v>200.0</v>
      </c>
      <c r="F178" s="60">
        <f t="shared" si="106"/>
        <v>1030.62</v>
      </c>
      <c r="G178" s="487">
        <v>21.0</v>
      </c>
      <c r="H178" s="487">
        <v>4.0</v>
      </c>
      <c r="I178" s="487">
        <v>200.0</v>
      </c>
    </row>
    <row r="179" ht="12.75" customHeight="1">
      <c r="A179" s="97">
        <f t="shared" si="107"/>
        <v>45099</v>
      </c>
      <c r="B179" s="487">
        <v>50.0</v>
      </c>
      <c r="C179" s="487">
        <v>307.02</v>
      </c>
      <c r="D179" s="487">
        <v>1029.31</v>
      </c>
      <c r="E179" s="487">
        <v>100.0</v>
      </c>
      <c r="F179" s="60">
        <f t="shared" si="106"/>
        <v>1486.33</v>
      </c>
      <c r="G179" s="487">
        <v>28.0</v>
      </c>
      <c r="H179" s="487">
        <v>6.0</v>
      </c>
      <c r="I179" s="487">
        <v>100.0</v>
      </c>
    </row>
    <row r="180" ht="12.75" customHeight="1">
      <c r="A180" s="97">
        <f t="shared" si="107"/>
        <v>45100</v>
      </c>
      <c r="B180" s="487">
        <v>70.0</v>
      </c>
      <c r="C180" s="487">
        <v>324.17</v>
      </c>
      <c r="D180" s="487">
        <v>747.24</v>
      </c>
      <c r="E180" s="487">
        <v>50.0</v>
      </c>
      <c r="F180" s="60">
        <f t="shared" si="106"/>
        <v>1191.41</v>
      </c>
      <c r="G180" s="487">
        <v>19.0</v>
      </c>
      <c r="H180" s="487">
        <v>5.0</v>
      </c>
      <c r="I180" s="487">
        <v>50.0</v>
      </c>
    </row>
    <row r="181" ht="12.75" customHeight="1">
      <c r="A181" s="131"/>
      <c r="B181" s="68">
        <f t="shared" ref="B181:I181" si="108">SUM(B176:B180)</f>
        <v>220</v>
      </c>
      <c r="C181" s="68">
        <f t="shared" si="108"/>
        <v>1087.42</v>
      </c>
      <c r="D181" s="68">
        <f t="shared" si="108"/>
        <v>4485.17</v>
      </c>
      <c r="E181" s="68">
        <f t="shared" si="108"/>
        <v>760</v>
      </c>
      <c r="F181" s="68">
        <f t="shared" si="108"/>
        <v>6552.59</v>
      </c>
      <c r="G181" s="147">
        <f t="shared" si="108"/>
        <v>116</v>
      </c>
      <c r="H181" s="147">
        <f t="shared" si="108"/>
        <v>21</v>
      </c>
      <c r="I181" s="91">
        <f t="shared" si="108"/>
        <v>760</v>
      </c>
    </row>
    <row r="182" ht="12.75" customHeight="1">
      <c r="A182" s="148"/>
      <c r="B182" s="75"/>
      <c r="C182" s="75"/>
      <c r="D182" s="75"/>
      <c r="E182" s="75"/>
      <c r="F182" s="75"/>
      <c r="G182" s="75"/>
      <c r="H182" s="75"/>
      <c r="I182" s="74"/>
    </row>
    <row r="183" ht="12.75" customHeight="1">
      <c r="A183" s="97">
        <f>A180+3</f>
        <v>45103</v>
      </c>
      <c r="B183" s="81">
        <v>50.0</v>
      </c>
      <c r="C183" s="81">
        <v>337.02</v>
      </c>
      <c r="D183" s="81">
        <v>620.0</v>
      </c>
      <c r="E183" s="81">
        <v>0.0</v>
      </c>
      <c r="F183" s="60">
        <f t="shared" ref="F183:F187" si="109">SUM(B183:E183)</f>
        <v>1007.02</v>
      </c>
      <c r="G183" s="81">
        <v>18.0</v>
      </c>
      <c r="H183" s="81">
        <v>7.0</v>
      </c>
      <c r="I183" s="81">
        <v>0.0</v>
      </c>
    </row>
    <row r="184" ht="12.75" customHeight="1">
      <c r="A184" s="97">
        <f t="shared" ref="A184:A186" si="110">A183+1</f>
        <v>45104</v>
      </c>
      <c r="B184" s="81">
        <v>90.0</v>
      </c>
      <c r="C184" s="81">
        <v>141.38</v>
      </c>
      <c r="D184" s="81">
        <v>789.31</v>
      </c>
      <c r="E184" s="81">
        <v>50.0</v>
      </c>
      <c r="F184" s="60">
        <f t="shared" si="109"/>
        <v>1070.69</v>
      </c>
      <c r="G184" s="81">
        <v>20.0</v>
      </c>
      <c r="H184" s="81">
        <v>2.0</v>
      </c>
      <c r="I184" s="81">
        <v>50.0</v>
      </c>
    </row>
    <row r="185" ht="12.75" customHeight="1">
      <c r="A185" s="97">
        <f t="shared" si="110"/>
        <v>45105</v>
      </c>
      <c r="B185" s="81">
        <v>0.0</v>
      </c>
      <c r="C185" s="81">
        <v>146.7</v>
      </c>
      <c r="D185" s="81">
        <v>780.0</v>
      </c>
      <c r="E185" s="81">
        <v>0.0</v>
      </c>
      <c r="F185" s="60">
        <f t="shared" si="109"/>
        <v>926.7</v>
      </c>
      <c r="G185" s="81">
        <v>18.0</v>
      </c>
      <c r="H185" s="81">
        <v>4.0</v>
      </c>
      <c r="I185" s="81">
        <v>0.0</v>
      </c>
    </row>
    <row r="186" ht="12.75" customHeight="1">
      <c r="A186" s="97">
        <f t="shared" si="110"/>
        <v>45106</v>
      </c>
      <c r="B186" s="81">
        <v>240.0</v>
      </c>
      <c r="C186" s="81">
        <v>236.33</v>
      </c>
      <c r="D186" s="81">
        <v>1090.0</v>
      </c>
      <c r="E186" s="81">
        <v>50.0</v>
      </c>
      <c r="F186" s="60">
        <f t="shared" si="109"/>
        <v>1616.33</v>
      </c>
      <c r="G186" s="81">
        <v>31.0</v>
      </c>
      <c r="H186" s="81">
        <v>5.0</v>
      </c>
      <c r="I186" s="81">
        <v>50.0</v>
      </c>
    </row>
    <row r="187" ht="12.75" customHeight="1">
      <c r="A187" s="97">
        <f>A184+3</f>
        <v>45107</v>
      </c>
      <c r="B187" s="84"/>
      <c r="C187" s="84"/>
      <c r="D187" s="84"/>
      <c r="E187" s="84"/>
      <c r="F187" s="85">
        <f t="shared" si="109"/>
        <v>0</v>
      </c>
      <c r="G187" s="84"/>
      <c r="H187" s="84"/>
      <c r="I187" s="84"/>
    </row>
    <row r="188" ht="12.75" customHeight="1">
      <c r="A188" s="67"/>
      <c r="B188" s="91">
        <f t="shared" ref="B188:I188" si="111">SUM(B183:B187)</f>
        <v>380</v>
      </c>
      <c r="C188" s="91">
        <f t="shared" si="111"/>
        <v>861.43</v>
      </c>
      <c r="D188" s="91">
        <f t="shared" si="111"/>
        <v>3279.31</v>
      </c>
      <c r="E188" s="91">
        <f t="shared" si="111"/>
        <v>100</v>
      </c>
      <c r="F188" s="91">
        <f t="shared" si="111"/>
        <v>4620.74</v>
      </c>
      <c r="G188" s="402">
        <f t="shared" si="111"/>
        <v>87</v>
      </c>
      <c r="H188" s="402">
        <f t="shared" si="111"/>
        <v>18</v>
      </c>
      <c r="I188" s="91">
        <f t="shared" si="111"/>
        <v>100</v>
      </c>
    </row>
    <row r="189" ht="12.75" customHeight="1">
      <c r="A189" s="74"/>
      <c r="B189" s="74"/>
      <c r="C189" s="74"/>
      <c r="D189" s="74"/>
      <c r="E189" s="74"/>
      <c r="F189" s="74"/>
      <c r="G189" s="74"/>
      <c r="H189" s="74"/>
      <c r="I189" s="74"/>
    </row>
    <row r="190" ht="12.75" customHeight="1">
      <c r="A190" s="97">
        <v>45110.0</v>
      </c>
      <c r="B190" s="98">
        <v>180.0</v>
      </c>
      <c r="C190" s="99">
        <v>182.79</v>
      </c>
      <c r="D190" s="99">
        <v>1009.31</v>
      </c>
      <c r="E190" s="99">
        <v>190.0</v>
      </c>
      <c r="F190" s="158">
        <f t="shared" ref="F190:F194" si="112">SUM(B190:E190)</f>
        <v>1562.1</v>
      </c>
      <c r="G190" s="99">
        <v>28.0</v>
      </c>
      <c r="H190" s="99">
        <v>3.0</v>
      </c>
      <c r="I190" s="99">
        <v>200.0</v>
      </c>
    </row>
    <row r="191" ht="12.75" customHeight="1">
      <c r="A191" s="97">
        <f t="shared" ref="A191:A194" si="113">A190+1</f>
        <v>45111</v>
      </c>
      <c r="B191" s="112">
        <v>0.0</v>
      </c>
      <c r="C191" s="124">
        <v>82.82</v>
      </c>
      <c r="D191" s="124">
        <v>630.0</v>
      </c>
      <c r="E191" s="124">
        <v>50.0</v>
      </c>
      <c r="F191" s="158">
        <f t="shared" si="112"/>
        <v>762.82</v>
      </c>
      <c r="G191" s="124">
        <v>15.0</v>
      </c>
      <c r="H191" s="124">
        <v>2.0</v>
      </c>
      <c r="I191" s="124">
        <v>50.0</v>
      </c>
    </row>
    <row r="192" ht="12.75" customHeight="1">
      <c r="A192" s="97">
        <f t="shared" si="113"/>
        <v>45112</v>
      </c>
      <c r="B192" s="112">
        <v>120.0</v>
      </c>
      <c r="C192" s="124">
        <v>124.23</v>
      </c>
      <c r="D192" s="124">
        <v>750.0</v>
      </c>
      <c r="E192" s="124">
        <v>100.0</v>
      </c>
      <c r="F192" s="158">
        <f t="shared" si="112"/>
        <v>1094.23</v>
      </c>
      <c r="G192" s="124">
        <v>22.0</v>
      </c>
      <c r="H192" s="124">
        <v>3.0</v>
      </c>
      <c r="I192" s="124">
        <v>100.0</v>
      </c>
    </row>
    <row r="193" ht="12.75" customHeight="1">
      <c r="A193" s="97">
        <f t="shared" si="113"/>
        <v>45113</v>
      </c>
      <c r="B193" s="112">
        <v>140.0</v>
      </c>
      <c r="C193" s="124">
        <v>436.27</v>
      </c>
      <c r="D193" s="124">
        <v>940.0</v>
      </c>
      <c r="E193" s="124">
        <v>159.31</v>
      </c>
      <c r="F193" s="158">
        <f t="shared" si="112"/>
        <v>1675.58</v>
      </c>
      <c r="G193" s="124">
        <v>28.0</v>
      </c>
      <c r="H193" s="124">
        <v>7.0</v>
      </c>
      <c r="I193" s="124">
        <v>160.0</v>
      </c>
    </row>
    <row r="194" ht="12.75" customHeight="1">
      <c r="A194" s="97">
        <f t="shared" si="113"/>
        <v>45114</v>
      </c>
      <c r="B194" s="112">
        <v>90.0</v>
      </c>
      <c r="C194" s="124">
        <v>224.2</v>
      </c>
      <c r="D194" s="124">
        <v>678.62</v>
      </c>
      <c r="E194" s="124">
        <v>50.0</v>
      </c>
      <c r="F194" s="158">
        <f t="shared" si="112"/>
        <v>1042.82</v>
      </c>
      <c r="G194" s="124">
        <v>18.0</v>
      </c>
      <c r="H194" s="124">
        <v>4.0</v>
      </c>
      <c r="I194" s="124">
        <v>50.0</v>
      </c>
    </row>
    <row r="195" ht="12.75" customHeight="1">
      <c r="A195" s="67"/>
      <c r="B195" s="121">
        <f t="shared" ref="B195:I195" si="114">SUM(B190:B194)</f>
        <v>530</v>
      </c>
      <c r="C195" s="121">
        <f t="shared" si="114"/>
        <v>1050.31</v>
      </c>
      <c r="D195" s="121">
        <f t="shared" si="114"/>
        <v>4007.93</v>
      </c>
      <c r="E195" s="121">
        <f t="shared" si="114"/>
        <v>549.31</v>
      </c>
      <c r="F195" s="160">
        <f t="shared" si="114"/>
        <v>6137.55</v>
      </c>
      <c r="G195" s="70">
        <f t="shared" si="114"/>
        <v>111</v>
      </c>
      <c r="H195" s="70">
        <f t="shared" si="114"/>
        <v>19</v>
      </c>
      <c r="I195" s="91">
        <f t="shared" si="114"/>
        <v>560</v>
      </c>
    </row>
    <row r="196" ht="12.75" customHeight="1">
      <c r="A196" s="74"/>
      <c r="B196" s="75"/>
      <c r="C196" s="75"/>
      <c r="D196" s="75"/>
      <c r="E196" s="75"/>
      <c r="F196" s="75"/>
      <c r="G196" s="76"/>
      <c r="H196" s="76"/>
      <c r="I196" s="74"/>
    </row>
    <row r="197" ht="12.75" customHeight="1">
      <c r="A197" s="161">
        <f>A194+3</f>
        <v>45117</v>
      </c>
      <c r="B197" s="112">
        <v>0.0</v>
      </c>
      <c r="C197" s="124">
        <v>182.79</v>
      </c>
      <c r="D197" s="124">
        <v>649.31</v>
      </c>
      <c r="E197" s="124">
        <v>100.0</v>
      </c>
      <c r="F197" s="164">
        <f t="shared" ref="F197:F201" si="115">SUM(B197:E197)</f>
        <v>932.1</v>
      </c>
      <c r="G197" s="124">
        <v>17.0</v>
      </c>
      <c r="H197" s="124">
        <v>3.0</v>
      </c>
      <c r="I197" s="124">
        <v>100.0</v>
      </c>
    </row>
    <row r="198" ht="12.75" customHeight="1">
      <c r="A198" s="162">
        <f t="shared" ref="A198:A201" si="116">A197+1</f>
        <v>45118</v>
      </c>
      <c r="B198" s="112">
        <v>0.0</v>
      </c>
      <c r="C198" s="124">
        <v>224.2</v>
      </c>
      <c r="D198" s="124">
        <v>559.31</v>
      </c>
      <c r="E198" s="124">
        <v>69.31</v>
      </c>
      <c r="F198" s="164">
        <f t="shared" si="115"/>
        <v>852.82</v>
      </c>
      <c r="G198" s="124">
        <v>16.0</v>
      </c>
      <c r="H198" s="124">
        <v>4.0</v>
      </c>
      <c r="I198" s="124">
        <v>60.0</v>
      </c>
    </row>
    <row r="199" ht="12.75" customHeight="1">
      <c r="A199" s="162">
        <f t="shared" si="116"/>
        <v>45119</v>
      </c>
      <c r="B199" s="112">
        <v>50.0</v>
      </c>
      <c r="C199" s="112">
        <v>202.03</v>
      </c>
      <c r="D199" s="112">
        <v>610.0</v>
      </c>
      <c r="E199" s="112">
        <v>50.0</v>
      </c>
      <c r="F199" s="164">
        <f t="shared" si="115"/>
        <v>912.03</v>
      </c>
      <c r="G199" s="124">
        <v>19.0</v>
      </c>
      <c r="H199" s="124">
        <v>5.0</v>
      </c>
      <c r="I199" s="112">
        <v>50.0</v>
      </c>
    </row>
    <row r="200" ht="12.75" customHeight="1">
      <c r="A200" s="162">
        <f t="shared" si="116"/>
        <v>45120</v>
      </c>
      <c r="B200" s="112">
        <v>0.0</v>
      </c>
      <c r="C200" s="112">
        <v>419.84</v>
      </c>
      <c r="D200" s="112">
        <v>1178.62</v>
      </c>
      <c r="E200" s="112">
        <v>190.0</v>
      </c>
      <c r="F200" s="164">
        <f t="shared" si="115"/>
        <v>1788.46</v>
      </c>
      <c r="G200" s="124">
        <v>31.0</v>
      </c>
      <c r="H200" s="124">
        <v>9.0</v>
      </c>
      <c r="I200" s="112">
        <v>190.0</v>
      </c>
    </row>
    <row r="201" ht="12.75" customHeight="1">
      <c r="A201" s="163">
        <f t="shared" si="116"/>
        <v>45121</v>
      </c>
      <c r="B201" s="150"/>
      <c r="C201" s="150"/>
      <c r="D201" s="150"/>
      <c r="E201" s="150"/>
      <c r="F201" s="447">
        <f t="shared" si="115"/>
        <v>0</v>
      </c>
      <c r="G201" s="119"/>
      <c r="H201" s="119"/>
      <c r="I201" s="150"/>
    </row>
    <row r="202" ht="12.75" customHeight="1">
      <c r="A202" s="67"/>
      <c r="B202" s="68">
        <f t="shared" ref="B202:I202" si="117">SUM(B197:B201)</f>
        <v>50</v>
      </c>
      <c r="C202" s="68">
        <f t="shared" si="117"/>
        <v>1028.86</v>
      </c>
      <c r="D202" s="68">
        <f t="shared" si="117"/>
        <v>2997.24</v>
      </c>
      <c r="E202" s="68">
        <f t="shared" si="117"/>
        <v>409.31</v>
      </c>
      <c r="F202" s="157">
        <f t="shared" si="117"/>
        <v>4485.41</v>
      </c>
      <c r="G202" s="70">
        <f t="shared" si="117"/>
        <v>83</v>
      </c>
      <c r="H202" s="70">
        <f t="shared" si="117"/>
        <v>21</v>
      </c>
      <c r="I202" s="71">
        <f t="shared" si="117"/>
        <v>400</v>
      </c>
    </row>
    <row r="203" ht="12.75" customHeight="1">
      <c r="A203" s="74"/>
      <c r="B203" s="75"/>
      <c r="C203" s="75"/>
      <c r="D203" s="75"/>
      <c r="E203" s="75"/>
      <c r="F203" s="75"/>
      <c r="G203" s="76"/>
      <c r="H203" s="76"/>
      <c r="I203" s="77"/>
    </row>
    <row r="204" ht="12.75" customHeight="1">
      <c r="A204" s="162">
        <f>A201+3</f>
        <v>45124</v>
      </c>
      <c r="B204" s="112">
        <v>0.0</v>
      </c>
      <c r="C204" s="112">
        <v>406.99</v>
      </c>
      <c r="D204" s="112">
        <v>1347.93</v>
      </c>
      <c r="E204" s="112">
        <v>150.0</v>
      </c>
      <c r="F204" s="164">
        <f t="shared" ref="F204:F208" si="118">SUM(B204:E204)</f>
        <v>1904.92</v>
      </c>
      <c r="G204" s="124">
        <v>32.0</v>
      </c>
      <c r="H204" s="124">
        <v>7.0</v>
      </c>
      <c r="I204" s="112">
        <v>150.0</v>
      </c>
    </row>
    <row r="205" ht="12.75" customHeight="1">
      <c r="A205" s="162">
        <f t="shared" ref="A205:A208" si="119">A204+1</f>
        <v>45125</v>
      </c>
      <c r="B205" s="112">
        <v>0.0</v>
      </c>
      <c r="C205" s="112">
        <v>360.56</v>
      </c>
      <c r="D205" s="112">
        <v>919.31</v>
      </c>
      <c r="E205" s="112">
        <v>240.0</v>
      </c>
      <c r="F205" s="164">
        <f t="shared" si="118"/>
        <v>1519.87</v>
      </c>
      <c r="G205" s="124">
        <v>31.0</v>
      </c>
      <c r="H205" s="124">
        <v>8.0</v>
      </c>
      <c r="I205" s="112">
        <v>240.0</v>
      </c>
    </row>
    <row r="206" ht="12.75" customHeight="1">
      <c r="A206" s="162">
        <f t="shared" si="119"/>
        <v>45126</v>
      </c>
      <c r="B206" s="112">
        <v>0.0</v>
      </c>
      <c r="C206" s="112">
        <v>41.41</v>
      </c>
      <c r="D206" s="112">
        <v>720.0</v>
      </c>
      <c r="E206" s="112">
        <v>340.0</v>
      </c>
      <c r="F206" s="164">
        <f t="shared" si="118"/>
        <v>1101.41</v>
      </c>
      <c r="G206" s="124">
        <v>21.0</v>
      </c>
      <c r="H206" s="124">
        <v>1.0</v>
      </c>
      <c r="I206" s="112">
        <v>340.0</v>
      </c>
    </row>
    <row r="207" ht="12.75" customHeight="1">
      <c r="A207" s="162">
        <f t="shared" si="119"/>
        <v>45127</v>
      </c>
      <c r="B207" s="112">
        <v>90.0</v>
      </c>
      <c r="C207" s="112">
        <v>224.92</v>
      </c>
      <c r="D207" s="112">
        <v>780.0</v>
      </c>
      <c r="E207" s="112">
        <v>300.0</v>
      </c>
      <c r="F207" s="164">
        <f t="shared" si="118"/>
        <v>1394.92</v>
      </c>
      <c r="G207" s="124">
        <v>26.0</v>
      </c>
      <c r="H207" s="124">
        <v>5.0</v>
      </c>
      <c r="I207" s="112">
        <v>300.0</v>
      </c>
    </row>
    <row r="208" ht="12.75" customHeight="1">
      <c r="A208" s="162">
        <f t="shared" si="119"/>
        <v>45128</v>
      </c>
      <c r="B208" s="112">
        <v>0.0</v>
      </c>
      <c r="C208" s="112">
        <v>141.38</v>
      </c>
      <c r="D208" s="112">
        <v>740.0</v>
      </c>
      <c r="E208" s="112">
        <v>140.0</v>
      </c>
      <c r="F208" s="164">
        <f t="shared" si="118"/>
        <v>1021.38</v>
      </c>
      <c r="G208" s="124">
        <v>18.0</v>
      </c>
      <c r="H208" s="124">
        <v>2.0</v>
      </c>
      <c r="I208" s="112">
        <v>140.0</v>
      </c>
    </row>
    <row r="209" ht="12.75" customHeight="1">
      <c r="A209" s="67"/>
      <c r="B209" s="68">
        <f t="shared" ref="B209:I209" si="120">SUM(B204:B208)</f>
        <v>90</v>
      </c>
      <c r="C209" s="68">
        <f t="shared" si="120"/>
        <v>1175.26</v>
      </c>
      <c r="D209" s="68">
        <f t="shared" si="120"/>
        <v>4507.24</v>
      </c>
      <c r="E209" s="68">
        <f t="shared" si="120"/>
        <v>1170</v>
      </c>
      <c r="F209" s="157">
        <f t="shared" si="120"/>
        <v>6942.5</v>
      </c>
      <c r="G209" s="70">
        <f t="shared" si="120"/>
        <v>128</v>
      </c>
      <c r="H209" s="70">
        <f t="shared" si="120"/>
        <v>23</v>
      </c>
      <c r="I209" s="91">
        <f t="shared" si="120"/>
        <v>1170</v>
      </c>
    </row>
    <row r="210" ht="12.75" customHeight="1">
      <c r="A210" s="74"/>
      <c r="B210" s="75"/>
      <c r="C210" s="75"/>
      <c r="D210" s="75"/>
      <c r="E210" s="75"/>
      <c r="F210" s="75"/>
      <c r="G210" s="76"/>
      <c r="H210" s="76"/>
      <c r="I210" s="74"/>
    </row>
    <row r="211" ht="12.75" customHeight="1">
      <c r="A211" s="162">
        <f>A208+3</f>
        <v>45131</v>
      </c>
      <c r="B211" s="112">
        <v>0.0</v>
      </c>
      <c r="C211" s="112">
        <v>308.46</v>
      </c>
      <c r="D211" s="112">
        <v>870.0</v>
      </c>
      <c r="E211" s="112">
        <v>100.0</v>
      </c>
      <c r="F211" s="164">
        <f t="shared" ref="F211:F215" si="121">SUM(B211:E211)</f>
        <v>1278.46</v>
      </c>
      <c r="G211" s="124">
        <v>29.0</v>
      </c>
      <c r="H211" s="124">
        <v>8.0</v>
      </c>
      <c r="I211" s="112">
        <v>80.0</v>
      </c>
    </row>
    <row r="212" ht="12.75" customHeight="1">
      <c r="A212" s="162">
        <f t="shared" ref="A212:A215" si="122">A211+1</f>
        <v>45132</v>
      </c>
      <c r="B212" s="112">
        <v>0.0</v>
      </c>
      <c r="C212" s="112">
        <v>360.56</v>
      </c>
      <c r="D212" s="112">
        <v>899.31</v>
      </c>
      <c r="E212" s="112">
        <v>50.0</v>
      </c>
      <c r="F212" s="164">
        <f t="shared" si="121"/>
        <v>1309.87</v>
      </c>
      <c r="G212" s="124">
        <v>25.0</v>
      </c>
      <c r="H212" s="124">
        <v>8.0</v>
      </c>
      <c r="I212" s="112">
        <v>50.0</v>
      </c>
    </row>
    <row r="213" ht="12.75" customHeight="1">
      <c r="A213" s="162">
        <f t="shared" si="122"/>
        <v>45133</v>
      </c>
      <c r="B213" s="112">
        <v>0.0</v>
      </c>
      <c r="C213" s="112">
        <v>163.13</v>
      </c>
      <c r="D213" s="112">
        <v>660.0</v>
      </c>
      <c r="E213" s="112">
        <v>0.0</v>
      </c>
      <c r="F213" s="164">
        <f t="shared" si="121"/>
        <v>823.13</v>
      </c>
      <c r="G213" s="124">
        <v>16.0</v>
      </c>
      <c r="H213" s="124">
        <v>4.0</v>
      </c>
      <c r="I213" s="112">
        <v>0.0</v>
      </c>
    </row>
    <row r="214" ht="12.75" customHeight="1">
      <c r="A214" s="162">
        <f t="shared" si="122"/>
        <v>45134</v>
      </c>
      <c r="B214" s="112">
        <v>0.0</v>
      </c>
      <c r="C214" s="112">
        <v>0.0</v>
      </c>
      <c r="D214" s="112">
        <v>840.0</v>
      </c>
      <c r="E214" s="112">
        <v>100.0</v>
      </c>
      <c r="F214" s="164">
        <f t="shared" si="121"/>
        <v>940</v>
      </c>
      <c r="G214" s="124">
        <v>14.0</v>
      </c>
      <c r="H214" s="124">
        <v>0.0</v>
      </c>
      <c r="I214" s="112">
        <v>100.0</v>
      </c>
    </row>
    <row r="215" ht="12.75" customHeight="1">
      <c r="A215" s="162">
        <f t="shared" si="122"/>
        <v>45135</v>
      </c>
      <c r="B215" s="112">
        <v>0.0</v>
      </c>
      <c r="C215" s="112">
        <v>0.0</v>
      </c>
      <c r="D215" s="112">
        <v>1240.0</v>
      </c>
      <c r="E215" s="112">
        <v>0.0</v>
      </c>
      <c r="F215" s="164">
        <f t="shared" si="121"/>
        <v>1240</v>
      </c>
      <c r="G215" s="124">
        <v>20.0</v>
      </c>
      <c r="H215" s="124">
        <v>0.0</v>
      </c>
      <c r="I215" s="112">
        <v>0.0</v>
      </c>
    </row>
    <row r="216" ht="12.75" customHeight="1">
      <c r="A216" s="67"/>
      <c r="B216" s="68">
        <f t="shared" ref="B216:I216" si="123">SUM(B211:B215)</f>
        <v>0</v>
      </c>
      <c r="C216" s="68">
        <f t="shared" si="123"/>
        <v>832.15</v>
      </c>
      <c r="D216" s="68">
        <f t="shared" si="123"/>
        <v>4509.31</v>
      </c>
      <c r="E216" s="68">
        <f t="shared" si="123"/>
        <v>250</v>
      </c>
      <c r="F216" s="157">
        <f t="shared" si="123"/>
        <v>5591.46</v>
      </c>
      <c r="G216" s="70">
        <f t="shared" si="123"/>
        <v>104</v>
      </c>
      <c r="H216" s="70">
        <f t="shared" si="123"/>
        <v>20</v>
      </c>
      <c r="I216" s="69">
        <f t="shared" si="123"/>
        <v>230</v>
      </c>
    </row>
    <row r="217" ht="12.75" customHeight="1">
      <c r="A217" s="74"/>
      <c r="B217" s="92"/>
      <c r="C217" s="92"/>
      <c r="D217" s="92"/>
      <c r="E217" s="92"/>
      <c r="F217" s="92"/>
      <c r="G217" s="76"/>
      <c r="H217" s="76"/>
      <c r="I217" s="76"/>
    </row>
    <row r="218" ht="12.75" customHeight="1">
      <c r="A218" s="161">
        <f>A215+3</f>
        <v>45138</v>
      </c>
      <c r="B218" s="150"/>
      <c r="C218" s="138"/>
      <c r="D218" s="138"/>
      <c r="E218" s="138"/>
      <c r="F218" s="151"/>
      <c r="G218" s="138"/>
      <c r="H218" s="138"/>
      <c r="I218" s="146"/>
    </row>
    <row r="219" ht="12.75" customHeight="1">
      <c r="A219" s="97">
        <v>45139.0</v>
      </c>
      <c r="B219" s="81">
        <v>0.0</v>
      </c>
      <c r="C219" s="81">
        <v>477.68</v>
      </c>
      <c r="D219" s="81">
        <v>1058.62</v>
      </c>
      <c r="E219" s="81">
        <v>69.31</v>
      </c>
      <c r="F219" s="156">
        <f t="shared" ref="F219:F222" si="124">SUM(B219:E219)</f>
        <v>1605.61</v>
      </c>
      <c r="G219" s="81">
        <v>70.0</v>
      </c>
      <c r="H219" s="81">
        <v>7.0</v>
      </c>
      <c r="I219" s="81">
        <v>70.0</v>
      </c>
    </row>
    <row r="220" ht="12.75" customHeight="1">
      <c r="A220" s="97">
        <f t="shared" ref="A220:A222" si="125">A219+1</f>
        <v>45140</v>
      </c>
      <c r="B220" s="81">
        <v>0.0</v>
      </c>
      <c r="C220" s="81">
        <v>158.11</v>
      </c>
      <c r="D220" s="81">
        <v>640.0</v>
      </c>
      <c r="E220" s="81">
        <v>50.0</v>
      </c>
      <c r="F220" s="156">
        <f t="shared" si="124"/>
        <v>848.11</v>
      </c>
      <c r="G220" s="81">
        <v>17.0</v>
      </c>
      <c r="H220" s="81">
        <v>4.0</v>
      </c>
      <c r="I220" s="81">
        <v>50.0</v>
      </c>
    </row>
    <row r="221" ht="12.75" customHeight="1">
      <c r="A221" s="97">
        <f t="shared" si="125"/>
        <v>45141</v>
      </c>
      <c r="B221" s="81">
        <v>0.0</v>
      </c>
      <c r="C221" s="81">
        <v>183.51</v>
      </c>
      <c r="D221" s="81">
        <v>570.0</v>
      </c>
      <c r="E221" s="81">
        <v>50.0</v>
      </c>
      <c r="F221" s="156">
        <f t="shared" si="124"/>
        <v>803.51</v>
      </c>
      <c r="G221" s="81">
        <v>14.0</v>
      </c>
      <c r="H221" s="81">
        <v>4.0</v>
      </c>
      <c r="I221" s="81">
        <v>50.0</v>
      </c>
    </row>
    <row r="222" ht="12.75" customHeight="1">
      <c r="A222" s="97">
        <f t="shared" si="125"/>
        <v>45142</v>
      </c>
      <c r="B222" s="81">
        <v>0.0</v>
      </c>
      <c r="C222" s="81">
        <v>100.69</v>
      </c>
      <c r="D222" s="81">
        <v>489.31</v>
      </c>
      <c r="E222" s="81">
        <v>100.0</v>
      </c>
      <c r="F222" s="156">
        <f t="shared" si="124"/>
        <v>690</v>
      </c>
      <c r="G222" s="81">
        <v>12.0</v>
      </c>
      <c r="H222" s="81">
        <v>2.0</v>
      </c>
      <c r="I222" s="81">
        <v>100.0</v>
      </c>
    </row>
    <row r="223" ht="12.75" customHeight="1">
      <c r="A223" s="131"/>
      <c r="B223" s="91">
        <f t="shared" ref="B223:I223" si="126">SUM(B219:B222)</f>
        <v>0</v>
      </c>
      <c r="C223" s="91">
        <f t="shared" si="126"/>
        <v>919.99</v>
      </c>
      <c r="D223" s="91">
        <f t="shared" si="126"/>
        <v>2757.93</v>
      </c>
      <c r="E223" s="91">
        <f t="shared" si="126"/>
        <v>269.31</v>
      </c>
      <c r="F223" s="157">
        <f t="shared" si="126"/>
        <v>3947.23</v>
      </c>
      <c r="G223" s="218">
        <f t="shared" si="126"/>
        <v>113</v>
      </c>
      <c r="H223" s="218">
        <f t="shared" si="126"/>
        <v>17</v>
      </c>
      <c r="I223" s="91">
        <f t="shared" si="126"/>
        <v>270</v>
      </c>
    </row>
    <row r="224" ht="12.75" customHeight="1">
      <c r="A224" s="148"/>
      <c r="B224" s="74"/>
      <c r="C224" s="74"/>
      <c r="D224" s="74"/>
      <c r="E224" s="74"/>
      <c r="F224" s="75"/>
      <c r="G224" s="74"/>
      <c r="H224" s="74"/>
      <c r="I224" s="74"/>
    </row>
    <row r="225" ht="12.75" customHeight="1">
      <c r="A225" s="161">
        <f>A222+3</f>
        <v>45145</v>
      </c>
      <c r="B225" s="150"/>
      <c r="C225" s="138"/>
      <c r="D225" s="138"/>
      <c r="E225" s="138"/>
      <c r="F225" s="151"/>
      <c r="G225" s="138"/>
      <c r="H225" s="138"/>
      <c r="I225" s="146"/>
    </row>
    <row r="226" ht="12.75" customHeight="1">
      <c r="A226" s="162">
        <f t="shared" ref="A226:A229" si="127">A225+1</f>
        <v>45146</v>
      </c>
      <c r="B226" s="150"/>
      <c r="C226" s="119"/>
      <c r="D226" s="119"/>
      <c r="E226" s="119"/>
      <c r="F226" s="196"/>
      <c r="G226" s="84"/>
      <c r="H226" s="84"/>
      <c r="I226" s="86"/>
    </row>
    <row r="227" ht="12.75" customHeight="1">
      <c r="A227" s="162">
        <f t="shared" si="127"/>
        <v>45147</v>
      </c>
      <c r="B227" s="150"/>
      <c r="C227" s="119"/>
      <c r="D227" s="119"/>
      <c r="E227" s="119"/>
      <c r="F227" s="196"/>
      <c r="G227" s="84"/>
      <c r="H227" s="84"/>
      <c r="I227" s="86"/>
    </row>
    <row r="228" ht="12.75" customHeight="1">
      <c r="A228" s="162">
        <f t="shared" si="127"/>
        <v>45148</v>
      </c>
      <c r="B228" s="150"/>
      <c r="C228" s="119"/>
      <c r="D228" s="119"/>
      <c r="E228" s="119"/>
      <c r="F228" s="196"/>
      <c r="G228" s="84"/>
      <c r="H228" s="84"/>
      <c r="I228" s="86"/>
    </row>
    <row r="229" ht="12.75" customHeight="1">
      <c r="A229" s="163">
        <f t="shared" si="127"/>
        <v>45149</v>
      </c>
      <c r="B229" s="169"/>
      <c r="C229" s="170"/>
      <c r="D229" s="170"/>
      <c r="E229" s="170"/>
      <c r="F229" s="196"/>
      <c r="G229" s="172"/>
      <c r="H229" s="172"/>
      <c r="I229" s="173"/>
    </row>
    <row r="230" ht="12.75" customHeight="1">
      <c r="A230" s="67"/>
      <c r="B230" s="179">
        <f t="shared" ref="B230:I230" si="128">SUM(B225:B229)</f>
        <v>0</v>
      </c>
      <c r="C230" s="179">
        <f t="shared" si="128"/>
        <v>0</v>
      </c>
      <c r="D230" s="179">
        <f t="shared" si="128"/>
        <v>0</v>
      </c>
      <c r="E230" s="179">
        <f t="shared" si="128"/>
        <v>0</v>
      </c>
      <c r="F230" s="157">
        <f t="shared" si="128"/>
        <v>0</v>
      </c>
      <c r="G230" s="180">
        <f t="shared" si="128"/>
        <v>0</v>
      </c>
      <c r="H230" s="180">
        <f t="shared" si="128"/>
        <v>0</v>
      </c>
      <c r="I230" s="179">
        <f t="shared" si="128"/>
        <v>0</v>
      </c>
    </row>
    <row r="231" ht="12.75" customHeight="1">
      <c r="A231" s="74"/>
      <c r="B231" s="74"/>
      <c r="C231" s="74"/>
      <c r="D231" s="74"/>
      <c r="E231" s="74"/>
      <c r="F231" s="75"/>
      <c r="G231" s="74"/>
      <c r="H231" s="74"/>
      <c r="I231" s="74"/>
    </row>
    <row r="232" ht="12.75" customHeight="1">
      <c r="A232" s="97">
        <f>A229+3</f>
        <v>45152</v>
      </c>
      <c r="B232" s="175"/>
      <c r="C232" s="176"/>
      <c r="D232" s="176"/>
      <c r="E232" s="176"/>
      <c r="F232" s="177"/>
      <c r="G232" s="176"/>
      <c r="H232" s="176"/>
      <c r="I232" s="178"/>
    </row>
    <row r="233" ht="12.75" customHeight="1">
      <c r="A233" s="162">
        <f t="shared" ref="A233:A236" si="129">A232+1</f>
        <v>45153</v>
      </c>
      <c r="B233" s="150"/>
      <c r="C233" s="119"/>
      <c r="D233" s="119"/>
      <c r="E233" s="119"/>
      <c r="F233" s="196"/>
      <c r="G233" s="84"/>
      <c r="H233" s="84"/>
      <c r="I233" s="86"/>
    </row>
    <row r="234" ht="12.75" customHeight="1">
      <c r="A234" s="97">
        <f t="shared" si="129"/>
        <v>45154</v>
      </c>
      <c r="B234" s="150"/>
      <c r="C234" s="119"/>
      <c r="D234" s="119"/>
      <c r="E234" s="119"/>
      <c r="F234" s="196"/>
      <c r="G234" s="84"/>
      <c r="H234" s="84"/>
      <c r="I234" s="86"/>
    </row>
    <row r="235" ht="12.75" customHeight="1">
      <c r="A235" s="162">
        <f t="shared" si="129"/>
        <v>45155</v>
      </c>
      <c r="B235" s="150"/>
      <c r="C235" s="119"/>
      <c r="D235" s="119"/>
      <c r="E235" s="119"/>
      <c r="F235" s="196"/>
      <c r="G235" s="84"/>
      <c r="H235" s="84"/>
      <c r="I235" s="86"/>
    </row>
    <row r="236" ht="12.75" customHeight="1">
      <c r="A236" s="97">
        <f t="shared" si="129"/>
        <v>45156</v>
      </c>
      <c r="B236" s="169"/>
      <c r="C236" s="170"/>
      <c r="D236" s="170"/>
      <c r="E236" s="170"/>
      <c r="F236" s="196"/>
      <c r="G236" s="172"/>
      <c r="H236" s="172"/>
      <c r="I236" s="173"/>
    </row>
    <row r="237" ht="12.75" customHeight="1">
      <c r="A237" s="67"/>
      <c r="B237" s="179">
        <f>SUM(B229:B236)</f>
        <v>0</v>
      </c>
      <c r="C237" s="145">
        <f>SUM(C232:C236)</f>
        <v>0</v>
      </c>
      <c r="D237" s="179">
        <f t="shared" ref="D237:I237" si="130">SUM(D229:D236)</f>
        <v>0</v>
      </c>
      <c r="E237" s="179">
        <f t="shared" si="130"/>
        <v>0</v>
      </c>
      <c r="F237" s="157">
        <f t="shared" si="130"/>
        <v>0</v>
      </c>
      <c r="G237" s="180">
        <f t="shared" si="130"/>
        <v>0</v>
      </c>
      <c r="H237" s="180">
        <f t="shared" si="130"/>
        <v>0</v>
      </c>
      <c r="I237" s="179">
        <f t="shared" si="130"/>
        <v>0</v>
      </c>
    </row>
    <row r="238" ht="12.75" customHeight="1">
      <c r="A238" s="74"/>
      <c r="B238" s="94"/>
      <c r="C238" s="74"/>
      <c r="D238" s="94"/>
      <c r="E238" s="94"/>
      <c r="F238" s="75"/>
      <c r="G238" s="94"/>
      <c r="H238" s="94"/>
      <c r="I238" s="94"/>
    </row>
    <row r="239" ht="12.75" customHeight="1">
      <c r="A239" s="97">
        <f>A236+3</f>
        <v>45159</v>
      </c>
      <c r="B239" s="175"/>
      <c r="C239" s="176"/>
      <c r="D239" s="176"/>
      <c r="E239" s="176"/>
      <c r="F239" s="177"/>
      <c r="G239" s="176"/>
      <c r="H239" s="176"/>
      <c r="I239" s="178"/>
    </row>
    <row r="240" ht="12.75" customHeight="1">
      <c r="A240" s="97">
        <f t="shared" ref="A240:A243" si="131">A239+1</f>
        <v>45160</v>
      </c>
      <c r="B240" s="150"/>
      <c r="C240" s="119"/>
      <c r="D240" s="119"/>
      <c r="E240" s="119"/>
      <c r="F240" s="196"/>
      <c r="G240" s="84"/>
      <c r="H240" s="84"/>
      <c r="I240" s="86"/>
    </row>
    <row r="241" ht="12.75" customHeight="1">
      <c r="A241" s="97">
        <f t="shared" si="131"/>
        <v>45161</v>
      </c>
      <c r="B241" s="150"/>
      <c r="C241" s="119"/>
      <c r="D241" s="119"/>
      <c r="E241" s="119"/>
      <c r="F241" s="196"/>
      <c r="G241" s="84"/>
      <c r="H241" s="84"/>
      <c r="I241" s="86"/>
    </row>
    <row r="242" ht="12.75" customHeight="1">
      <c r="A242" s="97">
        <f t="shared" si="131"/>
        <v>45162</v>
      </c>
      <c r="B242" s="150"/>
      <c r="C242" s="119"/>
      <c r="D242" s="119"/>
      <c r="E242" s="119"/>
      <c r="F242" s="196"/>
      <c r="G242" s="84"/>
      <c r="H242" s="84"/>
      <c r="I242" s="86"/>
    </row>
    <row r="243" ht="12.75" customHeight="1">
      <c r="A243" s="97">
        <f t="shared" si="131"/>
        <v>45163</v>
      </c>
      <c r="B243" s="169"/>
      <c r="C243" s="170"/>
      <c r="D243" s="170"/>
      <c r="E243" s="170"/>
      <c r="F243" s="196"/>
      <c r="G243" s="172"/>
      <c r="H243" s="172"/>
      <c r="I243" s="173"/>
    </row>
    <row r="244" ht="12.75" customHeight="1">
      <c r="A244" s="67"/>
      <c r="B244" s="145">
        <f t="shared" ref="B244:I244" si="132">SUM(B239:B243)</f>
        <v>0</v>
      </c>
      <c r="C244" s="145">
        <f t="shared" si="132"/>
        <v>0</v>
      </c>
      <c r="D244" s="145">
        <f t="shared" si="132"/>
        <v>0</v>
      </c>
      <c r="E244" s="145">
        <f t="shared" si="132"/>
        <v>0</v>
      </c>
      <c r="F244" s="157">
        <f t="shared" si="132"/>
        <v>0</v>
      </c>
      <c r="G244" s="174">
        <f t="shared" si="132"/>
        <v>0</v>
      </c>
      <c r="H244" s="174">
        <f t="shared" si="132"/>
        <v>0</v>
      </c>
      <c r="I244" s="174">
        <f t="shared" si="132"/>
        <v>0</v>
      </c>
    </row>
    <row r="245" ht="12.75" customHeight="1">
      <c r="A245" s="74"/>
      <c r="B245" s="74"/>
      <c r="C245" s="74"/>
      <c r="D245" s="74"/>
      <c r="E245" s="74"/>
      <c r="F245" s="75"/>
      <c r="G245" s="74"/>
      <c r="H245" s="74"/>
      <c r="I245" s="74"/>
    </row>
    <row r="246" ht="12.75" customHeight="1">
      <c r="A246" s="97">
        <f>A243+3</f>
        <v>45166</v>
      </c>
      <c r="B246" s="189">
        <v>0.0</v>
      </c>
      <c r="C246" s="189">
        <v>626.17</v>
      </c>
      <c r="D246" s="189">
        <v>859.31</v>
      </c>
      <c r="E246" s="189">
        <v>139.31</v>
      </c>
      <c r="F246" s="156">
        <f t="shared" ref="F246:F250" si="133">SUM(B246:E246)</f>
        <v>1624.79</v>
      </c>
      <c r="G246" s="59">
        <v>30.0</v>
      </c>
      <c r="H246" s="59">
        <v>13.0</v>
      </c>
      <c r="I246" s="189">
        <v>130.0</v>
      </c>
    </row>
    <row r="247" ht="12.75" customHeight="1">
      <c r="A247" s="97">
        <f t="shared" ref="A247:A250" si="134">A246+1</f>
        <v>45167</v>
      </c>
      <c r="B247" s="189">
        <v>0.0</v>
      </c>
      <c r="C247" s="189">
        <v>277.74</v>
      </c>
      <c r="D247" s="189">
        <v>1119.31</v>
      </c>
      <c r="E247" s="189">
        <v>200.0</v>
      </c>
      <c r="F247" s="156">
        <f t="shared" si="133"/>
        <v>1597.05</v>
      </c>
      <c r="G247" s="59">
        <v>30.0</v>
      </c>
      <c r="H247" s="59">
        <v>6.0</v>
      </c>
      <c r="I247" s="189">
        <v>200.0</v>
      </c>
    </row>
    <row r="248" ht="12.75" customHeight="1">
      <c r="A248" s="97">
        <f t="shared" si="134"/>
        <v>45168</v>
      </c>
      <c r="B248" s="189">
        <v>150.0</v>
      </c>
      <c r="C248" s="189">
        <v>193.13</v>
      </c>
      <c r="D248" s="189">
        <v>720.0</v>
      </c>
      <c r="E248" s="189">
        <v>50.0</v>
      </c>
      <c r="F248" s="156">
        <f t="shared" si="133"/>
        <v>1113.13</v>
      </c>
      <c r="G248" s="59">
        <v>12.0</v>
      </c>
      <c r="H248" s="59">
        <v>5.0</v>
      </c>
      <c r="I248" s="189">
        <v>50.0</v>
      </c>
    </row>
    <row r="249" ht="12.75" customHeight="1">
      <c r="A249" s="97">
        <f t="shared" si="134"/>
        <v>45169</v>
      </c>
      <c r="B249" s="189">
        <v>150.0</v>
      </c>
      <c r="C249" s="189">
        <v>224.2</v>
      </c>
      <c r="D249" s="189">
        <v>1219.31</v>
      </c>
      <c r="E249" s="189">
        <v>150.0</v>
      </c>
      <c r="F249" s="156">
        <f t="shared" si="133"/>
        <v>1743.51</v>
      </c>
      <c r="G249" s="59">
        <v>30.0</v>
      </c>
      <c r="H249" s="59">
        <v>4.0</v>
      </c>
      <c r="I249" s="189">
        <v>150.0</v>
      </c>
    </row>
    <row r="250" ht="12.75" customHeight="1">
      <c r="A250" s="97">
        <f t="shared" si="134"/>
        <v>45170</v>
      </c>
      <c r="B250" s="189">
        <v>180.0</v>
      </c>
      <c r="C250" s="189">
        <v>307.02</v>
      </c>
      <c r="D250" s="189">
        <v>678.62</v>
      </c>
      <c r="E250" s="189">
        <v>50.0</v>
      </c>
      <c r="F250" s="156">
        <f t="shared" si="133"/>
        <v>1215.64</v>
      </c>
      <c r="G250" s="59">
        <v>19.0</v>
      </c>
      <c r="H250" s="59">
        <v>6.0</v>
      </c>
      <c r="I250" s="189">
        <v>50.0</v>
      </c>
    </row>
    <row r="251" ht="12.75" customHeight="1">
      <c r="A251" s="131"/>
      <c r="B251" s="157" t="str">
        <f t="shared" ref="B251:I251" si="135">SUM(#REF!)</f>
        <v>#REF!</v>
      </c>
      <c r="C251" s="190" t="str">
        <f t="shared" si="135"/>
        <v>#REF!</v>
      </c>
      <c r="D251" s="190" t="str">
        <f t="shared" si="135"/>
        <v>#REF!</v>
      </c>
      <c r="E251" s="190" t="str">
        <f t="shared" si="135"/>
        <v>#REF!</v>
      </c>
      <c r="F251" s="190" t="str">
        <f t="shared" si="135"/>
        <v>#REF!</v>
      </c>
      <c r="G251" s="133" t="str">
        <f t="shared" si="135"/>
        <v>#REF!</v>
      </c>
      <c r="H251" s="133" t="str">
        <f t="shared" si="135"/>
        <v>#REF!</v>
      </c>
      <c r="I251" s="157" t="str">
        <f t="shared" si="135"/>
        <v>#REF!</v>
      </c>
    </row>
    <row r="252" ht="12.75" customHeight="1">
      <c r="A252" s="148"/>
      <c r="B252" s="75"/>
      <c r="C252" s="136"/>
      <c r="D252" s="136"/>
      <c r="E252" s="136"/>
      <c r="F252" s="136"/>
      <c r="G252" s="136"/>
      <c r="H252" s="136"/>
      <c r="I252" s="75"/>
    </row>
    <row r="253" ht="12.75" customHeight="1">
      <c r="A253" s="97">
        <f>A250+3</f>
        <v>45173</v>
      </c>
      <c r="B253" s="189">
        <v>0.0</v>
      </c>
      <c r="C253" s="189">
        <v>140.0</v>
      </c>
      <c r="D253" s="189">
        <v>182.79</v>
      </c>
      <c r="E253" s="189">
        <v>749.31</v>
      </c>
      <c r="F253" s="156">
        <f t="shared" ref="F253:F257" si="136">SUM(B253:E253)</f>
        <v>1072.1</v>
      </c>
      <c r="G253" s="59">
        <v>23.0</v>
      </c>
      <c r="H253" s="59">
        <v>3.0</v>
      </c>
      <c r="I253" s="189">
        <v>150.0</v>
      </c>
    </row>
    <row r="254" ht="12.75" customHeight="1">
      <c r="A254" s="97">
        <f t="shared" ref="A254:A257" si="137">A253+1</f>
        <v>45174</v>
      </c>
      <c r="B254" s="192">
        <v>50.0</v>
      </c>
      <c r="C254" s="192">
        <v>41.41</v>
      </c>
      <c r="D254" s="192">
        <v>720.0</v>
      </c>
      <c r="E254" s="192">
        <v>100.0</v>
      </c>
      <c r="F254" s="193">
        <f t="shared" si="136"/>
        <v>911.41</v>
      </c>
      <c r="G254" s="81">
        <v>16.0</v>
      </c>
      <c r="H254" s="81">
        <v>1.0</v>
      </c>
      <c r="I254" s="192">
        <v>100.0</v>
      </c>
    </row>
    <row r="255" ht="12.75" customHeight="1">
      <c r="A255" s="97">
        <f t="shared" si="137"/>
        <v>45175</v>
      </c>
      <c r="B255" s="192">
        <v>150.0</v>
      </c>
      <c r="C255" s="192">
        <v>121.72</v>
      </c>
      <c r="D255" s="192">
        <v>670.0</v>
      </c>
      <c r="E255" s="192">
        <v>0.0</v>
      </c>
      <c r="F255" s="193">
        <f t="shared" si="136"/>
        <v>941.72</v>
      </c>
      <c r="G255" s="81">
        <v>19.0</v>
      </c>
      <c r="H255" s="81">
        <v>3.0</v>
      </c>
      <c r="I255" s="192">
        <v>0.0</v>
      </c>
    </row>
    <row r="256" ht="12.75" customHeight="1">
      <c r="A256" s="97">
        <f t="shared" si="137"/>
        <v>45176</v>
      </c>
      <c r="B256" s="192">
        <v>0.0</v>
      </c>
      <c r="C256" s="192">
        <v>348.43</v>
      </c>
      <c r="D256" s="192">
        <v>1019.31</v>
      </c>
      <c r="E256" s="192">
        <v>69.31</v>
      </c>
      <c r="F256" s="193">
        <f t="shared" si="136"/>
        <v>1437.05</v>
      </c>
      <c r="G256" s="81">
        <v>29.0</v>
      </c>
      <c r="H256" s="81">
        <v>7.0</v>
      </c>
      <c r="I256" s="192">
        <v>70.0</v>
      </c>
    </row>
    <row r="257" ht="12.75" customHeight="1">
      <c r="A257" s="97">
        <f t="shared" si="137"/>
        <v>45177</v>
      </c>
      <c r="B257" s="196"/>
      <c r="C257" s="196"/>
      <c r="D257" s="196"/>
      <c r="E257" s="196"/>
      <c r="F257" s="196">
        <f t="shared" si="136"/>
        <v>0</v>
      </c>
      <c r="G257" s="84"/>
      <c r="H257" s="84"/>
      <c r="I257" s="196"/>
    </row>
    <row r="258" ht="12.75" customHeight="1">
      <c r="A258" s="131"/>
      <c r="B258" s="157">
        <f t="shared" ref="B258:I258" si="138">SUM(B253:B257)</f>
        <v>200</v>
      </c>
      <c r="C258" s="190">
        <f t="shared" si="138"/>
        <v>651.56</v>
      </c>
      <c r="D258" s="190">
        <f t="shared" si="138"/>
        <v>2592.1</v>
      </c>
      <c r="E258" s="190">
        <f t="shared" si="138"/>
        <v>918.62</v>
      </c>
      <c r="F258" s="190">
        <f t="shared" si="138"/>
        <v>4362.28</v>
      </c>
      <c r="G258" s="133">
        <f t="shared" si="138"/>
        <v>87</v>
      </c>
      <c r="H258" s="133">
        <f t="shared" si="138"/>
        <v>14</v>
      </c>
      <c r="I258" s="157">
        <f t="shared" si="138"/>
        <v>320</v>
      </c>
    </row>
    <row r="259" ht="12.75" customHeight="1">
      <c r="A259" s="148"/>
      <c r="B259" s="75"/>
      <c r="C259" s="136"/>
      <c r="D259" s="136"/>
      <c r="E259" s="136"/>
      <c r="F259" s="136"/>
      <c r="G259" s="136"/>
      <c r="H259" s="136"/>
      <c r="I259" s="75"/>
    </row>
    <row r="260" ht="12.75" customHeight="1">
      <c r="A260" s="97">
        <f>A257+3</f>
        <v>45180</v>
      </c>
      <c r="B260" s="189">
        <v>180.0</v>
      </c>
      <c r="C260" s="189">
        <v>519.81</v>
      </c>
      <c r="D260" s="189">
        <v>1017.93</v>
      </c>
      <c r="E260" s="189">
        <v>50.0</v>
      </c>
      <c r="F260" s="156">
        <f t="shared" ref="F260:F264" si="139">SUM(B260:E260)</f>
        <v>1767.74</v>
      </c>
      <c r="G260" s="59">
        <v>30.0</v>
      </c>
      <c r="H260" s="59">
        <v>10.0</v>
      </c>
      <c r="I260" s="189">
        <v>50.0</v>
      </c>
    </row>
    <row r="261" ht="12.75" customHeight="1">
      <c r="A261" s="97">
        <f t="shared" ref="A261:A264" si="140">A260+1</f>
        <v>45181</v>
      </c>
      <c r="B261" s="192">
        <v>0.0</v>
      </c>
      <c r="C261" s="192">
        <v>112.1</v>
      </c>
      <c r="D261" s="192">
        <v>820.0</v>
      </c>
      <c r="E261" s="192">
        <v>0.0</v>
      </c>
      <c r="F261" s="193">
        <f t="shared" si="139"/>
        <v>932.1</v>
      </c>
      <c r="G261" s="81">
        <v>17.0</v>
      </c>
      <c r="H261" s="81">
        <v>2.0</v>
      </c>
      <c r="I261" s="192">
        <v>0.0</v>
      </c>
    </row>
    <row r="262" ht="12.75" customHeight="1">
      <c r="A262" s="97">
        <f t="shared" si="140"/>
        <v>45182</v>
      </c>
      <c r="B262" s="192">
        <v>100.0</v>
      </c>
      <c r="C262" s="192">
        <v>229.52</v>
      </c>
      <c r="D262" s="192">
        <v>440.0</v>
      </c>
      <c r="E262" s="192">
        <v>50.0</v>
      </c>
      <c r="F262" s="193">
        <f t="shared" si="139"/>
        <v>819.52</v>
      </c>
      <c r="G262" s="81">
        <v>17.0</v>
      </c>
      <c r="H262" s="81">
        <v>6.0</v>
      </c>
      <c r="I262" s="192">
        <v>50.0</v>
      </c>
    </row>
    <row r="263" ht="12.75" customHeight="1">
      <c r="A263" s="97">
        <f t="shared" si="140"/>
        <v>45183</v>
      </c>
      <c r="B263" s="192">
        <v>0.0</v>
      </c>
      <c r="C263" s="192">
        <v>458.02</v>
      </c>
      <c r="D263" s="192">
        <v>808.62</v>
      </c>
      <c r="E263" s="192">
        <v>100.0</v>
      </c>
      <c r="F263" s="193">
        <f t="shared" si="139"/>
        <v>1366.64</v>
      </c>
      <c r="G263" s="81">
        <v>26.0</v>
      </c>
      <c r="H263" s="81">
        <v>9.0</v>
      </c>
      <c r="I263" s="192">
        <v>100.0</v>
      </c>
    </row>
    <row r="264" ht="12.75" customHeight="1">
      <c r="A264" s="97">
        <f t="shared" si="140"/>
        <v>45184</v>
      </c>
      <c r="B264" s="189">
        <v>100.0</v>
      </c>
      <c r="C264" s="189">
        <v>265.61</v>
      </c>
      <c r="D264" s="189">
        <v>998.62</v>
      </c>
      <c r="E264" s="189">
        <v>90.0</v>
      </c>
      <c r="F264" s="193">
        <f t="shared" si="139"/>
        <v>1454.23</v>
      </c>
      <c r="G264" s="59">
        <v>24.0</v>
      </c>
      <c r="H264" s="59">
        <v>5.0</v>
      </c>
      <c r="I264" s="189">
        <v>100.0</v>
      </c>
    </row>
    <row r="265" ht="12.75" customHeight="1">
      <c r="A265" s="131"/>
      <c r="B265" s="157">
        <f t="shared" ref="B265:I265" si="141">SUM(B260:B264)</f>
        <v>380</v>
      </c>
      <c r="C265" s="190">
        <f t="shared" si="141"/>
        <v>1585.06</v>
      </c>
      <c r="D265" s="190">
        <f t="shared" si="141"/>
        <v>4085.17</v>
      </c>
      <c r="E265" s="190">
        <f t="shared" si="141"/>
        <v>290</v>
      </c>
      <c r="F265" s="190">
        <f t="shared" si="141"/>
        <v>6340.23</v>
      </c>
      <c r="G265" s="133">
        <f t="shared" si="141"/>
        <v>114</v>
      </c>
      <c r="H265" s="133">
        <f t="shared" si="141"/>
        <v>32</v>
      </c>
      <c r="I265" s="157">
        <f t="shared" si="141"/>
        <v>300</v>
      </c>
    </row>
    <row r="266" ht="12.75" customHeight="1">
      <c r="A266" s="135"/>
      <c r="B266" s="75"/>
      <c r="C266" s="136"/>
      <c r="D266" s="136"/>
      <c r="E266" s="136"/>
      <c r="F266" s="136"/>
      <c r="G266" s="136"/>
      <c r="H266" s="136"/>
      <c r="I266" s="75"/>
    </row>
    <row r="267" ht="12.75" customHeight="1">
      <c r="A267" s="198">
        <f>A264+3</f>
        <v>45187</v>
      </c>
      <c r="B267" s="126">
        <v>90.0</v>
      </c>
      <c r="C267" s="126">
        <v>165.64</v>
      </c>
      <c r="D267" s="126">
        <v>570.0</v>
      </c>
      <c r="E267" s="199">
        <v>0.0</v>
      </c>
      <c r="F267" s="156">
        <f t="shared" ref="F267:F271" si="142">SUM(B267:E267)</f>
        <v>825.64</v>
      </c>
      <c r="G267" s="59">
        <v>14.0</v>
      </c>
      <c r="H267" s="59">
        <v>4.0</v>
      </c>
      <c r="I267" s="189">
        <v>0.0</v>
      </c>
    </row>
    <row r="268" ht="12.75" customHeight="1">
      <c r="A268" s="200">
        <f t="shared" ref="A268:A270" si="143">A267+1</f>
        <v>45188</v>
      </c>
      <c r="B268" s="106">
        <v>0.0</v>
      </c>
      <c r="C268" s="106">
        <v>112.1</v>
      </c>
      <c r="D268" s="106">
        <v>500.0</v>
      </c>
      <c r="E268" s="201">
        <v>100.0</v>
      </c>
      <c r="F268" s="193">
        <f t="shared" si="142"/>
        <v>712.1</v>
      </c>
      <c r="G268" s="202">
        <v>15.0</v>
      </c>
      <c r="H268" s="99">
        <v>2.0</v>
      </c>
      <c r="I268" s="101">
        <v>100.0</v>
      </c>
    </row>
    <row r="269" ht="12.75" customHeight="1">
      <c r="A269" s="200">
        <f t="shared" si="143"/>
        <v>45189</v>
      </c>
      <c r="B269" s="106">
        <v>140.0</v>
      </c>
      <c r="C269" s="106">
        <v>163.13</v>
      </c>
      <c r="D269" s="106">
        <v>780.0</v>
      </c>
      <c r="E269" s="201">
        <v>50.0</v>
      </c>
      <c r="F269" s="193">
        <f t="shared" si="142"/>
        <v>1133.13</v>
      </c>
      <c r="G269" s="203">
        <v>21.0</v>
      </c>
      <c r="H269" s="106">
        <v>4.0</v>
      </c>
      <c r="I269" s="108">
        <v>50.0</v>
      </c>
    </row>
    <row r="270" ht="12.75" customHeight="1">
      <c r="A270" s="200">
        <f t="shared" si="143"/>
        <v>45190</v>
      </c>
      <c r="B270" s="106">
        <v>90.0</v>
      </c>
      <c r="C270" s="106">
        <v>294.89</v>
      </c>
      <c r="D270" s="106">
        <v>1139.31</v>
      </c>
      <c r="E270" s="201">
        <v>90.0</v>
      </c>
      <c r="F270" s="193">
        <f t="shared" si="142"/>
        <v>1614.2</v>
      </c>
      <c r="G270" s="203">
        <v>27.0</v>
      </c>
      <c r="H270" s="106">
        <v>5.0</v>
      </c>
      <c r="I270" s="108">
        <v>90.0</v>
      </c>
    </row>
    <row r="271" ht="12.75" customHeight="1">
      <c r="A271" s="198">
        <f>A268+3</f>
        <v>45191</v>
      </c>
      <c r="B271" s="89">
        <v>140.0</v>
      </c>
      <c r="C271" s="89">
        <v>253.48</v>
      </c>
      <c r="D271" s="89">
        <v>667.93</v>
      </c>
      <c r="E271" s="412">
        <v>90.0</v>
      </c>
      <c r="F271" s="195">
        <f t="shared" si="142"/>
        <v>1151.41</v>
      </c>
      <c r="G271" s="413">
        <v>19.0</v>
      </c>
      <c r="H271" s="89">
        <v>4.0</v>
      </c>
      <c r="I271" s="90">
        <v>90.0</v>
      </c>
    </row>
    <row r="272" ht="12.75" customHeight="1">
      <c r="A272" s="204"/>
      <c r="B272" s="157">
        <f t="shared" ref="B272:I272" si="144">SUM(B267:B271)</f>
        <v>460</v>
      </c>
      <c r="C272" s="190">
        <f t="shared" si="144"/>
        <v>989.24</v>
      </c>
      <c r="D272" s="190">
        <f t="shared" si="144"/>
        <v>3657.24</v>
      </c>
      <c r="E272" s="190">
        <f t="shared" si="144"/>
        <v>330</v>
      </c>
      <c r="F272" s="190">
        <f t="shared" si="144"/>
        <v>5436.48</v>
      </c>
      <c r="G272" s="133">
        <f t="shared" si="144"/>
        <v>96</v>
      </c>
      <c r="H272" s="133">
        <f t="shared" si="144"/>
        <v>19</v>
      </c>
      <c r="I272" s="157">
        <f t="shared" si="144"/>
        <v>330</v>
      </c>
    </row>
    <row r="273" ht="12.75" customHeight="1">
      <c r="A273" s="148"/>
      <c r="B273" s="75"/>
      <c r="C273" s="136"/>
      <c r="D273" s="136"/>
      <c r="E273" s="136"/>
      <c r="F273" s="136"/>
      <c r="G273" s="136"/>
      <c r="H273" s="136"/>
      <c r="I273" s="75"/>
    </row>
    <row r="274" ht="12.75" customHeight="1">
      <c r="A274" s="200">
        <f>A271+3</f>
        <v>45194</v>
      </c>
      <c r="B274" s="81">
        <v>100.0</v>
      </c>
      <c r="C274" s="81">
        <v>277.74</v>
      </c>
      <c r="D274" s="81">
        <v>1109.31</v>
      </c>
      <c r="E274" s="81">
        <v>50.0</v>
      </c>
      <c r="F274" s="156">
        <f t="shared" ref="F274:F278" si="145">SUM(B274:E274)</f>
        <v>1537.05</v>
      </c>
      <c r="G274" s="81">
        <v>28.0</v>
      </c>
      <c r="H274" s="81">
        <v>6.0</v>
      </c>
      <c r="I274" s="81">
        <v>50.0</v>
      </c>
    </row>
    <row r="275" ht="12.75" customHeight="1">
      <c r="A275" s="200">
        <f t="shared" ref="A275:A278" si="146">A274+1</f>
        <v>45195</v>
      </c>
      <c r="B275" s="81">
        <v>50.0</v>
      </c>
      <c r="C275" s="81">
        <v>319.15</v>
      </c>
      <c r="D275" s="81">
        <v>430.0</v>
      </c>
      <c r="E275" s="81">
        <v>0.0</v>
      </c>
      <c r="F275" s="156">
        <f t="shared" si="145"/>
        <v>799.15</v>
      </c>
      <c r="G275" s="81">
        <v>15.0</v>
      </c>
      <c r="H275" s="81">
        <v>7.0</v>
      </c>
      <c r="I275" s="81">
        <v>0.0</v>
      </c>
    </row>
    <row r="276" ht="12.75" customHeight="1">
      <c r="A276" s="200">
        <f t="shared" si="146"/>
        <v>45196</v>
      </c>
      <c r="B276" s="81">
        <v>70.0</v>
      </c>
      <c r="C276" s="81">
        <v>124.23</v>
      </c>
      <c r="D276" s="81">
        <v>670.0</v>
      </c>
      <c r="E276" s="81">
        <v>0.0</v>
      </c>
      <c r="F276" s="193">
        <f t="shared" si="145"/>
        <v>864.23</v>
      </c>
      <c r="G276" s="81">
        <v>17.0</v>
      </c>
      <c r="H276" s="81">
        <v>3.0</v>
      </c>
      <c r="I276" s="81">
        <v>0.0</v>
      </c>
    </row>
    <row r="277" ht="12.75" customHeight="1">
      <c r="A277" s="200">
        <f t="shared" si="146"/>
        <v>45197</v>
      </c>
      <c r="B277" s="81">
        <v>50.0</v>
      </c>
      <c r="C277" s="81">
        <v>514.07</v>
      </c>
      <c r="D277" s="81">
        <v>938.62</v>
      </c>
      <c r="E277" s="81">
        <v>100.0</v>
      </c>
      <c r="F277" s="193">
        <f t="shared" si="145"/>
        <v>1602.69</v>
      </c>
      <c r="G277" s="81">
        <v>30.0</v>
      </c>
      <c r="H277" s="81">
        <v>11.0</v>
      </c>
      <c r="I277" s="81">
        <v>100.0</v>
      </c>
    </row>
    <row r="278" ht="12.75" customHeight="1">
      <c r="A278" s="200">
        <f t="shared" si="146"/>
        <v>45198</v>
      </c>
      <c r="B278" s="81">
        <v>0.0</v>
      </c>
      <c r="C278" s="81">
        <v>395.58</v>
      </c>
      <c r="D278" s="81">
        <v>478.62</v>
      </c>
      <c r="E278" s="81">
        <v>100.0</v>
      </c>
      <c r="F278" s="193">
        <f t="shared" si="145"/>
        <v>974.2</v>
      </c>
      <c r="G278" s="81">
        <v>17.0</v>
      </c>
      <c r="H278" s="81">
        <v>7.0</v>
      </c>
      <c r="I278" s="81">
        <v>100.0</v>
      </c>
    </row>
    <row r="279" ht="22.5" customHeight="1">
      <c r="A279" s="204" t="s">
        <v>87</v>
      </c>
      <c r="B279" s="157">
        <f t="shared" ref="B279:I279" si="147">SUM(B274:B278)</f>
        <v>270</v>
      </c>
      <c r="C279" s="190">
        <f t="shared" si="147"/>
        <v>1630.77</v>
      </c>
      <c r="D279" s="190">
        <f t="shared" si="147"/>
        <v>3626.55</v>
      </c>
      <c r="E279" s="190">
        <f t="shared" si="147"/>
        <v>250</v>
      </c>
      <c r="F279" s="190">
        <f t="shared" si="147"/>
        <v>5777.32</v>
      </c>
      <c r="G279" s="133">
        <f t="shared" si="147"/>
        <v>107</v>
      </c>
      <c r="H279" s="133">
        <f t="shared" si="147"/>
        <v>34</v>
      </c>
      <c r="I279" s="157">
        <f t="shared" si="147"/>
        <v>250</v>
      </c>
    </row>
    <row r="280" ht="12.75" customHeight="1">
      <c r="A280" s="148"/>
      <c r="B280" s="75"/>
      <c r="C280" s="136"/>
      <c r="D280" s="136"/>
      <c r="E280" s="136"/>
      <c r="F280" s="136"/>
      <c r="G280" s="136"/>
      <c r="H280" s="136"/>
      <c r="I280" s="75"/>
    </row>
    <row r="281" ht="12.75" customHeight="1">
      <c r="A281" s="97">
        <v>45201.0</v>
      </c>
      <c r="B281" s="98">
        <v>0.0</v>
      </c>
      <c r="C281" s="99">
        <v>282.76</v>
      </c>
      <c r="D281" s="99">
        <v>567.93</v>
      </c>
      <c r="E281" s="99">
        <v>50.0</v>
      </c>
      <c r="F281" s="141">
        <f t="shared" ref="F281:F285" si="148">SUM(B281:E281)</f>
        <v>900.69</v>
      </c>
      <c r="G281" s="99">
        <v>14.0</v>
      </c>
      <c r="H281" s="99">
        <v>4.0</v>
      </c>
      <c r="I281" s="101">
        <v>50.0</v>
      </c>
    </row>
    <row r="282" ht="12.75" customHeight="1">
      <c r="A282" s="97">
        <f t="shared" ref="A282:A285" si="149">A281+1</f>
        <v>45202</v>
      </c>
      <c r="B282" s="112">
        <v>90.0</v>
      </c>
      <c r="C282" s="124">
        <v>70.69</v>
      </c>
      <c r="D282" s="124">
        <v>810.0</v>
      </c>
      <c r="E282" s="124">
        <v>50.0</v>
      </c>
      <c r="F282" s="141">
        <f t="shared" si="148"/>
        <v>1020.69</v>
      </c>
      <c r="G282" s="124"/>
      <c r="H282" s="124"/>
      <c r="I282" s="208">
        <v>50.0</v>
      </c>
    </row>
    <row r="283" ht="12.75" customHeight="1">
      <c r="A283" s="97">
        <f t="shared" si="149"/>
        <v>45203</v>
      </c>
      <c r="B283" s="112">
        <v>150.0</v>
      </c>
      <c r="C283" s="124">
        <v>112.1</v>
      </c>
      <c r="D283" s="124">
        <v>639.31</v>
      </c>
      <c r="E283" s="124">
        <v>50.0</v>
      </c>
      <c r="F283" s="141">
        <f t="shared" si="148"/>
        <v>951.41</v>
      </c>
      <c r="G283" s="99">
        <v>19.0</v>
      </c>
      <c r="H283" s="99">
        <v>2.0</v>
      </c>
      <c r="I283" s="59">
        <v>60.0</v>
      </c>
    </row>
    <row r="284" ht="12.75" customHeight="1">
      <c r="A284" s="97">
        <f t="shared" si="149"/>
        <v>45204</v>
      </c>
      <c r="B284" s="112">
        <v>90.0</v>
      </c>
      <c r="C284" s="124">
        <v>489.81</v>
      </c>
      <c r="D284" s="124">
        <v>1109.31</v>
      </c>
      <c r="E284" s="124">
        <v>100.0</v>
      </c>
      <c r="F284" s="141">
        <f t="shared" si="148"/>
        <v>1789.12</v>
      </c>
      <c r="G284" s="99">
        <v>31.0</v>
      </c>
      <c r="H284" s="99">
        <v>9.0</v>
      </c>
      <c r="I284" s="59">
        <v>100.0</v>
      </c>
    </row>
    <row r="285" ht="12.75" customHeight="1">
      <c r="A285" s="97">
        <f t="shared" si="149"/>
        <v>45205</v>
      </c>
      <c r="B285" s="112">
        <v>90.0</v>
      </c>
      <c r="C285" s="124">
        <v>312.76</v>
      </c>
      <c r="D285" s="124">
        <v>758.62</v>
      </c>
      <c r="E285" s="124">
        <v>100.0</v>
      </c>
      <c r="F285" s="141">
        <f t="shared" si="148"/>
        <v>1261.38</v>
      </c>
      <c r="G285" s="99">
        <v>20.0</v>
      </c>
      <c r="H285" s="99">
        <v>5.0</v>
      </c>
      <c r="I285" s="59">
        <v>100.0</v>
      </c>
    </row>
    <row r="286" ht="12.75" customHeight="1">
      <c r="A286" s="67"/>
      <c r="B286" s="91">
        <f t="shared" ref="B286:I286" si="150">SUM(B281:B285)</f>
        <v>420</v>
      </c>
      <c r="C286" s="91">
        <f t="shared" si="150"/>
        <v>1268.12</v>
      </c>
      <c r="D286" s="91">
        <f t="shared" si="150"/>
        <v>3885.17</v>
      </c>
      <c r="E286" s="91">
        <f t="shared" si="150"/>
        <v>350</v>
      </c>
      <c r="F286" s="91">
        <f t="shared" si="150"/>
        <v>5923.29</v>
      </c>
      <c r="G286" s="70">
        <f t="shared" si="150"/>
        <v>84</v>
      </c>
      <c r="H286" s="70">
        <f t="shared" si="150"/>
        <v>20</v>
      </c>
      <c r="I286" s="91">
        <f t="shared" si="150"/>
        <v>360</v>
      </c>
    </row>
    <row r="287" ht="12.75" customHeight="1">
      <c r="A287" s="74"/>
      <c r="B287" s="74"/>
      <c r="C287" s="74"/>
      <c r="D287" s="74"/>
      <c r="E287" s="74"/>
      <c r="F287" s="74"/>
      <c r="G287" s="93"/>
      <c r="H287" s="93"/>
      <c r="I287" s="74"/>
    </row>
    <row r="288" ht="12.75" customHeight="1">
      <c r="A288" s="64">
        <f>A285+3</f>
        <v>45208</v>
      </c>
      <c r="B288" s="112">
        <v>50.0</v>
      </c>
      <c r="C288" s="124">
        <v>436.27</v>
      </c>
      <c r="D288" s="124">
        <v>837.93</v>
      </c>
      <c r="E288" s="124">
        <v>190.0</v>
      </c>
      <c r="F288" s="141">
        <f t="shared" ref="F288:F292" si="151">SUM(B288:E288)</f>
        <v>1514.2</v>
      </c>
      <c r="G288" s="99">
        <v>24.0</v>
      </c>
      <c r="H288" s="99">
        <v>7.0</v>
      </c>
      <c r="I288" s="59">
        <v>200.0</v>
      </c>
    </row>
    <row r="289" ht="12.75" customHeight="1">
      <c r="A289" s="64">
        <f t="shared" ref="A289:A292" si="152">A288+1</f>
        <v>45209</v>
      </c>
      <c r="B289" s="112">
        <v>50.0</v>
      </c>
      <c r="C289" s="124">
        <v>253.48</v>
      </c>
      <c r="D289" s="124">
        <v>969.31</v>
      </c>
      <c r="E289" s="124">
        <v>50.0</v>
      </c>
      <c r="F289" s="141">
        <f t="shared" si="151"/>
        <v>1322.79</v>
      </c>
      <c r="G289" s="99">
        <v>24.0</v>
      </c>
      <c r="H289" s="99">
        <v>4.0</v>
      </c>
      <c r="I289" s="59">
        <v>50.0</v>
      </c>
    </row>
    <row r="290" ht="12.75" customHeight="1">
      <c r="A290" s="64">
        <f t="shared" si="152"/>
        <v>45210</v>
      </c>
      <c r="B290" s="112">
        <v>50.0</v>
      </c>
      <c r="C290" s="124">
        <v>165.64</v>
      </c>
      <c r="D290" s="124">
        <v>620.0</v>
      </c>
      <c r="E290" s="124">
        <v>50.0</v>
      </c>
      <c r="F290" s="141">
        <f t="shared" si="151"/>
        <v>885.64</v>
      </c>
      <c r="G290" s="99">
        <v>18.0</v>
      </c>
      <c r="H290" s="99">
        <v>4.0</v>
      </c>
      <c r="I290" s="59">
        <v>50.0</v>
      </c>
    </row>
    <row r="291" ht="12.75" customHeight="1">
      <c r="A291" s="64">
        <f t="shared" si="152"/>
        <v>45211</v>
      </c>
      <c r="B291" s="112">
        <v>50.0</v>
      </c>
      <c r="C291" s="124">
        <v>336.3</v>
      </c>
      <c r="D291" s="124">
        <v>1088.62</v>
      </c>
      <c r="E291" s="124">
        <v>140.0</v>
      </c>
      <c r="F291" s="141">
        <f t="shared" si="151"/>
        <v>1614.92</v>
      </c>
      <c r="G291" s="99">
        <v>26.0</v>
      </c>
      <c r="H291" s="99">
        <v>6.0</v>
      </c>
      <c r="I291" s="59">
        <v>150.0</v>
      </c>
    </row>
    <row r="292" ht="12.75" customHeight="1">
      <c r="A292" s="64">
        <f t="shared" si="152"/>
        <v>45212</v>
      </c>
      <c r="B292" s="150"/>
      <c r="C292" s="119"/>
      <c r="D292" s="119"/>
      <c r="E292" s="119"/>
      <c r="F292" s="151">
        <f t="shared" si="151"/>
        <v>0</v>
      </c>
      <c r="G292" s="176"/>
      <c r="H292" s="176"/>
      <c r="I292" s="138"/>
    </row>
    <row r="293" ht="12.75" customHeight="1">
      <c r="A293" s="67"/>
      <c r="B293" s="68">
        <f t="shared" ref="B293:I293" si="153">SUM(B288:B292)</f>
        <v>200</v>
      </c>
      <c r="C293" s="68">
        <f t="shared" si="153"/>
        <v>1191.69</v>
      </c>
      <c r="D293" s="68">
        <f t="shared" si="153"/>
        <v>3515.86</v>
      </c>
      <c r="E293" s="68">
        <f t="shared" si="153"/>
        <v>430</v>
      </c>
      <c r="F293" s="68">
        <f t="shared" si="153"/>
        <v>5337.55</v>
      </c>
      <c r="G293" s="140">
        <f t="shared" si="153"/>
        <v>92</v>
      </c>
      <c r="H293" s="140">
        <f t="shared" si="153"/>
        <v>21</v>
      </c>
      <c r="I293" s="91">
        <f t="shared" si="153"/>
        <v>450</v>
      </c>
    </row>
    <row r="294" ht="12.75" customHeight="1">
      <c r="A294" s="74"/>
      <c r="B294" s="75"/>
      <c r="C294" s="75"/>
      <c r="D294" s="75"/>
      <c r="E294" s="75"/>
      <c r="F294" s="75"/>
      <c r="G294" s="92"/>
      <c r="H294" s="92"/>
      <c r="I294" s="74"/>
    </row>
    <row r="295" ht="12.75" customHeight="1">
      <c r="A295" s="161">
        <f>A292+3</f>
        <v>45215</v>
      </c>
      <c r="B295" s="112">
        <v>0.0</v>
      </c>
      <c r="C295" s="112">
        <v>224.2</v>
      </c>
      <c r="D295" s="112">
        <v>580.0</v>
      </c>
      <c r="E295" s="112">
        <v>50.0</v>
      </c>
      <c r="F295" s="209">
        <f t="shared" ref="F295:F299" si="154">SUM(B295:E295)</f>
        <v>854.2</v>
      </c>
      <c r="G295" s="98">
        <v>16.0</v>
      </c>
      <c r="H295" s="101">
        <v>4.0</v>
      </c>
      <c r="I295" s="59">
        <v>50.0</v>
      </c>
    </row>
    <row r="296" ht="12.75" customHeight="1">
      <c r="A296" s="162">
        <f t="shared" ref="A296:A299" si="155">A295+1</f>
        <v>45216</v>
      </c>
      <c r="B296" s="112">
        <v>0.0</v>
      </c>
      <c r="C296" s="112">
        <v>224.2</v>
      </c>
      <c r="D296" s="112">
        <v>559.31</v>
      </c>
      <c r="E296" s="112">
        <v>0.0</v>
      </c>
      <c r="F296" s="209">
        <f t="shared" si="154"/>
        <v>783.51</v>
      </c>
      <c r="G296" s="98">
        <v>15.0</v>
      </c>
      <c r="H296" s="101">
        <v>4.0</v>
      </c>
      <c r="I296" s="59">
        <v>0.0</v>
      </c>
    </row>
    <row r="297" ht="12.75" customHeight="1">
      <c r="A297" s="162">
        <f t="shared" si="155"/>
        <v>45217</v>
      </c>
      <c r="B297" s="112">
        <v>0.0</v>
      </c>
      <c r="C297" s="112">
        <v>163.13</v>
      </c>
      <c r="D297" s="112">
        <v>720.0</v>
      </c>
      <c r="E297" s="112">
        <v>0.0</v>
      </c>
      <c r="F297" s="209">
        <f t="shared" si="154"/>
        <v>883.13</v>
      </c>
      <c r="G297" s="98">
        <v>18.0</v>
      </c>
      <c r="H297" s="101">
        <v>4.0</v>
      </c>
      <c r="I297" s="59">
        <v>0.0</v>
      </c>
    </row>
    <row r="298" ht="12.75" customHeight="1">
      <c r="A298" s="162">
        <f t="shared" si="155"/>
        <v>45218</v>
      </c>
      <c r="B298" s="112">
        <v>50.0</v>
      </c>
      <c r="C298" s="112">
        <v>506.76</v>
      </c>
      <c r="D298" s="112">
        <v>750.0</v>
      </c>
      <c r="E298" s="112">
        <v>50.0</v>
      </c>
      <c r="F298" s="209">
        <f t="shared" si="154"/>
        <v>1356.76</v>
      </c>
      <c r="G298" s="98">
        <v>24.0</v>
      </c>
      <c r="H298" s="101">
        <v>9.0</v>
      </c>
      <c r="I298" s="59">
        <v>50.0</v>
      </c>
    </row>
    <row r="299" ht="12.75" customHeight="1">
      <c r="A299" s="162">
        <f t="shared" si="155"/>
        <v>45219</v>
      </c>
      <c r="B299" s="112">
        <v>90.0</v>
      </c>
      <c r="C299" s="112">
        <v>224.2</v>
      </c>
      <c r="D299" s="112">
        <v>619.31</v>
      </c>
      <c r="E299" s="112">
        <v>50.0</v>
      </c>
      <c r="F299" s="209">
        <f t="shared" si="154"/>
        <v>983.51</v>
      </c>
      <c r="G299" s="98">
        <v>17.0</v>
      </c>
      <c r="H299" s="101">
        <v>4.0</v>
      </c>
      <c r="I299" s="59">
        <v>50.0</v>
      </c>
    </row>
    <row r="300" ht="12.75" customHeight="1">
      <c r="A300" s="67"/>
      <c r="B300" s="68">
        <f t="shared" ref="B300:I300" si="156">SUM(B295:B299)</f>
        <v>140</v>
      </c>
      <c r="C300" s="68">
        <f t="shared" si="156"/>
        <v>1342.49</v>
      </c>
      <c r="D300" s="68">
        <f t="shared" si="156"/>
        <v>3228.62</v>
      </c>
      <c r="E300" s="68">
        <f t="shared" si="156"/>
        <v>150</v>
      </c>
      <c r="F300" s="68">
        <f t="shared" si="156"/>
        <v>4861.11</v>
      </c>
      <c r="G300" s="140">
        <f t="shared" si="156"/>
        <v>90</v>
      </c>
      <c r="H300" s="140">
        <f t="shared" si="156"/>
        <v>25</v>
      </c>
      <c r="I300" s="91">
        <f t="shared" si="156"/>
        <v>150</v>
      </c>
    </row>
    <row r="301" ht="12.75" customHeight="1">
      <c r="A301" s="74"/>
      <c r="B301" s="75"/>
      <c r="C301" s="75"/>
      <c r="D301" s="75"/>
      <c r="E301" s="75"/>
      <c r="F301" s="75"/>
      <c r="G301" s="92"/>
      <c r="H301" s="92"/>
      <c r="I301" s="74"/>
    </row>
    <row r="302" ht="12.75" customHeight="1">
      <c r="A302" s="162">
        <f>A299+3</f>
        <v>45222</v>
      </c>
      <c r="B302" s="112"/>
      <c r="C302" s="112"/>
      <c r="D302" s="112"/>
      <c r="E302" s="112"/>
      <c r="F302" s="209">
        <f t="shared" ref="F302:F306" si="157">SUM(B302:E302)</f>
        <v>0</v>
      </c>
      <c r="G302" s="98"/>
      <c r="H302" s="101"/>
      <c r="I302" s="59"/>
    </row>
    <row r="303" ht="12.75" customHeight="1">
      <c r="A303" s="162">
        <f t="shared" ref="A303:A306" si="158">A302+1</f>
        <v>45223</v>
      </c>
      <c r="B303" s="112"/>
      <c r="C303" s="112"/>
      <c r="D303" s="112"/>
      <c r="E303" s="112"/>
      <c r="F303" s="209">
        <f t="shared" si="157"/>
        <v>0</v>
      </c>
      <c r="G303" s="112"/>
      <c r="H303" s="112"/>
      <c r="I303" s="59"/>
    </row>
    <row r="304" ht="12.75" customHeight="1">
      <c r="A304" s="162">
        <f t="shared" si="158"/>
        <v>45224</v>
      </c>
      <c r="B304" s="112"/>
      <c r="C304" s="112"/>
      <c r="D304" s="112"/>
      <c r="E304" s="112"/>
      <c r="F304" s="209">
        <f t="shared" si="157"/>
        <v>0</v>
      </c>
      <c r="G304" s="112"/>
      <c r="H304" s="112"/>
      <c r="I304" s="59"/>
    </row>
    <row r="305" ht="12.75" customHeight="1">
      <c r="A305" s="162">
        <f t="shared" si="158"/>
        <v>45225</v>
      </c>
      <c r="B305" s="112"/>
      <c r="C305" s="112"/>
      <c r="D305" s="112"/>
      <c r="E305" s="112"/>
      <c r="F305" s="209">
        <f t="shared" si="157"/>
        <v>0</v>
      </c>
      <c r="G305" s="112"/>
      <c r="H305" s="112"/>
      <c r="I305" s="59"/>
    </row>
    <row r="306" ht="12.75" customHeight="1">
      <c r="A306" s="162">
        <f t="shared" si="158"/>
        <v>45226</v>
      </c>
      <c r="B306" s="112"/>
      <c r="C306" s="112"/>
      <c r="D306" s="112"/>
      <c r="E306" s="112"/>
      <c r="F306" s="209">
        <f t="shared" si="157"/>
        <v>0</v>
      </c>
      <c r="G306" s="112"/>
      <c r="H306" s="112"/>
      <c r="I306" s="59"/>
    </row>
    <row r="307" ht="12.75" customHeight="1">
      <c r="A307" s="67"/>
      <c r="B307" s="68">
        <f t="shared" ref="B307:I307" si="159">SUM(B302:B306)</f>
        <v>0</v>
      </c>
      <c r="C307" s="68">
        <f t="shared" si="159"/>
        <v>0</v>
      </c>
      <c r="D307" s="68">
        <f t="shared" si="159"/>
        <v>0</v>
      </c>
      <c r="E307" s="68">
        <f t="shared" si="159"/>
        <v>0</v>
      </c>
      <c r="F307" s="68">
        <f t="shared" si="159"/>
        <v>0</v>
      </c>
      <c r="G307" s="128">
        <f t="shared" si="159"/>
        <v>0</v>
      </c>
      <c r="H307" s="128">
        <f t="shared" si="159"/>
        <v>0</v>
      </c>
      <c r="I307" s="145">
        <f t="shared" si="159"/>
        <v>0</v>
      </c>
    </row>
    <row r="308" ht="12.75" customHeight="1">
      <c r="A308" s="74"/>
      <c r="B308" s="75"/>
      <c r="C308" s="75"/>
      <c r="D308" s="75"/>
      <c r="E308" s="75"/>
      <c r="F308" s="75"/>
      <c r="G308" s="75"/>
      <c r="H308" s="75"/>
      <c r="I308" s="74"/>
    </row>
    <row r="309" ht="12.75" customHeight="1">
      <c r="A309" s="162">
        <f>A306+3</f>
        <v>45229</v>
      </c>
      <c r="B309" s="490"/>
      <c r="C309" s="490"/>
      <c r="D309" s="490"/>
      <c r="E309" s="490"/>
      <c r="F309" s="491"/>
      <c r="G309" s="492"/>
      <c r="H309" s="492"/>
      <c r="I309" s="491"/>
    </row>
    <row r="310" ht="12.75" customHeight="1">
      <c r="A310" s="162">
        <f>A309+1</f>
        <v>45230</v>
      </c>
      <c r="B310" s="150"/>
      <c r="C310" s="150"/>
      <c r="D310" s="150"/>
      <c r="E310" s="150"/>
      <c r="F310" s="261">
        <f>SUM(B310:E310)</f>
        <v>0</v>
      </c>
      <c r="G310" s="150"/>
      <c r="H310" s="150"/>
      <c r="I310" s="138"/>
    </row>
    <row r="311" ht="12.75" customHeight="1">
      <c r="A311" s="67"/>
      <c r="B311" s="68">
        <f t="shared" ref="B311:I311" si="160">SUM(B310)</f>
        <v>0</v>
      </c>
      <c r="C311" s="68">
        <f t="shared" si="160"/>
        <v>0</v>
      </c>
      <c r="D311" s="68">
        <f t="shared" si="160"/>
        <v>0</v>
      </c>
      <c r="E311" s="68">
        <f t="shared" si="160"/>
        <v>0</v>
      </c>
      <c r="F311" s="68">
        <f t="shared" si="160"/>
        <v>0</v>
      </c>
      <c r="G311" s="128">
        <f t="shared" si="160"/>
        <v>0</v>
      </c>
      <c r="H311" s="128">
        <f t="shared" si="160"/>
        <v>0</v>
      </c>
      <c r="I311" s="145">
        <f t="shared" si="160"/>
        <v>0</v>
      </c>
    </row>
    <row r="312" ht="12.75" customHeight="1">
      <c r="A312" s="74"/>
      <c r="B312" s="75"/>
      <c r="C312" s="75"/>
      <c r="D312" s="75"/>
      <c r="E312" s="75"/>
      <c r="F312" s="75"/>
      <c r="G312" s="75"/>
      <c r="H312" s="75"/>
      <c r="I312" s="74"/>
    </row>
    <row r="313" ht="12.75" customHeight="1">
      <c r="A313" s="97">
        <v>45231.0</v>
      </c>
      <c r="B313" s="466"/>
      <c r="C313" s="467"/>
      <c r="D313" s="467"/>
      <c r="E313" s="467"/>
      <c r="F313" s="212"/>
      <c r="G313" s="176"/>
      <c r="H313" s="176"/>
      <c r="I313" s="468"/>
    </row>
    <row r="314" ht="12.75" customHeight="1">
      <c r="A314" s="97">
        <f t="shared" ref="A314:A315" si="161">A313+1</f>
        <v>45232</v>
      </c>
      <c r="B314" s="418"/>
      <c r="C314" s="212"/>
      <c r="D314" s="212"/>
      <c r="E314" s="212"/>
      <c r="F314" s="212">
        <f t="shared" ref="F314:F315" si="162">SUM(B314:E314)</f>
        <v>0</v>
      </c>
      <c r="G314" s="84"/>
      <c r="H314" s="84"/>
      <c r="I314" s="214"/>
    </row>
    <row r="315" ht="12.75" customHeight="1">
      <c r="A315" s="97">
        <f t="shared" si="161"/>
        <v>45233</v>
      </c>
      <c r="B315" s="418"/>
      <c r="C315" s="212"/>
      <c r="D315" s="212"/>
      <c r="E315" s="212"/>
      <c r="F315" s="212">
        <f t="shared" si="162"/>
        <v>0</v>
      </c>
      <c r="G315" s="84"/>
      <c r="H315" s="84"/>
      <c r="I315" s="214"/>
    </row>
    <row r="316" ht="12.75" customHeight="1">
      <c r="A316" s="493"/>
      <c r="B316" s="494">
        <f t="shared" ref="B316:I316" si="163">SUM(B313:B315)</f>
        <v>0</v>
      </c>
      <c r="C316" s="494">
        <f t="shared" si="163"/>
        <v>0</v>
      </c>
      <c r="D316" s="494">
        <f t="shared" si="163"/>
        <v>0</v>
      </c>
      <c r="E316" s="494">
        <f t="shared" si="163"/>
        <v>0</v>
      </c>
      <c r="F316" s="494">
        <f t="shared" si="163"/>
        <v>0</v>
      </c>
      <c r="G316" s="495">
        <f t="shared" si="163"/>
        <v>0</v>
      </c>
      <c r="H316" s="495">
        <f t="shared" si="163"/>
        <v>0</v>
      </c>
      <c r="I316" s="217">
        <f t="shared" si="163"/>
        <v>0</v>
      </c>
    </row>
    <row r="317" ht="12.75" customHeight="1">
      <c r="A317" s="496"/>
      <c r="B317" s="497"/>
      <c r="C317" s="497"/>
      <c r="D317" s="497"/>
      <c r="E317" s="497"/>
      <c r="F317" s="497"/>
      <c r="G317" s="498"/>
      <c r="H317" s="498"/>
      <c r="I317" s="74"/>
    </row>
    <row r="318" ht="12.75" customHeight="1">
      <c r="A318" s="58">
        <f>A315+3</f>
        <v>45236</v>
      </c>
      <c r="B318" s="230"/>
      <c r="C318" s="231"/>
      <c r="D318" s="231"/>
      <c r="E318" s="231"/>
      <c r="F318" s="233">
        <f t="shared" ref="F318:F321" si="164">SUM(B318:E318)</f>
        <v>0</v>
      </c>
      <c r="G318" s="84"/>
      <c r="H318" s="84"/>
      <c r="I318" s="232"/>
    </row>
    <row r="319" ht="12.75" customHeight="1">
      <c r="A319" s="58">
        <f t="shared" ref="A319:A322" si="165">A318+1</f>
        <v>45237</v>
      </c>
      <c r="B319" s="230"/>
      <c r="C319" s="231"/>
      <c r="D319" s="231"/>
      <c r="E319" s="231"/>
      <c r="F319" s="233">
        <f t="shared" si="164"/>
        <v>0</v>
      </c>
      <c r="G319" s="84"/>
      <c r="H319" s="84"/>
      <c r="I319" s="232"/>
    </row>
    <row r="320" ht="12.75" customHeight="1">
      <c r="A320" s="58">
        <f t="shared" si="165"/>
        <v>45238</v>
      </c>
      <c r="B320" s="230"/>
      <c r="C320" s="231"/>
      <c r="D320" s="231"/>
      <c r="E320" s="231"/>
      <c r="F320" s="233">
        <f t="shared" si="164"/>
        <v>0</v>
      </c>
      <c r="G320" s="84"/>
      <c r="H320" s="84"/>
      <c r="I320" s="232"/>
    </row>
    <row r="321" ht="12.75" customHeight="1">
      <c r="A321" s="58">
        <f t="shared" si="165"/>
        <v>45239</v>
      </c>
      <c r="B321" s="230"/>
      <c r="C321" s="231"/>
      <c r="D321" s="231"/>
      <c r="E321" s="231"/>
      <c r="F321" s="233">
        <f t="shared" si="164"/>
        <v>0</v>
      </c>
      <c r="G321" s="84"/>
      <c r="H321" s="84"/>
      <c r="I321" s="232"/>
    </row>
    <row r="322" ht="12.75" customHeight="1">
      <c r="A322" s="58">
        <f t="shared" si="165"/>
        <v>45240</v>
      </c>
      <c r="B322" s="227"/>
      <c r="C322" s="228"/>
      <c r="D322" s="228"/>
      <c r="E322" s="228"/>
      <c r="F322" s="213"/>
      <c r="G322" s="81"/>
      <c r="H322" s="81"/>
      <c r="I322" s="229"/>
    </row>
    <row r="323" ht="12.75" customHeight="1">
      <c r="A323" s="109"/>
      <c r="B323" s="499">
        <f t="shared" ref="B323:I323" si="166">SUM(B318:B322)</f>
        <v>0</v>
      </c>
      <c r="C323" s="499">
        <f t="shared" si="166"/>
        <v>0</v>
      </c>
      <c r="D323" s="499">
        <f t="shared" si="166"/>
        <v>0</v>
      </c>
      <c r="E323" s="499">
        <f t="shared" si="166"/>
        <v>0</v>
      </c>
      <c r="F323" s="500">
        <f t="shared" si="166"/>
        <v>0</v>
      </c>
      <c r="G323" s="218">
        <f t="shared" si="166"/>
        <v>0</v>
      </c>
      <c r="H323" s="495">
        <f t="shared" si="166"/>
        <v>0</v>
      </c>
      <c r="I323" s="217">
        <f t="shared" si="166"/>
        <v>0</v>
      </c>
    </row>
    <row r="324" ht="12.75" customHeight="1">
      <c r="A324" s="501"/>
      <c r="B324" s="502"/>
      <c r="C324" s="502"/>
      <c r="D324" s="502"/>
      <c r="E324" s="502"/>
      <c r="F324" s="503"/>
      <c r="G324" s="504"/>
      <c r="H324" s="498"/>
      <c r="I324" s="94"/>
    </row>
    <row r="325" ht="12.75" customHeight="1">
      <c r="A325" s="97">
        <f>A322+3</f>
        <v>45243</v>
      </c>
      <c r="B325" s="220">
        <v>0.0</v>
      </c>
      <c r="C325" s="221">
        <v>141.38</v>
      </c>
      <c r="D325" s="221">
        <v>869.31</v>
      </c>
      <c r="E325" s="221">
        <v>50.0</v>
      </c>
      <c r="F325" s="235">
        <f t="shared" ref="F325:F329" si="167">SUM(B325:E325)</f>
        <v>1060.69</v>
      </c>
      <c r="G325" s="59">
        <v>17.0</v>
      </c>
      <c r="H325" s="59">
        <v>2.0</v>
      </c>
      <c r="I325" s="223">
        <v>50.0</v>
      </c>
    </row>
    <row r="326" ht="12.75" customHeight="1">
      <c r="A326" s="97">
        <f t="shared" ref="A326:A329" si="168">A325+1</f>
        <v>45244</v>
      </c>
      <c r="B326" s="227">
        <v>0.0</v>
      </c>
      <c r="C326" s="228">
        <v>224.2</v>
      </c>
      <c r="D326" s="228">
        <v>469.31</v>
      </c>
      <c r="E326" s="228">
        <v>50.0</v>
      </c>
      <c r="F326" s="235">
        <f t="shared" si="167"/>
        <v>743.51</v>
      </c>
      <c r="G326" s="81">
        <v>14.0</v>
      </c>
      <c r="H326" s="81">
        <v>4.0</v>
      </c>
      <c r="I326" s="236">
        <v>50.0</v>
      </c>
    </row>
    <row r="327" ht="12.75" customHeight="1">
      <c r="A327" s="97">
        <f t="shared" si="168"/>
        <v>45245</v>
      </c>
      <c r="B327" s="227">
        <v>150.0</v>
      </c>
      <c r="C327" s="228">
        <v>153.51</v>
      </c>
      <c r="D327" s="228">
        <v>450.0</v>
      </c>
      <c r="E327" s="228">
        <v>50.0</v>
      </c>
      <c r="F327" s="235">
        <f t="shared" si="167"/>
        <v>803.51</v>
      </c>
      <c r="G327" s="81">
        <v>17.0</v>
      </c>
      <c r="H327" s="81">
        <v>3.0</v>
      </c>
      <c r="I327" s="236">
        <v>50.0</v>
      </c>
    </row>
    <row r="328" ht="12.75" customHeight="1">
      <c r="A328" s="97">
        <f t="shared" si="168"/>
        <v>45246</v>
      </c>
      <c r="B328" s="227">
        <v>0.0</v>
      </c>
      <c r="C328" s="228">
        <v>353.02</v>
      </c>
      <c r="D328" s="228">
        <v>1040.0</v>
      </c>
      <c r="E328" s="228">
        <v>0.0</v>
      </c>
      <c r="F328" s="235">
        <f t="shared" si="167"/>
        <v>1393.02</v>
      </c>
      <c r="G328" s="81">
        <v>26.0</v>
      </c>
      <c r="H328" s="81">
        <v>7.0</v>
      </c>
      <c r="I328" s="236">
        <v>0.0</v>
      </c>
    </row>
    <row r="329" ht="12.75" customHeight="1">
      <c r="A329" s="97">
        <f t="shared" si="168"/>
        <v>45247</v>
      </c>
      <c r="B329" s="227">
        <v>90.0</v>
      </c>
      <c r="C329" s="228">
        <v>112.1</v>
      </c>
      <c r="D329" s="228">
        <v>549.31</v>
      </c>
      <c r="E329" s="228">
        <v>0.0</v>
      </c>
      <c r="F329" s="235">
        <f t="shared" si="167"/>
        <v>751.41</v>
      </c>
      <c r="G329" s="81">
        <v>12.0</v>
      </c>
      <c r="H329" s="81">
        <v>2.0</v>
      </c>
      <c r="I329" s="237">
        <v>0.0</v>
      </c>
    </row>
    <row r="330" ht="12.75" customHeight="1">
      <c r="A330" s="109"/>
      <c r="B330" s="499">
        <f t="shared" ref="B330:I330" si="169">SUM(B325:B329)</f>
        <v>240</v>
      </c>
      <c r="C330" s="499">
        <f t="shared" si="169"/>
        <v>984.21</v>
      </c>
      <c r="D330" s="499">
        <f t="shared" si="169"/>
        <v>3377.93</v>
      </c>
      <c r="E330" s="499">
        <f t="shared" si="169"/>
        <v>150</v>
      </c>
      <c r="F330" s="500">
        <f t="shared" si="169"/>
        <v>4752.14</v>
      </c>
      <c r="G330" s="218">
        <f t="shared" si="169"/>
        <v>86</v>
      </c>
      <c r="H330" s="495">
        <f t="shared" si="169"/>
        <v>18</v>
      </c>
      <c r="I330" s="217">
        <f t="shared" si="169"/>
        <v>150</v>
      </c>
    </row>
    <row r="331" ht="12.75" customHeight="1">
      <c r="A331" s="501"/>
      <c r="B331" s="502"/>
      <c r="C331" s="502"/>
      <c r="D331" s="502"/>
      <c r="E331" s="502"/>
      <c r="F331" s="503"/>
      <c r="G331" s="174"/>
      <c r="H331" s="180"/>
      <c r="I331" s="94"/>
    </row>
    <row r="332" ht="12.75" customHeight="1">
      <c r="A332" s="97">
        <f>A329+3</f>
        <v>45250</v>
      </c>
      <c r="B332" s="220">
        <v>90.0</v>
      </c>
      <c r="C332" s="221">
        <v>365.58</v>
      </c>
      <c r="D332" s="221">
        <v>929.31</v>
      </c>
      <c r="E332" s="223">
        <v>50.0</v>
      </c>
      <c r="F332" s="238">
        <f t="shared" ref="F332:F336" si="170">SUM(B332:E332)</f>
        <v>1434.89</v>
      </c>
      <c r="G332" s="98">
        <v>27.0</v>
      </c>
      <c r="H332" s="99">
        <v>6.0</v>
      </c>
      <c r="I332" s="223">
        <v>50.0</v>
      </c>
    </row>
    <row r="333" ht="12.75" customHeight="1">
      <c r="A333" s="97">
        <f t="shared" ref="A333:A336" si="171">A332+1</f>
        <v>45251</v>
      </c>
      <c r="B333" s="224">
        <v>0.0</v>
      </c>
      <c r="C333" s="225">
        <v>194.92</v>
      </c>
      <c r="D333" s="225">
        <v>549.31</v>
      </c>
      <c r="E333" s="226">
        <v>50.0</v>
      </c>
      <c r="F333" s="238">
        <f t="shared" si="170"/>
        <v>794.23</v>
      </c>
      <c r="G333" s="103">
        <v>16.0</v>
      </c>
      <c r="H333" s="81">
        <v>4.0</v>
      </c>
      <c r="I333" s="226">
        <v>50.0</v>
      </c>
    </row>
    <row r="334" ht="12.75" customHeight="1">
      <c r="A334" s="97">
        <f t="shared" si="171"/>
        <v>45252</v>
      </c>
      <c r="B334" s="239">
        <v>50.0</v>
      </c>
      <c r="C334" s="240">
        <v>41.41</v>
      </c>
      <c r="D334" s="240">
        <v>700.0</v>
      </c>
      <c r="E334" s="241">
        <v>100.0</v>
      </c>
      <c r="F334" s="238">
        <f t="shared" si="170"/>
        <v>891.41</v>
      </c>
      <c r="G334" s="242">
        <v>19.0</v>
      </c>
      <c r="H334" s="89">
        <v>1.0</v>
      </c>
      <c r="I334" s="241">
        <v>100.0</v>
      </c>
    </row>
    <row r="335" ht="12.75" customHeight="1">
      <c r="A335" s="97">
        <f t="shared" si="171"/>
        <v>45253</v>
      </c>
      <c r="B335" s="239">
        <v>0.0</v>
      </c>
      <c r="C335" s="240">
        <v>212.79</v>
      </c>
      <c r="D335" s="240">
        <v>1149.31</v>
      </c>
      <c r="E335" s="241">
        <v>70.0</v>
      </c>
      <c r="F335" s="238">
        <f t="shared" si="170"/>
        <v>1432.1</v>
      </c>
      <c r="G335" s="242">
        <v>24.0</v>
      </c>
      <c r="H335" s="89">
        <v>4.0</v>
      </c>
      <c r="I335" s="241">
        <v>70.0</v>
      </c>
    </row>
    <row r="336" ht="12.75" customHeight="1">
      <c r="A336" s="97">
        <f t="shared" si="171"/>
        <v>45254</v>
      </c>
      <c r="B336" s="239">
        <v>50.0</v>
      </c>
      <c r="C336" s="240">
        <v>224.2</v>
      </c>
      <c r="D336" s="240">
        <v>599.31</v>
      </c>
      <c r="E336" s="241">
        <v>100.0</v>
      </c>
      <c r="F336" s="469">
        <f t="shared" si="170"/>
        <v>973.51</v>
      </c>
      <c r="G336" s="242">
        <v>19.0</v>
      </c>
      <c r="H336" s="89">
        <v>4.0</v>
      </c>
      <c r="I336" s="241">
        <v>100.0</v>
      </c>
    </row>
    <row r="337" ht="12.75" customHeight="1">
      <c r="A337" s="109"/>
      <c r="B337" s="494">
        <f t="shared" ref="B337:E337" si="172">SUM(B332:B336)</f>
        <v>190</v>
      </c>
      <c r="C337" s="494">
        <f t="shared" si="172"/>
        <v>1038.9</v>
      </c>
      <c r="D337" s="494">
        <f t="shared" si="172"/>
        <v>3927.24</v>
      </c>
      <c r="E337" s="494">
        <f t="shared" si="172"/>
        <v>370</v>
      </c>
      <c r="F337" s="500">
        <f>SUM(F331:F336)</f>
        <v>5526.14</v>
      </c>
      <c r="G337" s="495">
        <f t="shared" ref="G337:I337" si="173">SUM(G332:G336)</f>
        <v>105</v>
      </c>
      <c r="H337" s="495">
        <f t="shared" si="173"/>
        <v>19</v>
      </c>
      <c r="I337" s="217">
        <f t="shared" si="173"/>
        <v>370</v>
      </c>
    </row>
    <row r="338" ht="12.75" customHeight="1">
      <c r="A338" s="501"/>
      <c r="B338" s="497"/>
      <c r="C338" s="497"/>
      <c r="D338" s="497"/>
      <c r="E338" s="497"/>
      <c r="F338" s="503"/>
      <c r="G338" s="498"/>
      <c r="H338" s="498"/>
      <c r="I338" s="74"/>
    </row>
    <row r="339" ht="12.75" customHeight="1">
      <c r="A339" s="97">
        <f>A336+3</f>
        <v>45257</v>
      </c>
      <c r="B339" s="227">
        <v>50.0</v>
      </c>
      <c r="C339" s="470">
        <v>224.2</v>
      </c>
      <c r="D339" s="470">
        <v>528.62</v>
      </c>
      <c r="E339" s="227">
        <v>100.0</v>
      </c>
      <c r="F339" s="60">
        <f t="shared" ref="F339:F342" si="174">SUM(B339:E339)</f>
        <v>902.82</v>
      </c>
      <c r="G339" s="112">
        <v>16.0</v>
      </c>
      <c r="H339" s="59">
        <v>4.0</v>
      </c>
      <c r="I339" s="229">
        <v>100.0</v>
      </c>
    </row>
    <row r="340" ht="12.75" customHeight="1">
      <c r="A340" s="97">
        <f t="shared" ref="A340:A342" si="175">A339+1</f>
        <v>45258</v>
      </c>
      <c r="B340" s="225">
        <v>50.0</v>
      </c>
      <c r="C340" s="225">
        <v>124.23</v>
      </c>
      <c r="D340" s="225">
        <v>760.0</v>
      </c>
      <c r="E340" s="225">
        <v>90.0</v>
      </c>
      <c r="F340" s="104">
        <f t="shared" si="174"/>
        <v>1024.23</v>
      </c>
      <c r="G340" s="81">
        <v>17.0</v>
      </c>
      <c r="H340" s="81">
        <v>3.0</v>
      </c>
      <c r="I340" s="225">
        <v>90.0</v>
      </c>
    </row>
    <row r="341" ht="12.75" customHeight="1">
      <c r="A341" s="97">
        <f t="shared" si="175"/>
        <v>45259</v>
      </c>
      <c r="B341" s="505">
        <v>170.0</v>
      </c>
      <c r="C341" s="506">
        <v>165.64</v>
      </c>
      <c r="D341" s="506">
        <v>390.0</v>
      </c>
      <c r="E341" s="505">
        <v>150.0</v>
      </c>
      <c r="F341" s="238">
        <f t="shared" si="174"/>
        <v>875.64</v>
      </c>
      <c r="G341" s="166">
        <v>18.0</v>
      </c>
      <c r="H341" s="211">
        <v>4.0</v>
      </c>
      <c r="I341" s="507">
        <v>150.0</v>
      </c>
    </row>
    <row r="342" ht="12.75" customHeight="1">
      <c r="A342" s="97">
        <f t="shared" si="175"/>
        <v>45260</v>
      </c>
      <c r="B342" s="239">
        <v>140.0</v>
      </c>
      <c r="C342" s="240">
        <v>236.33</v>
      </c>
      <c r="D342" s="240">
        <v>1150.0</v>
      </c>
      <c r="E342" s="239">
        <v>50.0</v>
      </c>
      <c r="F342" s="469">
        <f t="shared" si="174"/>
        <v>1576.33</v>
      </c>
      <c r="G342" s="242">
        <v>28.0</v>
      </c>
      <c r="H342" s="89">
        <v>5.0</v>
      </c>
      <c r="I342" s="241">
        <v>50.0</v>
      </c>
    </row>
    <row r="343" ht="12.75" customHeight="1">
      <c r="A343" s="493"/>
      <c r="B343" s="499">
        <f t="shared" ref="B343:I343" si="176">SUM(B339:B342)</f>
        <v>410</v>
      </c>
      <c r="C343" s="508">
        <f t="shared" si="176"/>
        <v>750.4</v>
      </c>
      <c r="D343" s="508">
        <f t="shared" si="176"/>
        <v>2828.62</v>
      </c>
      <c r="E343" s="508">
        <f t="shared" si="176"/>
        <v>390</v>
      </c>
      <c r="F343" s="508">
        <f t="shared" si="176"/>
        <v>4379.02</v>
      </c>
      <c r="G343" s="509">
        <f t="shared" si="176"/>
        <v>79</v>
      </c>
      <c r="H343" s="509">
        <f t="shared" si="176"/>
        <v>16</v>
      </c>
      <c r="I343" s="472">
        <f t="shared" si="176"/>
        <v>390</v>
      </c>
    </row>
    <row r="344" ht="12.75" customHeight="1">
      <c r="A344" s="496"/>
      <c r="B344" s="510"/>
      <c r="C344" s="511"/>
      <c r="D344" s="511"/>
      <c r="E344" s="511"/>
      <c r="F344" s="511"/>
      <c r="G344" s="512"/>
      <c r="H344" s="512"/>
      <c r="I344" s="137"/>
    </row>
    <row r="345" ht="12.75" customHeight="1">
      <c r="A345" s="58">
        <v>45261.0</v>
      </c>
      <c r="B345" s="247">
        <v>150.0</v>
      </c>
      <c r="C345" s="81">
        <v>336.3</v>
      </c>
      <c r="D345" s="81">
        <v>499.31</v>
      </c>
      <c r="E345" s="81">
        <v>50.0</v>
      </c>
      <c r="F345" s="60">
        <f>SUM(B345:E345)</f>
        <v>1035.61</v>
      </c>
      <c r="G345" s="81">
        <v>18.0</v>
      </c>
      <c r="H345" s="81">
        <v>6.0</v>
      </c>
      <c r="I345" s="83">
        <v>50.0</v>
      </c>
    </row>
    <row r="346" ht="12.75" customHeight="1">
      <c r="A346" s="67"/>
      <c r="B346" s="68">
        <f t="shared" ref="B346:I346" si="177">SUM(B345)</f>
        <v>150</v>
      </c>
      <c r="C346" s="68">
        <f t="shared" si="177"/>
        <v>336.3</v>
      </c>
      <c r="D346" s="68">
        <f t="shared" si="177"/>
        <v>499.31</v>
      </c>
      <c r="E346" s="68">
        <f t="shared" si="177"/>
        <v>50</v>
      </c>
      <c r="F346" s="68">
        <f t="shared" si="177"/>
        <v>1035.61</v>
      </c>
      <c r="G346" s="70">
        <f t="shared" si="177"/>
        <v>18</v>
      </c>
      <c r="H346" s="70">
        <f t="shared" si="177"/>
        <v>6</v>
      </c>
      <c r="I346" s="91">
        <f t="shared" si="177"/>
        <v>50</v>
      </c>
    </row>
    <row r="347" ht="12.75" customHeight="1">
      <c r="A347" s="74"/>
      <c r="B347" s="75"/>
      <c r="C347" s="75"/>
      <c r="D347" s="75"/>
      <c r="E347" s="75"/>
      <c r="F347" s="75"/>
      <c r="G347" s="76"/>
      <c r="H347" s="76"/>
      <c r="I347" s="74"/>
    </row>
    <row r="348" ht="12.75" customHeight="1">
      <c r="A348" s="248">
        <f>A345+3</f>
        <v>45264</v>
      </c>
      <c r="B348" s="59">
        <v>50.0</v>
      </c>
      <c r="C348" s="59">
        <v>307.74</v>
      </c>
      <c r="D348" s="59">
        <v>1029.31</v>
      </c>
      <c r="E348" s="59">
        <v>200.0</v>
      </c>
      <c r="F348" s="60">
        <f t="shared" ref="F348:F352" si="178">SUM(B348:E348)</f>
        <v>1587.05</v>
      </c>
      <c r="G348" s="59">
        <v>29.0</v>
      </c>
      <c r="H348" s="59">
        <v>7.0</v>
      </c>
      <c r="I348" s="61">
        <v>200.0</v>
      </c>
    </row>
    <row r="349" ht="12.75" customHeight="1">
      <c r="A349" s="97">
        <f t="shared" ref="A349:A352" si="179">A348+1</f>
        <v>45265</v>
      </c>
      <c r="B349" s="59">
        <v>0.0</v>
      </c>
      <c r="C349" s="59">
        <v>277.74</v>
      </c>
      <c r="D349" s="59">
        <v>399.31</v>
      </c>
      <c r="E349" s="59">
        <v>100.0</v>
      </c>
      <c r="F349" s="141">
        <f t="shared" si="178"/>
        <v>777.05</v>
      </c>
      <c r="G349" s="124">
        <v>14.0</v>
      </c>
      <c r="H349" s="124">
        <v>6.0</v>
      </c>
      <c r="I349" s="61">
        <v>100.0</v>
      </c>
    </row>
    <row r="350" ht="12.75" customHeight="1">
      <c r="A350" s="97">
        <f t="shared" si="179"/>
        <v>45266</v>
      </c>
      <c r="B350" s="59">
        <v>170.0</v>
      </c>
      <c r="C350" s="59">
        <v>80.31</v>
      </c>
      <c r="D350" s="59">
        <v>420.0</v>
      </c>
      <c r="E350" s="59">
        <v>0.0</v>
      </c>
      <c r="F350" s="141">
        <f t="shared" si="178"/>
        <v>670.31</v>
      </c>
      <c r="G350" s="124">
        <v>14.0</v>
      </c>
      <c r="H350" s="124">
        <v>2.0</v>
      </c>
      <c r="I350" s="61">
        <v>0.0</v>
      </c>
    </row>
    <row r="351" ht="12.75" customHeight="1">
      <c r="A351" s="97">
        <f t="shared" si="179"/>
        <v>45267</v>
      </c>
      <c r="B351" s="59">
        <v>90.0</v>
      </c>
      <c r="C351" s="59">
        <v>182.79</v>
      </c>
      <c r="D351" s="59">
        <v>608.62</v>
      </c>
      <c r="E351" s="59">
        <v>0.0</v>
      </c>
      <c r="F351" s="151">
        <f t="shared" si="178"/>
        <v>881.41</v>
      </c>
      <c r="G351" s="138">
        <v>13.0</v>
      </c>
      <c r="H351" s="138">
        <v>3.0</v>
      </c>
      <c r="I351" s="146">
        <v>0.0</v>
      </c>
    </row>
    <row r="352" ht="12.75" customHeight="1">
      <c r="A352" s="97">
        <f t="shared" si="179"/>
        <v>45268</v>
      </c>
      <c r="B352" s="138"/>
      <c r="C352" s="138"/>
      <c r="D352" s="138"/>
      <c r="E352" s="138"/>
      <c r="F352" s="151">
        <f t="shared" si="178"/>
        <v>0</v>
      </c>
      <c r="G352" s="138"/>
      <c r="H352" s="138"/>
      <c r="I352" s="146"/>
    </row>
    <row r="353" ht="12.75" customHeight="1">
      <c r="A353" s="67"/>
      <c r="B353" s="68">
        <f t="shared" ref="B353:I353" si="180">SUM(B348:B352)</f>
        <v>310</v>
      </c>
      <c r="C353" s="68">
        <f t="shared" si="180"/>
        <v>848.58</v>
      </c>
      <c r="D353" s="68">
        <f t="shared" si="180"/>
        <v>2457.24</v>
      </c>
      <c r="E353" s="68">
        <f t="shared" si="180"/>
        <v>300</v>
      </c>
      <c r="F353" s="249">
        <f t="shared" si="180"/>
        <v>3915.82</v>
      </c>
      <c r="G353" s="218">
        <f t="shared" si="180"/>
        <v>70</v>
      </c>
      <c r="H353" s="140">
        <f t="shared" si="180"/>
        <v>18</v>
      </c>
      <c r="I353" s="91">
        <f t="shared" si="180"/>
        <v>300</v>
      </c>
    </row>
    <row r="354" ht="12.75" customHeight="1">
      <c r="A354" s="74"/>
      <c r="B354" s="75"/>
      <c r="C354" s="75"/>
      <c r="D354" s="75"/>
      <c r="E354" s="75"/>
      <c r="F354" s="234"/>
      <c r="G354" s="74"/>
      <c r="H354" s="75"/>
      <c r="I354" s="74"/>
    </row>
    <row r="355" ht="12.75" customHeight="1">
      <c r="A355" s="64">
        <f>A352+3</f>
        <v>45271</v>
      </c>
      <c r="B355" s="59">
        <v>0.0</v>
      </c>
      <c r="C355" s="59">
        <v>265.61</v>
      </c>
      <c r="D355" s="59">
        <v>568.62</v>
      </c>
      <c r="E355" s="59">
        <v>90.0</v>
      </c>
      <c r="F355" s="141">
        <f t="shared" ref="F355:F359" si="181">SUM(B355:E355)</f>
        <v>924.23</v>
      </c>
      <c r="G355" s="59">
        <v>16.0</v>
      </c>
      <c r="H355" s="59">
        <v>5.0</v>
      </c>
      <c r="I355" s="61">
        <v>90.0</v>
      </c>
    </row>
    <row r="356" ht="12.75" customHeight="1">
      <c r="A356" s="64">
        <f t="shared" ref="A356:A359" si="182">A355+1</f>
        <v>45272</v>
      </c>
      <c r="B356" s="81">
        <v>90.0</v>
      </c>
      <c r="C356" s="81">
        <v>224.2</v>
      </c>
      <c r="D356" s="81">
        <v>549.31</v>
      </c>
      <c r="E356" s="81">
        <v>50.0</v>
      </c>
      <c r="F356" s="60">
        <f t="shared" si="181"/>
        <v>913.51</v>
      </c>
      <c r="G356" s="81">
        <v>15.0</v>
      </c>
      <c r="H356" s="81">
        <v>4.0</v>
      </c>
      <c r="I356" s="83">
        <v>50.0</v>
      </c>
    </row>
    <row r="357" ht="12.75" customHeight="1">
      <c r="A357" s="64">
        <f t="shared" si="182"/>
        <v>45273</v>
      </c>
      <c r="B357" s="81">
        <v>0.0</v>
      </c>
      <c r="C357" s="81">
        <v>68.9</v>
      </c>
      <c r="D357" s="81">
        <v>320.0</v>
      </c>
      <c r="E357" s="81">
        <v>50.0</v>
      </c>
      <c r="F357" s="60">
        <f t="shared" si="181"/>
        <v>438.9</v>
      </c>
      <c r="G357" s="81">
        <v>10.0</v>
      </c>
      <c r="H357" s="81">
        <v>2.0</v>
      </c>
      <c r="I357" s="83">
        <v>50.0</v>
      </c>
    </row>
    <row r="358" ht="12.75" customHeight="1">
      <c r="A358" s="64">
        <f t="shared" si="182"/>
        <v>45274</v>
      </c>
      <c r="B358" s="81">
        <v>0.0</v>
      </c>
      <c r="C358" s="81">
        <v>337.02</v>
      </c>
      <c r="D358" s="81">
        <v>880.0</v>
      </c>
      <c r="E358" s="81">
        <v>90.0</v>
      </c>
      <c r="F358" s="60">
        <f t="shared" si="181"/>
        <v>1307.02</v>
      </c>
      <c r="G358" s="81">
        <v>22.0</v>
      </c>
      <c r="H358" s="81">
        <v>7.0</v>
      </c>
      <c r="I358" s="83">
        <v>90.0</v>
      </c>
    </row>
    <row r="359" ht="12.75" customHeight="1">
      <c r="A359" s="64">
        <f t="shared" si="182"/>
        <v>45275</v>
      </c>
      <c r="B359" s="81">
        <v>90.0</v>
      </c>
      <c r="C359" s="81">
        <v>224.92</v>
      </c>
      <c r="D359" s="81">
        <v>599.31</v>
      </c>
      <c r="E359" s="81">
        <v>140.0</v>
      </c>
      <c r="F359" s="60">
        <f t="shared" si="181"/>
        <v>1054.23</v>
      </c>
      <c r="G359" s="81">
        <v>19.0</v>
      </c>
      <c r="H359" s="81">
        <v>5.0</v>
      </c>
      <c r="I359" s="83">
        <v>150.0</v>
      </c>
    </row>
    <row r="360" ht="12.75" customHeight="1">
      <c r="A360" s="131"/>
      <c r="B360" s="68">
        <f t="shared" ref="B360:I360" si="183">SUM(B355:B359)</f>
        <v>180</v>
      </c>
      <c r="C360" s="68">
        <f t="shared" si="183"/>
        <v>1120.65</v>
      </c>
      <c r="D360" s="68">
        <f t="shared" si="183"/>
        <v>2917.24</v>
      </c>
      <c r="E360" s="68">
        <f t="shared" si="183"/>
        <v>420</v>
      </c>
      <c r="F360" s="68">
        <f t="shared" si="183"/>
        <v>4637.89</v>
      </c>
      <c r="G360" s="70">
        <f t="shared" si="183"/>
        <v>82</v>
      </c>
      <c r="H360" s="70">
        <f t="shared" si="183"/>
        <v>23</v>
      </c>
      <c r="I360" s="91">
        <f t="shared" si="183"/>
        <v>430</v>
      </c>
    </row>
    <row r="361" ht="12.75" customHeight="1">
      <c r="A361" s="148"/>
      <c r="B361" s="75"/>
      <c r="C361" s="75"/>
      <c r="D361" s="75"/>
      <c r="E361" s="75"/>
      <c r="F361" s="75"/>
      <c r="G361" s="76"/>
      <c r="H361" s="76"/>
      <c r="I361" s="74"/>
    </row>
    <row r="362" ht="12.75" customHeight="1">
      <c r="A362" s="64">
        <f>A359+3</f>
        <v>45278</v>
      </c>
      <c r="B362" s="59">
        <v>0.0</v>
      </c>
      <c r="C362" s="59">
        <v>477.68</v>
      </c>
      <c r="D362" s="59">
        <v>618.62</v>
      </c>
      <c r="E362" s="59">
        <v>120.0</v>
      </c>
      <c r="F362" s="141">
        <f t="shared" ref="F362:F366" si="184">SUM(B362:E362)</f>
        <v>1216.3</v>
      </c>
      <c r="G362" s="59">
        <v>21.0</v>
      </c>
      <c r="H362" s="59">
        <v>8.0</v>
      </c>
      <c r="I362" s="61">
        <v>180.0</v>
      </c>
    </row>
    <row r="363" ht="12.75" customHeight="1">
      <c r="A363" s="64">
        <f t="shared" ref="A363:A366" si="185">A362+1</f>
        <v>45279</v>
      </c>
      <c r="B363" s="59">
        <v>90.0</v>
      </c>
      <c r="C363" s="59">
        <v>182.79</v>
      </c>
      <c r="D363" s="59">
        <v>819.31</v>
      </c>
      <c r="E363" s="59">
        <v>0.0</v>
      </c>
      <c r="F363" s="141">
        <f t="shared" si="184"/>
        <v>1092.1</v>
      </c>
      <c r="G363" s="59">
        <v>16.0</v>
      </c>
      <c r="H363" s="59">
        <v>3.0</v>
      </c>
      <c r="I363" s="61">
        <v>0.0</v>
      </c>
    </row>
    <row r="364" ht="12.75" customHeight="1">
      <c r="A364" s="64">
        <f t="shared" si="185"/>
        <v>45280</v>
      </c>
      <c r="B364" s="81">
        <v>0.0</v>
      </c>
      <c r="C364" s="81">
        <v>41.41</v>
      </c>
      <c r="D364" s="81">
        <v>400.0</v>
      </c>
      <c r="E364" s="81">
        <v>0.0</v>
      </c>
      <c r="F364" s="84">
        <f t="shared" si="184"/>
        <v>441.41</v>
      </c>
      <c r="G364" s="84">
        <v>9.0</v>
      </c>
      <c r="H364" s="84">
        <v>1.0</v>
      </c>
      <c r="I364" s="84">
        <v>0.0</v>
      </c>
    </row>
    <row r="365" ht="12.75" customHeight="1">
      <c r="A365" s="64">
        <f t="shared" si="185"/>
        <v>45281</v>
      </c>
      <c r="B365" s="84"/>
      <c r="C365" s="84"/>
      <c r="D365" s="84"/>
      <c r="E365" s="84"/>
      <c r="F365" s="151">
        <f t="shared" si="184"/>
        <v>0</v>
      </c>
      <c r="G365" s="84"/>
      <c r="H365" s="84"/>
      <c r="I365" s="86"/>
    </row>
    <row r="366" ht="12.75" customHeight="1">
      <c r="A366" s="64">
        <f t="shared" si="185"/>
        <v>45282</v>
      </c>
      <c r="B366" s="84"/>
      <c r="C366" s="84"/>
      <c r="D366" s="84"/>
      <c r="E366" s="84"/>
      <c r="F366" s="151">
        <f t="shared" si="184"/>
        <v>0</v>
      </c>
      <c r="G366" s="84"/>
      <c r="H366" s="84"/>
      <c r="I366" s="86"/>
    </row>
    <row r="367" ht="12.75" customHeight="1">
      <c r="A367" s="131"/>
      <c r="B367" s="68">
        <f t="shared" ref="B367:I367" si="186">SUM(B362:B366)</f>
        <v>90</v>
      </c>
      <c r="C367" s="68">
        <f t="shared" si="186"/>
        <v>701.88</v>
      </c>
      <c r="D367" s="68">
        <f t="shared" si="186"/>
        <v>1837.93</v>
      </c>
      <c r="E367" s="68">
        <f t="shared" si="186"/>
        <v>120</v>
      </c>
      <c r="F367" s="68">
        <f t="shared" si="186"/>
        <v>2749.81</v>
      </c>
      <c r="G367" s="70">
        <f t="shared" si="186"/>
        <v>46</v>
      </c>
      <c r="H367" s="70">
        <f t="shared" si="186"/>
        <v>12</v>
      </c>
      <c r="I367" s="68">
        <f t="shared" si="186"/>
        <v>180</v>
      </c>
    </row>
    <row r="368" ht="12.75" customHeight="1">
      <c r="A368" s="148"/>
      <c r="B368" s="75"/>
      <c r="C368" s="75"/>
      <c r="D368" s="75"/>
      <c r="E368" s="75"/>
      <c r="F368" s="75"/>
      <c r="G368" s="76"/>
      <c r="H368" s="76"/>
      <c r="I368" s="75"/>
    </row>
    <row r="369" ht="12.75" customHeight="1">
      <c r="A369" s="64">
        <f>A366+3</f>
        <v>45285</v>
      </c>
      <c r="B369" s="84"/>
      <c r="C369" s="84"/>
      <c r="D369" s="84"/>
      <c r="E369" s="84"/>
      <c r="F369" s="85">
        <f t="shared" ref="F369:F372" si="187">SUM(B369:E369)</f>
        <v>0</v>
      </c>
      <c r="G369" s="84"/>
      <c r="H369" s="84"/>
      <c r="I369" s="86"/>
    </row>
    <row r="370" ht="12.75" customHeight="1">
      <c r="A370" s="64">
        <f t="shared" ref="A370:A372" si="188">A369+1</f>
        <v>45286</v>
      </c>
      <c r="B370" s="84"/>
      <c r="C370" s="84"/>
      <c r="D370" s="84"/>
      <c r="E370" s="84"/>
      <c r="F370" s="85">
        <f t="shared" si="187"/>
        <v>0</v>
      </c>
      <c r="G370" s="84"/>
      <c r="H370" s="84"/>
      <c r="I370" s="86"/>
    </row>
    <row r="371" ht="12.75" customHeight="1">
      <c r="A371" s="64">
        <f t="shared" si="188"/>
        <v>45287</v>
      </c>
      <c r="B371" s="84"/>
      <c r="C371" s="84"/>
      <c r="D371" s="84"/>
      <c r="E371" s="84"/>
      <c r="F371" s="85">
        <f t="shared" si="187"/>
        <v>0</v>
      </c>
      <c r="G371" s="84"/>
      <c r="H371" s="84"/>
      <c r="I371" s="86"/>
    </row>
    <row r="372" ht="12.75" customHeight="1">
      <c r="A372" s="64">
        <f t="shared" si="188"/>
        <v>45288</v>
      </c>
      <c r="B372" s="84"/>
      <c r="C372" s="84"/>
      <c r="D372" s="84"/>
      <c r="E372" s="84"/>
      <c r="F372" s="85">
        <f t="shared" si="187"/>
        <v>0</v>
      </c>
      <c r="G372" s="84"/>
      <c r="H372" s="84"/>
      <c r="I372" s="86"/>
    </row>
    <row r="373" ht="12.75" customHeight="1">
      <c r="A373" s="474"/>
      <c r="B373" s="68">
        <f t="shared" ref="B373:I373" si="189">SUM(B369:B372)</f>
        <v>0</v>
      </c>
      <c r="C373" s="68">
        <f t="shared" si="189"/>
        <v>0</v>
      </c>
      <c r="D373" s="68">
        <f t="shared" si="189"/>
        <v>0</v>
      </c>
      <c r="E373" s="68">
        <f t="shared" si="189"/>
        <v>0</v>
      </c>
      <c r="F373" s="68">
        <f t="shared" si="189"/>
        <v>0</v>
      </c>
      <c r="G373" s="70">
        <f t="shared" si="189"/>
        <v>0</v>
      </c>
      <c r="H373" s="70">
        <f t="shared" si="189"/>
        <v>0</v>
      </c>
      <c r="I373" s="68">
        <f t="shared" si="189"/>
        <v>0</v>
      </c>
    </row>
    <row r="374" ht="12.75" customHeight="1">
      <c r="A374" s="475"/>
      <c r="B374" s="75"/>
      <c r="C374" s="75"/>
      <c r="D374" s="75"/>
      <c r="E374" s="75"/>
      <c r="F374" s="75"/>
      <c r="G374" s="76"/>
      <c r="H374" s="76"/>
      <c r="I374" s="75"/>
    </row>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sheetData>
  <mergeCells count="481">
    <mergeCell ref="H28:H29"/>
    <mergeCell ref="I28:I29"/>
    <mergeCell ref="A28:A29"/>
    <mergeCell ref="B28:B29"/>
    <mergeCell ref="C28:C29"/>
    <mergeCell ref="D28:D29"/>
    <mergeCell ref="E28:E29"/>
    <mergeCell ref="F28:F29"/>
    <mergeCell ref="G28:G29"/>
    <mergeCell ref="H32:H33"/>
    <mergeCell ref="I32:I33"/>
    <mergeCell ref="L32:M32"/>
    <mergeCell ref="A32:A33"/>
    <mergeCell ref="B32:B33"/>
    <mergeCell ref="C32:C33"/>
    <mergeCell ref="D32:D33"/>
    <mergeCell ref="E32:E33"/>
    <mergeCell ref="F32:F33"/>
    <mergeCell ref="G32:G33"/>
    <mergeCell ref="H37:H38"/>
    <mergeCell ref="I37:I38"/>
    <mergeCell ref="L41:M41"/>
    <mergeCell ref="A37:A38"/>
    <mergeCell ref="B37:B38"/>
    <mergeCell ref="C37:C38"/>
    <mergeCell ref="D37:D38"/>
    <mergeCell ref="E37:E38"/>
    <mergeCell ref="F37:F38"/>
    <mergeCell ref="G37:G38"/>
    <mergeCell ref="I44:I45"/>
    <mergeCell ref="L50:M50"/>
    <mergeCell ref="B44:B45"/>
    <mergeCell ref="C44:C45"/>
    <mergeCell ref="D44:D45"/>
    <mergeCell ref="E44:E45"/>
    <mergeCell ref="F44:F45"/>
    <mergeCell ref="G44:G45"/>
    <mergeCell ref="H44:H45"/>
    <mergeCell ref="H7:H8"/>
    <mergeCell ref="I7:I8"/>
    <mergeCell ref="K2:N3"/>
    <mergeCell ref="L5:M5"/>
    <mergeCell ref="A7:A8"/>
    <mergeCell ref="B7:B8"/>
    <mergeCell ref="C7:C8"/>
    <mergeCell ref="D7:D8"/>
    <mergeCell ref="E7:E8"/>
    <mergeCell ref="F14:F15"/>
    <mergeCell ref="G14:G15"/>
    <mergeCell ref="H14:H15"/>
    <mergeCell ref="I14:I15"/>
    <mergeCell ref="L14:M14"/>
    <mergeCell ref="F7:F8"/>
    <mergeCell ref="G7:G8"/>
    <mergeCell ref="A14:A15"/>
    <mergeCell ref="B14:B15"/>
    <mergeCell ref="C14:C15"/>
    <mergeCell ref="D14:D15"/>
    <mergeCell ref="E14:E15"/>
    <mergeCell ref="H21:H22"/>
    <mergeCell ref="I21:I22"/>
    <mergeCell ref="L23:M23"/>
    <mergeCell ref="A21:A22"/>
    <mergeCell ref="B21:B22"/>
    <mergeCell ref="C21:C22"/>
    <mergeCell ref="D21:D22"/>
    <mergeCell ref="E21:E22"/>
    <mergeCell ref="F21:F22"/>
    <mergeCell ref="G21:G22"/>
    <mergeCell ref="H58:H59"/>
    <mergeCell ref="I58:I59"/>
    <mergeCell ref="L59:M59"/>
    <mergeCell ref="C51:C52"/>
    <mergeCell ref="D51:D52"/>
    <mergeCell ref="E51:E52"/>
    <mergeCell ref="F51:F52"/>
    <mergeCell ref="G51:G52"/>
    <mergeCell ref="H51:H52"/>
    <mergeCell ref="I51:I52"/>
    <mergeCell ref="B51:B52"/>
    <mergeCell ref="B58:B59"/>
    <mergeCell ref="C58:C59"/>
    <mergeCell ref="D58:D59"/>
    <mergeCell ref="E58:E59"/>
    <mergeCell ref="F58:F59"/>
    <mergeCell ref="G58:G59"/>
    <mergeCell ref="C62:C63"/>
    <mergeCell ref="D62:D63"/>
    <mergeCell ref="E62:E63"/>
    <mergeCell ref="F62:F63"/>
    <mergeCell ref="G62:G63"/>
    <mergeCell ref="H62:H63"/>
    <mergeCell ref="I62:I63"/>
    <mergeCell ref="G67:G68"/>
    <mergeCell ref="H67:H68"/>
    <mergeCell ref="I67:I68"/>
    <mergeCell ref="L68:M68"/>
    <mergeCell ref="B62:B63"/>
    <mergeCell ref="A67:A68"/>
    <mergeCell ref="B67:B68"/>
    <mergeCell ref="C67:C68"/>
    <mergeCell ref="D67:D68"/>
    <mergeCell ref="E67:E68"/>
    <mergeCell ref="F67:F68"/>
    <mergeCell ref="H74:H75"/>
    <mergeCell ref="I74:I75"/>
    <mergeCell ref="L77:M77"/>
    <mergeCell ref="A74:A75"/>
    <mergeCell ref="B74:B75"/>
    <mergeCell ref="C74:C75"/>
    <mergeCell ref="D74:D75"/>
    <mergeCell ref="E74:E75"/>
    <mergeCell ref="F74:F75"/>
    <mergeCell ref="G74:G75"/>
    <mergeCell ref="H109:H110"/>
    <mergeCell ref="I109:I110"/>
    <mergeCell ref="A109:A110"/>
    <mergeCell ref="B109:B110"/>
    <mergeCell ref="C109:C110"/>
    <mergeCell ref="D109:D110"/>
    <mergeCell ref="E109:E110"/>
    <mergeCell ref="F109:F110"/>
    <mergeCell ref="G109:G110"/>
    <mergeCell ref="H116:H117"/>
    <mergeCell ref="I116:I117"/>
    <mergeCell ref="A116:A117"/>
    <mergeCell ref="B116:B117"/>
    <mergeCell ref="C116:C117"/>
    <mergeCell ref="D116:D117"/>
    <mergeCell ref="E116:E117"/>
    <mergeCell ref="F116:F117"/>
    <mergeCell ref="G116:G117"/>
    <mergeCell ref="H123:H124"/>
    <mergeCell ref="I123:I124"/>
    <mergeCell ref="A123:A124"/>
    <mergeCell ref="B123:B124"/>
    <mergeCell ref="C123:C124"/>
    <mergeCell ref="D123:D124"/>
    <mergeCell ref="E123:E124"/>
    <mergeCell ref="F123:F124"/>
    <mergeCell ref="G123:G124"/>
    <mergeCell ref="H130:H131"/>
    <mergeCell ref="I130:I131"/>
    <mergeCell ref="A130:A131"/>
    <mergeCell ref="B130:B131"/>
    <mergeCell ref="C130:C131"/>
    <mergeCell ref="D130:D131"/>
    <mergeCell ref="E130:E131"/>
    <mergeCell ref="F130:F131"/>
    <mergeCell ref="G130:G131"/>
    <mergeCell ref="H137:H138"/>
    <mergeCell ref="I137:I138"/>
    <mergeCell ref="A137:A138"/>
    <mergeCell ref="B137:B138"/>
    <mergeCell ref="C137:C138"/>
    <mergeCell ref="D137:D138"/>
    <mergeCell ref="E137:E138"/>
    <mergeCell ref="F137:F138"/>
    <mergeCell ref="G137:G138"/>
    <mergeCell ref="H144:H145"/>
    <mergeCell ref="I144:I145"/>
    <mergeCell ref="A144:A145"/>
    <mergeCell ref="B144:B145"/>
    <mergeCell ref="C144:C145"/>
    <mergeCell ref="D144:D145"/>
    <mergeCell ref="E144:E145"/>
    <mergeCell ref="F144:F145"/>
    <mergeCell ref="G144:G145"/>
    <mergeCell ref="H151:H152"/>
    <mergeCell ref="I151:I152"/>
    <mergeCell ref="A151:A152"/>
    <mergeCell ref="B151:B152"/>
    <mergeCell ref="C151:C152"/>
    <mergeCell ref="D151:D152"/>
    <mergeCell ref="E151:E152"/>
    <mergeCell ref="F151:F152"/>
    <mergeCell ref="G151:G152"/>
    <mergeCell ref="H156:H157"/>
    <mergeCell ref="I156:I157"/>
    <mergeCell ref="A156:A157"/>
    <mergeCell ref="B156:B157"/>
    <mergeCell ref="C156:C157"/>
    <mergeCell ref="D156:D157"/>
    <mergeCell ref="E156:E157"/>
    <mergeCell ref="F156:F157"/>
    <mergeCell ref="G156:G157"/>
    <mergeCell ref="H160:H161"/>
    <mergeCell ref="I160:I161"/>
    <mergeCell ref="A160:A161"/>
    <mergeCell ref="B160:B161"/>
    <mergeCell ref="C160:C161"/>
    <mergeCell ref="D160:D161"/>
    <mergeCell ref="E160:E161"/>
    <mergeCell ref="F160:F161"/>
    <mergeCell ref="G160:G161"/>
    <mergeCell ref="H167:H168"/>
    <mergeCell ref="I167:I168"/>
    <mergeCell ref="A167:A168"/>
    <mergeCell ref="B167:B168"/>
    <mergeCell ref="C167:C168"/>
    <mergeCell ref="D167:D168"/>
    <mergeCell ref="E167:E168"/>
    <mergeCell ref="F167:F168"/>
    <mergeCell ref="G167:G168"/>
    <mergeCell ref="H174:H175"/>
    <mergeCell ref="I174:I175"/>
    <mergeCell ref="A174:A175"/>
    <mergeCell ref="B174:B175"/>
    <mergeCell ref="C174:C175"/>
    <mergeCell ref="D174:D175"/>
    <mergeCell ref="E174:E175"/>
    <mergeCell ref="F174:F175"/>
    <mergeCell ref="G174:G175"/>
    <mergeCell ref="H181:H182"/>
    <mergeCell ref="I181:I182"/>
    <mergeCell ref="A181:A182"/>
    <mergeCell ref="B181:B182"/>
    <mergeCell ref="C181:C182"/>
    <mergeCell ref="D181:D182"/>
    <mergeCell ref="E181:E182"/>
    <mergeCell ref="F181:F182"/>
    <mergeCell ref="G181:G182"/>
    <mergeCell ref="H188:H189"/>
    <mergeCell ref="I188:I189"/>
    <mergeCell ref="A188:A189"/>
    <mergeCell ref="B188:B189"/>
    <mergeCell ref="C188:C189"/>
    <mergeCell ref="D188:D189"/>
    <mergeCell ref="E188:E189"/>
    <mergeCell ref="F188:F189"/>
    <mergeCell ref="G188:G189"/>
    <mergeCell ref="H195:H196"/>
    <mergeCell ref="I195:I196"/>
    <mergeCell ref="A195:A196"/>
    <mergeCell ref="B195:B196"/>
    <mergeCell ref="C195:C196"/>
    <mergeCell ref="D195:D196"/>
    <mergeCell ref="E195:E196"/>
    <mergeCell ref="F195:F196"/>
    <mergeCell ref="G195:G196"/>
    <mergeCell ref="H202:H203"/>
    <mergeCell ref="I202:I203"/>
    <mergeCell ref="A202:A203"/>
    <mergeCell ref="B202:B203"/>
    <mergeCell ref="C202:C203"/>
    <mergeCell ref="D202:D203"/>
    <mergeCell ref="E202:E203"/>
    <mergeCell ref="F202:F203"/>
    <mergeCell ref="G202:G203"/>
    <mergeCell ref="H209:H210"/>
    <mergeCell ref="I209:I210"/>
    <mergeCell ref="A209:A210"/>
    <mergeCell ref="B209:B210"/>
    <mergeCell ref="C209:C210"/>
    <mergeCell ref="D209:D210"/>
    <mergeCell ref="E209:E210"/>
    <mergeCell ref="F209:F210"/>
    <mergeCell ref="G209:G210"/>
    <mergeCell ref="H216:H217"/>
    <mergeCell ref="I216:I217"/>
    <mergeCell ref="A216:A217"/>
    <mergeCell ref="B216:B217"/>
    <mergeCell ref="C216:C217"/>
    <mergeCell ref="D216:D217"/>
    <mergeCell ref="E216:E217"/>
    <mergeCell ref="F216:F217"/>
    <mergeCell ref="G216:G217"/>
    <mergeCell ref="H223:H224"/>
    <mergeCell ref="I223:I224"/>
    <mergeCell ref="A223:A224"/>
    <mergeCell ref="B223:B224"/>
    <mergeCell ref="C223:C224"/>
    <mergeCell ref="D223:D224"/>
    <mergeCell ref="E223:E224"/>
    <mergeCell ref="F223:F224"/>
    <mergeCell ref="G223:G224"/>
    <mergeCell ref="H230:H231"/>
    <mergeCell ref="I230:I231"/>
    <mergeCell ref="A230:A231"/>
    <mergeCell ref="B230:B231"/>
    <mergeCell ref="C230:C231"/>
    <mergeCell ref="D230:D231"/>
    <mergeCell ref="E230:E231"/>
    <mergeCell ref="F230:F231"/>
    <mergeCell ref="G230:G231"/>
    <mergeCell ref="H237:H238"/>
    <mergeCell ref="I237:I238"/>
    <mergeCell ref="A237:A238"/>
    <mergeCell ref="B237:B238"/>
    <mergeCell ref="C237:C238"/>
    <mergeCell ref="D237:D238"/>
    <mergeCell ref="E237:E238"/>
    <mergeCell ref="F237:F238"/>
    <mergeCell ref="G237:G238"/>
    <mergeCell ref="H244:H245"/>
    <mergeCell ref="I244:I245"/>
    <mergeCell ref="A244:A245"/>
    <mergeCell ref="B244:B245"/>
    <mergeCell ref="C244:C245"/>
    <mergeCell ref="D244:D245"/>
    <mergeCell ref="E244:E245"/>
    <mergeCell ref="F244:F245"/>
    <mergeCell ref="G244:G245"/>
    <mergeCell ref="H251:H252"/>
    <mergeCell ref="I251:I252"/>
    <mergeCell ref="A251:A252"/>
    <mergeCell ref="B251:B252"/>
    <mergeCell ref="C251:C252"/>
    <mergeCell ref="D251:D252"/>
    <mergeCell ref="E251:E252"/>
    <mergeCell ref="F251:F252"/>
    <mergeCell ref="G251:G252"/>
    <mergeCell ref="H102:H103"/>
    <mergeCell ref="I102:I103"/>
    <mergeCell ref="L104:M104"/>
    <mergeCell ref="A102:A103"/>
    <mergeCell ref="B102:B103"/>
    <mergeCell ref="C102:C103"/>
    <mergeCell ref="D102:D103"/>
    <mergeCell ref="E102:E103"/>
    <mergeCell ref="F102:F103"/>
    <mergeCell ref="G102:G103"/>
    <mergeCell ref="H307:H308"/>
    <mergeCell ref="I307:I308"/>
    <mergeCell ref="A307:A308"/>
    <mergeCell ref="B307:B308"/>
    <mergeCell ref="C307:C308"/>
    <mergeCell ref="D307:D308"/>
    <mergeCell ref="E307:E308"/>
    <mergeCell ref="F307:F308"/>
    <mergeCell ref="G307:G308"/>
    <mergeCell ref="H81:H82"/>
    <mergeCell ref="I81:I82"/>
    <mergeCell ref="L86:M86"/>
    <mergeCell ref="A81:A82"/>
    <mergeCell ref="B81:B82"/>
    <mergeCell ref="C81:C82"/>
    <mergeCell ref="D81:D82"/>
    <mergeCell ref="E81:E82"/>
    <mergeCell ref="F81:F82"/>
    <mergeCell ref="G81:G82"/>
    <mergeCell ref="H88:H89"/>
    <mergeCell ref="I88:I89"/>
    <mergeCell ref="A88:A89"/>
    <mergeCell ref="B88:B89"/>
    <mergeCell ref="C88:C89"/>
    <mergeCell ref="D88:D89"/>
    <mergeCell ref="E88:E89"/>
    <mergeCell ref="F88:F89"/>
    <mergeCell ref="G88:G89"/>
    <mergeCell ref="H95:H96"/>
    <mergeCell ref="I95:I96"/>
    <mergeCell ref="L95:M95"/>
    <mergeCell ref="A95:A96"/>
    <mergeCell ref="B95:B96"/>
    <mergeCell ref="C95:C96"/>
    <mergeCell ref="D95:D96"/>
    <mergeCell ref="E95:E96"/>
    <mergeCell ref="F95:F96"/>
    <mergeCell ref="G95:G96"/>
    <mergeCell ref="H346:H347"/>
    <mergeCell ref="I346:I347"/>
    <mergeCell ref="A346:A347"/>
    <mergeCell ref="B346:B347"/>
    <mergeCell ref="C346:C347"/>
    <mergeCell ref="D346:D347"/>
    <mergeCell ref="E346:E347"/>
    <mergeCell ref="F346:F347"/>
    <mergeCell ref="G346:G347"/>
    <mergeCell ref="H367:H368"/>
    <mergeCell ref="I367:I368"/>
    <mergeCell ref="A367:A368"/>
    <mergeCell ref="B367:B368"/>
    <mergeCell ref="C367:C368"/>
    <mergeCell ref="D367:D368"/>
    <mergeCell ref="E367:E368"/>
    <mergeCell ref="F367:F368"/>
    <mergeCell ref="G367:G368"/>
    <mergeCell ref="H311:H312"/>
    <mergeCell ref="I311:I312"/>
    <mergeCell ref="I316:I317"/>
    <mergeCell ref="I323:I324"/>
    <mergeCell ref="I330:I331"/>
    <mergeCell ref="I337:I338"/>
    <mergeCell ref="I343:I344"/>
    <mergeCell ref="A311:A312"/>
    <mergeCell ref="B311:B312"/>
    <mergeCell ref="C311:C312"/>
    <mergeCell ref="D311:D312"/>
    <mergeCell ref="E311:E312"/>
    <mergeCell ref="F311:F312"/>
    <mergeCell ref="G311:G312"/>
    <mergeCell ref="H353:H354"/>
    <mergeCell ref="I353:I354"/>
    <mergeCell ref="A353:A354"/>
    <mergeCell ref="B353:B354"/>
    <mergeCell ref="C353:C354"/>
    <mergeCell ref="D353:D354"/>
    <mergeCell ref="E353:E354"/>
    <mergeCell ref="F353:F354"/>
    <mergeCell ref="G353:G354"/>
    <mergeCell ref="H360:H361"/>
    <mergeCell ref="I360:I361"/>
    <mergeCell ref="A360:A361"/>
    <mergeCell ref="B360:B361"/>
    <mergeCell ref="C360:C361"/>
    <mergeCell ref="D360:D361"/>
    <mergeCell ref="E360:E361"/>
    <mergeCell ref="F360:F361"/>
    <mergeCell ref="G360:G361"/>
    <mergeCell ref="B373:B374"/>
    <mergeCell ref="C373:C374"/>
    <mergeCell ref="D373:D374"/>
    <mergeCell ref="E373:E374"/>
    <mergeCell ref="F373:F374"/>
    <mergeCell ref="G373:G374"/>
    <mergeCell ref="H373:H374"/>
    <mergeCell ref="I373:I374"/>
    <mergeCell ref="H258:H259"/>
    <mergeCell ref="I258:I259"/>
    <mergeCell ref="A258:A259"/>
    <mergeCell ref="B258:B259"/>
    <mergeCell ref="C258:C259"/>
    <mergeCell ref="D258:D259"/>
    <mergeCell ref="E258:E259"/>
    <mergeCell ref="F258:F259"/>
    <mergeCell ref="G258:G259"/>
    <mergeCell ref="H265:H266"/>
    <mergeCell ref="I265:I266"/>
    <mergeCell ref="A265:A266"/>
    <mergeCell ref="B265:B266"/>
    <mergeCell ref="C265:C266"/>
    <mergeCell ref="D265:D266"/>
    <mergeCell ref="E265:E266"/>
    <mergeCell ref="F265:F266"/>
    <mergeCell ref="G265:G266"/>
    <mergeCell ref="H272:H273"/>
    <mergeCell ref="I272:I273"/>
    <mergeCell ref="A272:A273"/>
    <mergeCell ref="B272:B273"/>
    <mergeCell ref="C272:C273"/>
    <mergeCell ref="D272:D273"/>
    <mergeCell ref="E272:E273"/>
    <mergeCell ref="F272:F273"/>
    <mergeCell ref="G272:G273"/>
    <mergeCell ref="H279:H280"/>
    <mergeCell ref="I279:I280"/>
    <mergeCell ref="A279:A280"/>
    <mergeCell ref="B279:B280"/>
    <mergeCell ref="C279:C280"/>
    <mergeCell ref="D279:D280"/>
    <mergeCell ref="E279:E280"/>
    <mergeCell ref="F279:F280"/>
    <mergeCell ref="G279:G280"/>
    <mergeCell ref="H286:H287"/>
    <mergeCell ref="I286:I287"/>
    <mergeCell ref="A286:A287"/>
    <mergeCell ref="B286:B287"/>
    <mergeCell ref="C286:C287"/>
    <mergeCell ref="D286:D287"/>
    <mergeCell ref="E286:E287"/>
    <mergeCell ref="F286:F287"/>
    <mergeCell ref="G286:G287"/>
    <mergeCell ref="H293:H294"/>
    <mergeCell ref="I293:I294"/>
    <mergeCell ref="A293:A294"/>
    <mergeCell ref="B293:B294"/>
    <mergeCell ref="C293:C294"/>
    <mergeCell ref="D293:D294"/>
    <mergeCell ref="E293:E294"/>
    <mergeCell ref="F293:F294"/>
    <mergeCell ref="G293:G294"/>
    <mergeCell ref="H300:H301"/>
    <mergeCell ref="I300:I301"/>
    <mergeCell ref="A300:A301"/>
    <mergeCell ref="B300:B301"/>
    <mergeCell ref="C300:C301"/>
    <mergeCell ref="D300:D301"/>
    <mergeCell ref="E300:E301"/>
    <mergeCell ref="F300:F301"/>
    <mergeCell ref="G300:G301"/>
  </mergeCells>
  <printOptions/>
  <pageMargins bottom="0.75" footer="0.0" header="0.0" left="0.7" right="0.7" top="0.75"/>
  <pageSetup paperSize="9" orientation="portrait"/>
  <drawing r:id="rId1"/>
</worksheet>
</file>

<file path=xl/worksheets/sheet1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77933C"/>
    <pageSetUpPr/>
  </sheetPr>
  <sheetViews>
    <sheetView workbookViewId="0"/>
  </sheetViews>
  <sheetFormatPr customHeight="1" defaultColWidth="12.63" defaultRowHeight="15.0"/>
  <cols>
    <col customWidth="1" min="1" max="1" width="18.13"/>
    <col customWidth="1" min="2" max="10" width="10.63"/>
    <col customWidth="1" min="11" max="11" width="13.38"/>
    <col customWidth="1" min="12" max="13" width="10.63"/>
    <col customWidth="1" min="14" max="14" width="14.5"/>
    <col customWidth="1" min="15" max="26" width="10.63"/>
  </cols>
  <sheetData>
    <row r="1" ht="12.75" customHeight="1"/>
    <row r="2" ht="12.75" customHeight="1">
      <c r="A2" s="55" t="s">
        <v>61</v>
      </c>
      <c r="B2" s="55" t="s">
        <v>62</v>
      </c>
      <c r="C2" s="55" t="s">
        <v>63</v>
      </c>
      <c r="D2" s="55" t="s">
        <v>45</v>
      </c>
      <c r="E2" s="55" t="s">
        <v>46</v>
      </c>
      <c r="F2" s="55" t="s">
        <v>64</v>
      </c>
      <c r="G2" s="56" t="s">
        <v>65</v>
      </c>
      <c r="H2" s="55" t="s">
        <v>66</v>
      </c>
      <c r="I2" s="57" t="s">
        <v>67</v>
      </c>
    </row>
    <row r="3" ht="12.75" customHeight="1">
      <c r="A3" s="58">
        <v>43466.0</v>
      </c>
      <c r="B3" s="138"/>
      <c r="C3" s="138"/>
      <c r="D3" s="138"/>
      <c r="E3" s="138"/>
      <c r="F3" s="85">
        <f t="shared" ref="F3:F6" si="1">SUM(B3:E3)</f>
        <v>0</v>
      </c>
      <c r="G3" s="138"/>
      <c r="H3" s="138"/>
      <c r="I3" s="146"/>
    </row>
    <row r="4" ht="12.75" customHeight="1">
      <c r="A4" s="58">
        <f t="shared" ref="A4:A6" si="2">A3+1</f>
        <v>43467</v>
      </c>
      <c r="B4" s="138"/>
      <c r="C4" s="138"/>
      <c r="D4" s="138"/>
      <c r="E4" s="138"/>
      <c r="F4" s="85">
        <f t="shared" si="1"/>
        <v>0</v>
      </c>
      <c r="G4" s="138"/>
      <c r="H4" s="138"/>
      <c r="I4" s="146"/>
    </row>
    <row r="5" ht="12.75" customHeight="1">
      <c r="A5" s="58">
        <f t="shared" si="2"/>
        <v>43468</v>
      </c>
      <c r="B5" s="138"/>
      <c r="C5" s="138"/>
      <c r="D5" s="138"/>
      <c r="E5" s="138"/>
      <c r="F5" s="85">
        <f t="shared" si="1"/>
        <v>0</v>
      </c>
      <c r="G5" s="138"/>
      <c r="H5" s="138"/>
      <c r="I5" s="146"/>
    </row>
    <row r="6" ht="12.75" customHeight="1">
      <c r="A6" s="58">
        <f t="shared" si="2"/>
        <v>43469</v>
      </c>
      <c r="B6" s="138"/>
      <c r="C6" s="138"/>
      <c r="D6" s="138"/>
      <c r="E6" s="138"/>
      <c r="F6" s="85">
        <f t="shared" si="1"/>
        <v>0</v>
      </c>
      <c r="G6" s="138"/>
      <c r="H6" s="138"/>
      <c r="I6" s="146"/>
    </row>
    <row r="7" ht="12.75" customHeight="1">
      <c r="A7" s="67" t="s">
        <v>87</v>
      </c>
      <c r="B7" s="68">
        <f t="shared" ref="B7:I7" si="3">SUM(B3:B6)</f>
        <v>0</v>
      </c>
      <c r="C7" s="68">
        <f t="shared" si="3"/>
        <v>0</v>
      </c>
      <c r="D7" s="68">
        <f t="shared" si="3"/>
        <v>0</v>
      </c>
      <c r="E7" s="68">
        <f t="shared" si="3"/>
        <v>0</v>
      </c>
      <c r="F7" s="69">
        <f t="shared" si="3"/>
        <v>0</v>
      </c>
      <c r="G7" s="70">
        <f t="shared" si="3"/>
        <v>0</v>
      </c>
      <c r="H7" s="70">
        <f t="shared" si="3"/>
        <v>0</v>
      </c>
      <c r="I7" s="71">
        <f t="shared" si="3"/>
        <v>0</v>
      </c>
    </row>
    <row r="8" ht="12.75" customHeight="1">
      <c r="A8" s="74"/>
      <c r="B8" s="75"/>
      <c r="C8" s="75"/>
      <c r="D8" s="75"/>
      <c r="E8" s="75"/>
      <c r="F8" s="76"/>
      <c r="G8" s="76"/>
      <c r="H8" s="76"/>
      <c r="I8" s="77"/>
    </row>
    <row r="9" ht="12.75" customHeight="1">
      <c r="A9" s="80">
        <v>43472.0</v>
      </c>
      <c r="B9" s="59">
        <v>390.0</v>
      </c>
      <c r="C9" s="59">
        <v>164.04</v>
      </c>
      <c r="D9" s="59">
        <v>1130.0</v>
      </c>
      <c r="E9" s="59">
        <v>250.0</v>
      </c>
      <c r="F9" s="60">
        <f t="shared" ref="F9:F13" si="4">SUM(B9:E9)</f>
        <v>1934.04</v>
      </c>
      <c r="G9" s="59">
        <v>32.0</v>
      </c>
      <c r="H9" s="59">
        <v>4.0</v>
      </c>
      <c r="I9" s="61">
        <v>250.0</v>
      </c>
      <c r="K9" s="63" t="s">
        <v>91</v>
      </c>
    </row>
    <row r="10" ht="12.75" customHeight="1">
      <c r="A10" s="58">
        <f t="shared" ref="A10:A13" si="5">A9+1</f>
        <v>43473</v>
      </c>
      <c r="B10" s="59">
        <v>100.0</v>
      </c>
      <c r="C10" s="59">
        <v>104.99</v>
      </c>
      <c r="D10" s="59">
        <v>1040.0</v>
      </c>
      <c r="E10" s="59">
        <v>100.0</v>
      </c>
      <c r="F10" s="60">
        <f t="shared" si="4"/>
        <v>1344.99</v>
      </c>
      <c r="G10" s="59">
        <v>23.0</v>
      </c>
      <c r="H10" s="59">
        <v>2.0</v>
      </c>
      <c r="I10" s="61">
        <v>100.0</v>
      </c>
      <c r="K10" s="63"/>
    </row>
    <row r="11" ht="12.75" customHeight="1">
      <c r="A11" s="58">
        <f t="shared" si="5"/>
        <v>43474</v>
      </c>
      <c r="B11" s="59">
        <v>100.0</v>
      </c>
      <c r="C11" s="59">
        <v>97.36</v>
      </c>
      <c r="D11" s="59">
        <v>1050.0</v>
      </c>
      <c r="E11" s="59">
        <v>182.2</v>
      </c>
      <c r="F11" s="60">
        <f t="shared" si="4"/>
        <v>1429.56</v>
      </c>
      <c r="G11" s="59">
        <v>27.0</v>
      </c>
      <c r="H11" s="59">
        <v>3.0</v>
      </c>
      <c r="I11" s="61">
        <v>180.0</v>
      </c>
      <c r="L11" s="65">
        <f>L12+M12</f>
        <v>96</v>
      </c>
    </row>
    <row r="12" ht="12.75" customHeight="1">
      <c r="A12" s="58">
        <f t="shared" si="5"/>
        <v>43475</v>
      </c>
      <c r="B12" s="59">
        <v>0.0</v>
      </c>
      <c r="C12" s="59">
        <v>185.25</v>
      </c>
      <c r="D12" s="59">
        <v>507.44</v>
      </c>
      <c r="E12" s="59">
        <v>50.0</v>
      </c>
      <c r="F12" s="60">
        <f t="shared" si="4"/>
        <v>742.69</v>
      </c>
      <c r="G12" s="59">
        <v>11.0</v>
      </c>
      <c r="H12" s="59">
        <v>3.0</v>
      </c>
      <c r="I12" s="61">
        <v>50.0</v>
      </c>
      <c r="K12" s="64"/>
      <c r="L12" s="72">
        <f t="shared" ref="L12:N12" si="6">SUM(L14:L18)</f>
        <v>94</v>
      </c>
      <c r="M12" s="72">
        <f t="shared" si="6"/>
        <v>2</v>
      </c>
      <c r="N12" s="73">
        <f t="shared" si="6"/>
        <v>8603.64</v>
      </c>
    </row>
    <row r="13" ht="12.75" customHeight="1">
      <c r="A13" s="58">
        <f t="shared" si="5"/>
        <v>43476</v>
      </c>
      <c r="B13" s="138"/>
      <c r="C13" s="138"/>
      <c r="D13" s="138"/>
      <c r="E13" s="138"/>
      <c r="F13" s="85">
        <f t="shared" si="4"/>
        <v>0</v>
      </c>
      <c r="G13" s="138"/>
      <c r="H13" s="138"/>
      <c r="I13" s="146"/>
      <c r="K13" s="95" t="s">
        <v>194</v>
      </c>
      <c r="L13" s="79">
        <v>90.0</v>
      </c>
      <c r="M13" s="79">
        <v>71.82</v>
      </c>
      <c r="N13" s="66"/>
    </row>
    <row r="14" ht="12.75" customHeight="1">
      <c r="A14" s="67"/>
      <c r="B14" s="68">
        <f t="shared" ref="B14:I14" si="7">SUM(B9:B13)</f>
        <v>590</v>
      </c>
      <c r="C14" s="68">
        <f t="shared" si="7"/>
        <v>551.64</v>
      </c>
      <c r="D14" s="68">
        <f t="shared" si="7"/>
        <v>3727.44</v>
      </c>
      <c r="E14" s="68">
        <f t="shared" si="7"/>
        <v>582.2</v>
      </c>
      <c r="F14" s="69">
        <f t="shared" si="7"/>
        <v>5451.28</v>
      </c>
      <c r="G14" s="70">
        <f t="shared" si="7"/>
        <v>93</v>
      </c>
      <c r="H14" s="70">
        <f t="shared" si="7"/>
        <v>12</v>
      </c>
      <c r="I14" s="71">
        <f t="shared" si="7"/>
        <v>580</v>
      </c>
      <c r="K14" s="81" t="s">
        <v>70</v>
      </c>
      <c r="L14" s="81">
        <v>18.0</v>
      </c>
      <c r="M14" s="81"/>
      <c r="N14" s="82">
        <f t="shared" ref="N14:N18" si="8">L14*$L$13+M14*$M$13</f>
        <v>1620</v>
      </c>
    </row>
    <row r="15" ht="12.75" customHeight="1">
      <c r="A15" s="74"/>
      <c r="B15" s="75"/>
      <c r="C15" s="75"/>
      <c r="D15" s="75"/>
      <c r="E15" s="75"/>
      <c r="F15" s="76"/>
      <c r="G15" s="76"/>
      <c r="H15" s="76"/>
      <c r="I15" s="77"/>
      <c r="K15" s="81" t="s">
        <v>71</v>
      </c>
      <c r="L15" s="81">
        <v>29.0</v>
      </c>
      <c r="M15" s="81">
        <v>1.0</v>
      </c>
      <c r="N15" s="82">
        <f t="shared" si="8"/>
        <v>2681.82</v>
      </c>
    </row>
    <row r="16" ht="12.75" customHeight="1">
      <c r="A16" s="58">
        <f>A13+3</f>
        <v>43479</v>
      </c>
      <c r="B16" s="59">
        <v>180.0</v>
      </c>
      <c r="C16" s="59">
        <v>121.98</v>
      </c>
      <c r="D16" s="59">
        <v>830.0</v>
      </c>
      <c r="E16" s="59">
        <v>310.0</v>
      </c>
      <c r="F16" s="60">
        <f t="shared" ref="F16:F20" si="9">SUM(B16:E16)</f>
        <v>1441.98</v>
      </c>
      <c r="G16" s="59">
        <v>25.0</v>
      </c>
      <c r="H16" s="59">
        <v>3.0</v>
      </c>
      <c r="I16" s="61">
        <v>310.0</v>
      </c>
      <c r="K16" s="81" t="s">
        <v>72</v>
      </c>
      <c r="L16" s="81">
        <v>29.0</v>
      </c>
      <c r="M16" s="81"/>
      <c r="N16" s="82">
        <f t="shared" si="8"/>
        <v>2610</v>
      </c>
    </row>
    <row r="17" ht="12.75" customHeight="1">
      <c r="A17" s="58">
        <f t="shared" ref="A17:A20" si="10">A16+1</f>
        <v>43480</v>
      </c>
      <c r="B17" s="81">
        <v>100.0</v>
      </c>
      <c r="C17" s="81">
        <v>0.0</v>
      </c>
      <c r="D17" s="81">
        <v>870.0</v>
      </c>
      <c r="E17" s="81">
        <v>235.0</v>
      </c>
      <c r="F17" s="60">
        <f t="shared" si="9"/>
        <v>1205</v>
      </c>
      <c r="G17" s="81">
        <v>21.0</v>
      </c>
      <c r="H17" s="81">
        <v>0.0</v>
      </c>
      <c r="I17" s="83">
        <v>210.0</v>
      </c>
      <c r="K17" s="81" t="s">
        <v>73</v>
      </c>
      <c r="L17" s="81">
        <v>18.0</v>
      </c>
      <c r="M17" s="81">
        <v>1.0</v>
      </c>
      <c r="N17" s="82">
        <f t="shared" si="8"/>
        <v>1691.82</v>
      </c>
    </row>
    <row r="18" ht="12.75" customHeight="1">
      <c r="A18" s="58">
        <f t="shared" si="10"/>
        <v>43481</v>
      </c>
      <c r="B18" s="81">
        <v>100.0</v>
      </c>
      <c r="C18" s="81">
        <v>116.7</v>
      </c>
      <c r="D18" s="81">
        <v>830.0</v>
      </c>
      <c r="E18" s="81">
        <v>50.0</v>
      </c>
      <c r="F18" s="60">
        <f t="shared" si="9"/>
        <v>1096.7</v>
      </c>
      <c r="G18" s="81">
        <v>19.0</v>
      </c>
      <c r="H18" s="81">
        <v>3.0</v>
      </c>
      <c r="I18" s="83">
        <v>60.0</v>
      </c>
      <c r="K18" s="81" t="s">
        <v>74</v>
      </c>
      <c r="L18" s="81"/>
      <c r="M18" s="81"/>
      <c r="N18" s="82">
        <f t="shared" si="8"/>
        <v>0</v>
      </c>
    </row>
    <row r="19" ht="12.75" customHeight="1">
      <c r="A19" s="58">
        <f t="shared" si="10"/>
        <v>43482</v>
      </c>
      <c r="B19" s="81">
        <v>390.0</v>
      </c>
      <c r="C19" s="81">
        <v>305.99</v>
      </c>
      <c r="D19" s="81">
        <v>1360.0</v>
      </c>
      <c r="E19" s="81">
        <v>160.0</v>
      </c>
      <c r="F19" s="60">
        <f t="shared" si="9"/>
        <v>2215.99</v>
      </c>
      <c r="G19" s="81">
        <v>36.0</v>
      </c>
      <c r="H19" s="81">
        <v>7.0</v>
      </c>
      <c r="I19" s="83">
        <v>170.0</v>
      </c>
    </row>
    <row r="20" ht="12.75" customHeight="1">
      <c r="A20" s="58">
        <f t="shared" si="10"/>
        <v>43483</v>
      </c>
      <c r="B20" s="81">
        <v>50.0</v>
      </c>
      <c r="C20" s="81">
        <v>153.41</v>
      </c>
      <c r="D20" s="81">
        <v>1080.0</v>
      </c>
      <c r="E20" s="81">
        <v>210.0</v>
      </c>
      <c r="F20" s="60">
        <f t="shared" si="9"/>
        <v>1493.41</v>
      </c>
      <c r="G20" s="81">
        <v>23.0</v>
      </c>
      <c r="H20" s="81">
        <v>3.0</v>
      </c>
      <c r="I20" s="83">
        <v>200.0</v>
      </c>
      <c r="L20" s="65">
        <v>60.0</v>
      </c>
    </row>
    <row r="21" ht="12.75" customHeight="1">
      <c r="A21" s="67"/>
      <c r="B21" s="68">
        <f t="shared" ref="B21:I21" si="11">SUM(B16:B20)</f>
        <v>820</v>
      </c>
      <c r="C21" s="68">
        <f t="shared" si="11"/>
        <v>698.08</v>
      </c>
      <c r="D21" s="68">
        <f t="shared" si="11"/>
        <v>4970</v>
      </c>
      <c r="E21" s="68">
        <f t="shared" si="11"/>
        <v>965</v>
      </c>
      <c r="F21" s="68">
        <f t="shared" si="11"/>
        <v>7453.08</v>
      </c>
      <c r="G21" s="70">
        <f t="shared" si="11"/>
        <v>124</v>
      </c>
      <c r="H21" s="70">
        <f t="shared" si="11"/>
        <v>16</v>
      </c>
      <c r="I21" s="71">
        <f t="shared" si="11"/>
        <v>950</v>
      </c>
      <c r="K21" s="64"/>
      <c r="L21" s="72" t="str">
        <f t="shared" ref="L21:N21" si="12">SUM(L20:L26)</f>
        <v>#REF!</v>
      </c>
      <c r="M21" s="72" t="str">
        <f t="shared" si="12"/>
        <v>#REF!</v>
      </c>
      <c r="N21" s="73" t="str">
        <f t="shared" si="12"/>
        <v>#REF!</v>
      </c>
    </row>
    <row r="22" ht="12.75" customHeight="1">
      <c r="A22" s="74"/>
      <c r="B22" s="92"/>
      <c r="C22" s="92"/>
      <c r="D22" s="92"/>
      <c r="E22" s="92"/>
      <c r="F22" s="75"/>
      <c r="G22" s="93"/>
      <c r="H22" s="93"/>
      <c r="I22" s="77"/>
      <c r="K22" s="95" t="s">
        <v>75</v>
      </c>
      <c r="L22" s="79">
        <v>90.0</v>
      </c>
      <c r="M22" s="79">
        <v>70.69</v>
      </c>
      <c r="N22" s="66"/>
    </row>
    <row r="23" ht="12.75" customHeight="1">
      <c r="A23" s="58">
        <f>A20+3</f>
        <v>43486</v>
      </c>
      <c r="B23" s="81">
        <v>400.0</v>
      </c>
      <c r="C23" s="81">
        <v>81.32</v>
      </c>
      <c r="D23" s="81">
        <v>1070.0</v>
      </c>
      <c r="E23" s="81">
        <v>640.0</v>
      </c>
      <c r="F23" s="60">
        <f t="shared" ref="F23:F27" si="13">SUM(B23:E23)</f>
        <v>2191.32</v>
      </c>
      <c r="G23" s="81">
        <v>37.0</v>
      </c>
      <c r="H23" s="81">
        <v>2.0</v>
      </c>
      <c r="I23" s="81">
        <v>640.0</v>
      </c>
      <c r="K23" s="81" t="s">
        <v>70</v>
      </c>
      <c r="L23" s="81">
        <v>20.0</v>
      </c>
      <c r="M23" s="81"/>
      <c r="N23" s="82">
        <f t="shared" ref="N23:N26" si="14">L23*$D$54+M23*$E$54</f>
        <v>17400</v>
      </c>
    </row>
    <row r="24" ht="12.75" customHeight="1">
      <c r="A24" s="58">
        <f t="shared" ref="A24:A27" si="15">A23+1</f>
        <v>43487</v>
      </c>
      <c r="B24" s="59">
        <v>240.0</v>
      </c>
      <c r="C24" s="59">
        <v>326.68</v>
      </c>
      <c r="D24" s="59">
        <v>340.0</v>
      </c>
      <c r="E24" s="59">
        <v>90.0</v>
      </c>
      <c r="F24" s="60">
        <f t="shared" si="13"/>
        <v>996.68</v>
      </c>
      <c r="G24" s="59">
        <v>19.0</v>
      </c>
      <c r="H24" s="59">
        <v>8.0</v>
      </c>
      <c r="I24" s="61">
        <v>90.0</v>
      </c>
      <c r="K24" s="81" t="s">
        <v>71</v>
      </c>
      <c r="L24" s="81">
        <v>14.0</v>
      </c>
      <c r="M24" s="81"/>
      <c r="N24" s="82">
        <f t="shared" si="14"/>
        <v>12180</v>
      </c>
    </row>
    <row r="25" ht="12.75" customHeight="1">
      <c r="A25" s="58">
        <f t="shared" si="15"/>
        <v>43488</v>
      </c>
      <c r="B25" s="81">
        <v>450.0</v>
      </c>
      <c r="C25" s="81">
        <v>155.6</v>
      </c>
      <c r="D25" s="81">
        <v>620.0</v>
      </c>
      <c r="E25" s="81">
        <v>100.0</v>
      </c>
      <c r="F25" s="60">
        <f t="shared" si="13"/>
        <v>1325.6</v>
      </c>
      <c r="G25" s="81">
        <v>23.0</v>
      </c>
      <c r="H25" s="81">
        <v>4.0</v>
      </c>
      <c r="I25" s="83">
        <v>100.0</v>
      </c>
      <c r="K25" s="81" t="s">
        <v>72</v>
      </c>
      <c r="L25" s="81">
        <v>18.0</v>
      </c>
      <c r="M25" s="81">
        <v>3.0</v>
      </c>
      <c r="N25" s="82">
        <f t="shared" si="14"/>
        <v>15960</v>
      </c>
    </row>
    <row r="26" ht="12.75" customHeight="1">
      <c r="A26" s="58">
        <f t="shared" si="15"/>
        <v>43489</v>
      </c>
      <c r="B26" s="81">
        <v>390.0</v>
      </c>
      <c r="C26" s="81">
        <v>206.1</v>
      </c>
      <c r="D26" s="81">
        <v>1340.0</v>
      </c>
      <c r="E26" s="81">
        <v>200.0</v>
      </c>
      <c r="F26" s="60">
        <f t="shared" si="13"/>
        <v>2136.1</v>
      </c>
      <c r="G26" s="81">
        <v>34.0</v>
      </c>
      <c r="H26" s="81">
        <v>5.0</v>
      </c>
      <c r="I26" s="83">
        <v>200.0</v>
      </c>
      <c r="K26" s="81" t="s">
        <v>73</v>
      </c>
      <c r="L26" s="81">
        <v>4.0</v>
      </c>
      <c r="M26" s="81">
        <v>1.0</v>
      </c>
      <c r="N26" s="82">
        <f t="shared" si="14"/>
        <v>3580</v>
      </c>
    </row>
    <row r="27" ht="12.75" customHeight="1">
      <c r="A27" s="58">
        <f t="shared" si="15"/>
        <v>43490</v>
      </c>
      <c r="B27" s="81">
        <v>540.0</v>
      </c>
      <c r="C27" s="81">
        <v>123.38</v>
      </c>
      <c r="D27" s="81">
        <v>820.0</v>
      </c>
      <c r="E27" s="81">
        <v>240.0</v>
      </c>
      <c r="F27" s="60">
        <f t="shared" si="13"/>
        <v>1723.38</v>
      </c>
      <c r="G27" s="81">
        <v>27.0</v>
      </c>
      <c r="H27" s="81">
        <v>3.0</v>
      </c>
      <c r="I27" s="83">
        <v>230.0</v>
      </c>
    </row>
    <row r="28" ht="12.75" customHeight="1">
      <c r="A28" s="67"/>
      <c r="B28" s="68">
        <f t="shared" ref="B28:I28" si="16">SUM(B23:B27)</f>
        <v>2020</v>
      </c>
      <c r="C28" s="68">
        <f t="shared" si="16"/>
        <v>893.08</v>
      </c>
      <c r="D28" s="68">
        <f t="shared" si="16"/>
        <v>4190</v>
      </c>
      <c r="E28" s="68">
        <f t="shared" si="16"/>
        <v>1270</v>
      </c>
      <c r="F28" s="68">
        <f t="shared" si="16"/>
        <v>8373.08</v>
      </c>
      <c r="G28" s="70">
        <f t="shared" si="16"/>
        <v>140</v>
      </c>
      <c r="H28" s="70">
        <f t="shared" si="16"/>
        <v>22</v>
      </c>
      <c r="I28" s="68">
        <f t="shared" si="16"/>
        <v>1260</v>
      </c>
      <c r="L28" s="65">
        <f>L29+M29</f>
        <v>72</v>
      </c>
    </row>
    <row r="29" ht="12.75" customHeight="1">
      <c r="A29" s="74"/>
      <c r="B29" s="75"/>
      <c r="C29" s="75"/>
      <c r="D29" s="75"/>
      <c r="E29" s="75"/>
      <c r="F29" s="75"/>
      <c r="G29" s="76"/>
      <c r="H29" s="76"/>
      <c r="I29" s="75"/>
      <c r="K29" s="66"/>
      <c r="L29" s="72">
        <f t="shared" ref="L29:N29" si="17">SUM(L31:L35)</f>
        <v>65</v>
      </c>
      <c r="M29" s="72">
        <f t="shared" si="17"/>
        <v>7</v>
      </c>
      <c r="N29" s="73">
        <f t="shared" si="17"/>
        <v>6344.83</v>
      </c>
    </row>
    <row r="30" ht="12.75" customHeight="1">
      <c r="A30" s="58">
        <f>A27+3</f>
        <v>43493</v>
      </c>
      <c r="B30" s="81">
        <v>190.0</v>
      </c>
      <c r="C30" s="81">
        <v>121.98</v>
      </c>
      <c r="D30" s="81">
        <v>870.0</v>
      </c>
      <c r="E30" s="81">
        <v>90.0</v>
      </c>
      <c r="F30" s="60">
        <f t="shared" ref="F30:F34" si="18">SUM(B30:E30)</f>
        <v>1271.98</v>
      </c>
      <c r="G30" s="81">
        <v>22.0</v>
      </c>
      <c r="H30" s="81">
        <v>3.0</v>
      </c>
      <c r="I30" s="83">
        <v>100.0</v>
      </c>
      <c r="K30" s="95" t="s">
        <v>76</v>
      </c>
      <c r="L30" s="96">
        <v>90.0</v>
      </c>
      <c r="M30" s="96">
        <v>70.69</v>
      </c>
      <c r="N30" s="66"/>
    </row>
    <row r="31" ht="12.75" customHeight="1">
      <c r="A31" s="58">
        <f t="shared" ref="A31:A34" si="19">A30+1</f>
        <v>43494</v>
      </c>
      <c r="B31" s="81">
        <v>340.0</v>
      </c>
      <c r="C31" s="81">
        <v>273.99</v>
      </c>
      <c r="D31" s="81">
        <v>1050.0</v>
      </c>
      <c r="E31" s="81">
        <v>0.0</v>
      </c>
      <c r="F31" s="60">
        <f t="shared" si="18"/>
        <v>1663.99</v>
      </c>
      <c r="G31" s="81">
        <v>27.0</v>
      </c>
      <c r="H31" s="81">
        <v>6.0</v>
      </c>
      <c r="I31" s="83">
        <v>0.0</v>
      </c>
      <c r="K31" s="81" t="s">
        <v>70</v>
      </c>
      <c r="L31" s="81">
        <v>4.0</v>
      </c>
      <c r="M31" s="81"/>
      <c r="N31" s="82">
        <f t="shared" ref="N31:N35" si="20">L31*$L$30+M31*$M$30</f>
        <v>360</v>
      </c>
    </row>
    <row r="32" ht="12.75" customHeight="1">
      <c r="A32" s="58">
        <f t="shared" si="19"/>
        <v>43495</v>
      </c>
      <c r="B32" s="81">
        <v>190.0</v>
      </c>
      <c r="C32" s="81">
        <v>142.29</v>
      </c>
      <c r="D32" s="81">
        <v>826.47</v>
      </c>
      <c r="E32" s="81">
        <v>120.0</v>
      </c>
      <c r="F32" s="60">
        <f t="shared" si="18"/>
        <v>1278.76</v>
      </c>
      <c r="G32" s="81">
        <v>22.0</v>
      </c>
      <c r="H32" s="81">
        <v>5.0</v>
      </c>
      <c r="I32" s="83">
        <v>120.0</v>
      </c>
      <c r="K32" s="81" t="s">
        <v>71</v>
      </c>
      <c r="L32" s="81">
        <v>29.0</v>
      </c>
      <c r="M32" s="81">
        <v>4.0</v>
      </c>
      <c r="N32" s="82">
        <f t="shared" si="20"/>
        <v>2892.76</v>
      </c>
    </row>
    <row r="33" ht="12.75" customHeight="1">
      <c r="A33" s="58">
        <f t="shared" si="19"/>
        <v>43496</v>
      </c>
      <c r="B33" s="81">
        <v>300.0</v>
      </c>
      <c r="C33" s="81">
        <v>243.96</v>
      </c>
      <c r="D33" s="81">
        <v>1110.0</v>
      </c>
      <c r="E33" s="81">
        <v>140.0</v>
      </c>
      <c r="F33" s="60">
        <f t="shared" si="18"/>
        <v>1793.96</v>
      </c>
      <c r="G33" s="81">
        <v>32.0</v>
      </c>
      <c r="H33" s="81">
        <v>6.0</v>
      </c>
      <c r="I33" s="83">
        <v>140.0</v>
      </c>
      <c r="K33" s="81" t="s">
        <v>72</v>
      </c>
      <c r="L33" s="81"/>
      <c r="M33" s="81"/>
      <c r="N33" s="82">
        <f t="shared" si="20"/>
        <v>0</v>
      </c>
    </row>
    <row r="34" ht="12.75" customHeight="1">
      <c r="A34" s="58">
        <f t="shared" si="19"/>
        <v>43497</v>
      </c>
      <c r="B34" s="138"/>
      <c r="C34" s="138"/>
      <c r="D34" s="138"/>
      <c r="E34" s="138"/>
      <c r="F34" s="85">
        <f t="shared" si="18"/>
        <v>0</v>
      </c>
      <c r="G34" s="138"/>
      <c r="H34" s="138"/>
      <c r="I34" s="146"/>
      <c r="K34" s="81" t="s">
        <v>73</v>
      </c>
      <c r="L34" s="81">
        <v>19.0</v>
      </c>
      <c r="M34" s="81">
        <v>1.0</v>
      </c>
      <c r="N34" s="82">
        <f t="shared" si="20"/>
        <v>1780.69</v>
      </c>
    </row>
    <row r="35" ht="12.75" customHeight="1">
      <c r="A35" s="67"/>
      <c r="B35" s="68">
        <f t="shared" ref="B35:I35" si="21">SUM(B30:B33)</f>
        <v>1020</v>
      </c>
      <c r="C35" s="68">
        <f t="shared" si="21"/>
        <v>782.22</v>
      </c>
      <c r="D35" s="68">
        <f t="shared" si="21"/>
        <v>3856.47</v>
      </c>
      <c r="E35" s="68">
        <f t="shared" si="21"/>
        <v>350</v>
      </c>
      <c r="F35" s="68">
        <f t="shared" si="21"/>
        <v>6008.69</v>
      </c>
      <c r="G35" s="70">
        <f t="shared" si="21"/>
        <v>103</v>
      </c>
      <c r="H35" s="70">
        <f t="shared" si="21"/>
        <v>20</v>
      </c>
      <c r="I35" s="91">
        <f t="shared" si="21"/>
        <v>360</v>
      </c>
      <c r="K35" s="81" t="s">
        <v>74</v>
      </c>
      <c r="L35" s="81">
        <v>13.0</v>
      </c>
      <c r="M35" s="81">
        <v>2.0</v>
      </c>
      <c r="N35" s="82">
        <f t="shared" si="20"/>
        <v>1311.38</v>
      </c>
    </row>
    <row r="36" ht="12.75" customHeight="1">
      <c r="A36" s="74"/>
      <c r="B36" s="75"/>
      <c r="C36" s="75"/>
      <c r="D36" s="75"/>
      <c r="E36" s="75"/>
      <c r="F36" s="75"/>
      <c r="G36" s="76"/>
      <c r="H36" s="76"/>
      <c r="I36" s="74"/>
    </row>
    <row r="37" ht="12.75" customHeight="1">
      <c r="A37" s="58">
        <v>43500.0</v>
      </c>
      <c r="B37" s="59">
        <v>310.0</v>
      </c>
      <c r="C37" s="59">
        <v>164.04</v>
      </c>
      <c r="D37" s="59">
        <v>1460.0</v>
      </c>
      <c r="E37" s="59">
        <v>190.0</v>
      </c>
      <c r="F37" s="60">
        <f t="shared" ref="F37:F41" si="22">SUM(B37:E37)</f>
        <v>2124.04</v>
      </c>
      <c r="G37" s="59">
        <v>36.0</v>
      </c>
      <c r="H37" s="59">
        <v>4.0</v>
      </c>
      <c r="I37" s="61">
        <v>190.0</v>
      </c>
      <c r="L37" s="65">
        <f>L38+M38</f>
        <v>106</v>
      </c>
    </row>
    <row r="38" ht="12.75" customHeight="1">
      <c r="A38" s="58">
        <f t="shared" ref="A38:A41" si="24">A37+1</f>
        <v>43501</v>
      </c>
      <c r="B38" s="81">
        <v>120.0</v>
      </c>
      <c r="C38" s="81">
        <v>203.3</v>
      </c>
      <c r="D38" s="81">
        <v>690.0</v>
      </c>
      <c r="E38" s="81">
        <v>90.0</v>
      </c>
      <c r="F38" s="60">
        <f t="shared" si="22"/>
        <v>1103.3</v>
      </c>
      <c r="G38" s="81">
        <v>21.0</v>
      </c>
      <c r="H38" s="81">
        <v>5.0</v>
      </c>
      <c r="I38" s="83">
        <v>90.0</v>
      </c>
      <c r="K38" s="66"/>
      <c r="L38" s="72">
        <f t="shared" ref="L38:N38" si="23">SUM(L40:L44)</f>
        <v>85</v>
      </c>
      <c r="M38" s="72">
        <f t="shared" si="23"/>
        <v>21</v>
      </c>
      <c r="N38" s="73">
        <f t="shared" si="23"/>
        <v>9158.22</v>
      </c>
    </row>
    <row r="39" ht="12.75" customHeight="1">
      <c r="A39" s="58">
        <f t="shared" si="24"/>
        <v>43502</v>
      </c>
      <c r="B39" s="81">
        <v>50.0</v>
      </c>
      <c r="C39" s="81">
        <v>335.36</v>
      </c>
      <c r="D39" s="81">
        <v>669.0</v>
      </c>
      <c r="E39" s="81">
        <v>100.0</v>
      </c>
      <c r="F39" s="60">
        <f t="shared" si="22"/>
        <v>1154.36</v>
      </c>
      <c r="G39" s="81">
        <v>25.0</v>
      </c>
      <c r="H39" s="81">
        <v>9.0</v>
      </c>
      <c r="I39" s="83">
        <v>100.0</v>
      </c>
      <c r="K39" s="95" t="s">
        <v>77</v>
      </c>
      <c r="L39" s="96">
        <v>90.0</v>
      </c>
      <c r="M39" s="96">
        <v>71.82</v>
      </c>
      <c r="N39" s="66"/>
    </row>
    <row r="40" ht="12.75" customHeight="1">
      <c r="A40" s="58">
        <f t="shared" si="24"/>
        <v>43503</v>
      </c>
      <c r="B40" s="81">
        <v>380.0</v>
      </c>
      <c r="C40" s="81">
        <v>415.45</v>
      </c>
      <c r="D40" s="81">
        <v>1178.84</v>
      </c>
      <c r="E40" s="81">
        <v>150.0</v>
      </c>
      <c r="F40" s="60">
        <f t="shared" si="22"/>
        <v>2124.29</v>
      </c>
      <c r="G40" s="81">
        <v>38.0</v>
      </c>
      <c r="H40" s="81">
        <v>8.0</v>
      </c>
      <c r="I40" s="83">
        <v>150.0</v>
      </c>
      <c r="K40" s="81" t="s">
        <v>70</v>
      </c>
      <c r="L40" s="81">
        <v>21.0</v>
      </c>
      <c r="M40" s="81">
        <v>8.0</v>
      </c>
      <c r="N40" s="82">
        <f t="shared" ref="N40:N44" si="25">L40*$L$39+M40*$M$39</f>
        <v>2464.56</v>
      </c>
    </row>
    <row r="41" ht="12.75" customHeight="1">
      <c r="A41" s="58">
        <f t="shared" si="24"/>
        <v>43504</v>
      </c>
      <c r="B41" s="81">
        <v>100.0</v>
      </c>
      <c r="C41" s="81">
        <v>178.52</v>
      </c>
      <c r="D41" s="81">
        <v>1060.0</v>
      </c>
      <c r="E41" s="81">
        <v>0.0</v>
      </c>
      <c r="F41" s="60">
        <f t="shared" si="22"/>
        <v>1338.52</v>
      </c>
      <c r="G41" s="81">
        <v>23.0</v>
      </c>
      <c r="H41" s="81">
        <v>4.0</v>
      </c>
      <c r="I41" s="83">
        <v>0.0</v>
      </c>
      <c r="K41" s="81" t="s">
        <v>71</v>
      </c>
      <c r="L41" s="81">
        <v>24.0</v>
      </c>
      <c r="M41" s="81">
        <v>4.0</v>
      </c>
      <c r="N41" s="82">
        <f t="shared" si="25"/>
        <v>2447.28</v>
      </c>
    </row>
    <row r="42" ht="12.75" customHeight="1">
      <c r="A42" s="67"/>
      <c r="B42" s="68">
        <f t="shared" ref="B42:I42" si="26">SUM(B37:B41)</f>
        <v>960</v>
      </c>
      <c r="C42" s="68">
        <f t="shared" si="26"/>
        <v>1296.67</v>
      </c>
      <c r="D42" s="68">
        <f t="shared" si="26"/>
        <v>5057.84</v>
      </c>
      <c r="E42" s="68">
        <f t="shared" si="26"/>
        <v>530</v>
      </c>
      <c r="F42" s="68">
        <f t="shared" si="26"/>
        <v>7844.51</v>
      </c>
      <c r="G42" s="70">
        <f t="shared" si="26"/>
        <v>143</v>
      </c>
      <c r="H42" s="70">
        <f t="shared" si="26"/>
        <v>30</v>
      </c>
      <c r="I42" s="69">
        <f t="shared" si="26"/>
        <v>530</v>
      </c>
      <c r="K42" s="81" t="s">
        <v>72</v>
      </c>
      <c r="L42" s="81">
        <v>20.0</v>
      </c>
      <c r="M42" s="81">
        <v>5.0</v>
      </c>
      <c r="N42" s="82">
        <f t="shared" si="25"/>
        <v>2159.1</v>
      </c>
    </row>
    <row r="43" ht="12.75" customHeight="1">
      <c r="A43" s="74"/>
      <c r="B43" s="92"/>
      <c r="C43" s="92"/>
      <c r="D43" s="92"/>
      <c r="E43" s="92"/>
      <c r="F43" s="92"/>
      <c r="G43" s="93"/>
      <c r="H43" s="93"/>
      <c r="I43" s="93"/>
      <c r="K43" s="81" t="s">
        <v>73</v>
      </c>
      <c r="L43" s="81">
        <v>13.0</v>
      </c>
      <c r="M43" s="81">
        <v>1.0</v>
      </c>
      <c r="N43" s="82">
        <f t="shared" si="25"/>
        <v>1241.82</v>
      </c>
    </row>
    <row r="44" ht="12.75" customHeight="1">
      <c r="A44" s="97">
        <f>A41+3</f>
        <v>43507</v>
      </c>
      <c r="B44" s="98">
        <v>380.0</v>
      </c>
      <c r="C44" s="99">
        <v>81.32</v>
      </c>
      <c r="D44" s="99">
        <v>710.0</v>
      </c>
      <c r="E44" s="99">
        <v>50.0</v>
      </c>
      <c r="F44" s="100">
        <f t="shared" ref="F44:F48" si="27">SUM(B44:E44)</f>
        <v>1221.32</v>
      </c>
      <c r="G44" s="99">
        <v>22.0</v>
      </c>
      <c r="H44" s="99">
        <v>2.0</v>
      </c>
      <c r="I44" s="101">
        <v>50.0</v>
      </c>
      <c r="K44" s="81" t="s">
        <v>74</v>
      </c>
      <c r="L44" s="81">
        <v>7.0</v>
      </c>
      <c r="M44" s="81">
        <v>3.0</v>
      </c>
      <c r="N44" s="82">
        <f t="shared" si="25"/>
        <v>845.46</v>
      </c>
    </row>
    <row r="45" ht="12.75" customHeight="1">
      <c r="A45" s="102">
        <f t="shared" ref="A45:A48" si="28">A44+1</f>
        <v>43508</v>
      </c>
      <c r="B45" s="81">
        <v>100.0</v>
      </c>
      <c r="C45" s="81">
        <v>121.98</v>
      </c>
      <c r="D45" s="81">
        <v>740.0</v>
      </c>
      <c r="E45" s="66">
        <v>150.0</v>
      </c>
      <c r="F45" s="104">
        <f t="shared" si="27"/>
        <v>1111.98</v>
      </c>
      <c r="G45" s="81">
        <v>22.0</v>
      </c>
      <c r="H45" s="81">
        <v>3.0</v>
      </c>
      <c r="I45" s="83">
        <v>170.0</v>
      </c>
    </row>
    <row r="46" ht="12.75" customHeight="1">
      <c r="A46" s="102">
        <f t="shared" si="28"/>
        <v>43509</v>
      </c>
      <c r="B46" s="103">
        <v>100.0</v>
      </c>
      <c r="C46" s="81">
        <v>311.2</v>
      </c>
      <c r="D46" s="81">
        <v>580.0</v>
      </c>
      <c r="E46" s="81">
        <v>140.0</v>
      </c>
      <c r="F46" s="104">
        <f t="shared" si="27"/>
        <v>1131.2</v>
      </c>
      <c r="G46" s="81">
        <v>22.0</v>
      </c>
      <c r="H46" s="81">
        <v>9.0</v>
      </c>
      <c r="I46" s="83">
        <v>140.0</v>
      </c>
      <c r="L46" s="65">
        <f>L47+M47</f>
        <v>76</v>
      </c>
    </row>
    <row r="47" ht="12.75" customHeight="1">
      <c r="A47" s="102">
        <f t="shared" si="28"/>
        <v>43510</v>
      </c>
      <c r="B47" s="103">
        <v>260.0</v>
      </c>
      <c r="C47" s="81">
        <v>325.28</v>
      </c>
      <c r="D47" s="81">
        <v>960.0</v>
      </c>
      <c r="E47" s="81">
        <v>260.0</v>
      </c>
      <c r="F47" s="104">
        <f t="shared" si="27"/>
        <v>1805.28</v>
      </c>
      <c r="G47" s="81">
        <v>31.0</v>
      </c>
      <c r="H47" s="81">
        <v>8.0</v>
      </c>
      <c r="I47" s="83">
        <v>260.0</v>
      </c>
      <c r="K47" s="66"/>
      <c r="L47" s="72">
        <f t="shared" ref="L47:M47" si="29">SUM(L49:L53)</f>
        <v>68</v>
      </c>
      <c r="M47" s="72">
        <f t="shared" si="29"/>
        <v>8</v>
      </c>
      <c r="N47" s="73">
        <f>SUM(N49:N54)</f>
        <v>6694.56</v>
      </c>
    </row>
    <row r="48" ht="12.75" customHeight="1">
      <c r="A48" s="102">
        <f t="shared" si="28"/>
        <v>43511</v>
      </c>
      <c r="B48" s="105">
        <v>50.0</v>
      </c>
      <c r="C48" s="106">
        <v>204.7</v>
      </c>
      <c r="D48" s="106">
        <v>840.0</v>
      </c>
      <c r="E48" s="106">
        <v>50.0</v>
      </c>
      <c r="F48" s="107">
        <f t="shared" si="27"/>
        <v>1144.7</v>
      </c>
      <c r="G48" s="106">
        <v>22.0</v>
      </c>
      <c r="H48" s="106">
        <v>5.0</v>
      </c>
      <c r="I48" s="108">
        <v>50.0</v>
      </c>
      <c r="K48" s="95" t="s">
        <v>78</v>
      </c>
      <c r="L48" s="79">
        <v>90.0</v>
      </c>
      <c r="M48" s="79">
        <v>71.82</v>
      </c>
      <c r="N48" s="66"/>
    </row>
    <row r="49" ht="12.75" customHeight="1">
      <c r="A49" s="109"/>
      <c r="B49" s="91">
        <f t="shared" ref="B49:I49" si="30">SUM(B44:B48)</f>
        <v>890</v>
      </c>
      <c r="C49" s="91">
        <f t="shared" si="30"/>
        <v>1044.48</v>
      </c>
      <c r="D49" s="91">
        <f t="shared" si="30"/>
        <v>3830</v>
      </c>
      <c r="E49" s="91">
        <f t="shared" si="30"/>
        <v>650</v>
      </c>
      <c r="F49" s="91">
        <f t="shared" si="30"/>
        <v>6414.48</v>
      </c>
      <c r="G49" s="70">
        <f t="shared" si="30"/>
        <v>119</v>
      </c>
      <c r="H49" s="70">
        <f t="shared" si="30"/>
        <v>27</v>
      </c>
      <c r="I49" s="91">
        <f t="shared" si="30"/>
        <v>670</v>
      </c>
      <c r="K49" s="81" t="s">
        <v>70</v>
      </c>
      <c r="L49" s="81">
        <v>11.0</v>
      </c>
      <c r="M49" s="81">
        <v>4.0</v>
      </c>
      <c r="N49" s="82">
        <f t="shared" ref="N49:N53" si="31">L49*$L$48+M49*$M$48</f>
        <v>1277.28</v>
      </c>
    </row>
    <row r="50" ht="12.75" customHeight="1">
      <c r="A50" s="110"/>
      <c r="B50" s="74"/>
      <c r="C50" s="74"/>
      <c r="D50" s="74"/>
      <c r="E50" s="74"/>
      <c r="F50" s="74"/>
      <c r="G50" s="76"/>
      <c r="H50" s="76"/>
      <c r="I50" s="74"/>
      <c r="K50" s="81" t="s">
        <v>71</v>
      </c>
      <c r="L50" s="81">
        <v>16.0</v>
      </c>
      <c r="M50" s="81"/>
      <c r="N50" s="82">
        <f t="shared" si="31"/>
        <v>1440</v>
      </c>
    </row>
    <row r="51" ht="12.75" customHeight="1">
      <c r="A51" s="111">
        <f>A48+3</f>
        <v>43514</v>
      </c>
      <c r="B51" s="112">
        <v>400.0</v>
      </c>
      <c r="C51" s="112">
        <v>199.78</v>
      </c>
      <c r="D51" s="112">
        <v>1260.0</v>
      </c>
      <c r="E51" s="112">
        <v>100.0</v>
      </c>
      <c r="F51" s="107">
        <f t="shared" ref="F51:F55" si="32">SUM(B51:E51)</f>
        <v>1959.78</v>
      </c>
      <c r="G51" s="59">
        <v>34.0</v>
      </c>
      <c r="H51" s="59">
        <v>5.0</v>
      </c>
      <c r="I51" s="61">
        <v>100.0</v>
      </c>
      <c r="K51" s="81" t="s">
        <v>72</v>
      </c>
      <c r="L51" s="81">
        <v>23.0</v>
      </c>
      <c r="M51" s="81">
        <v>1.0</v>
      </c>
      <c r="N51" s="82">
        <f t="shared" si="31"/>
        <v>2141.82</v>
      </c>
    </row>
    <row r="52" ht="12.75" customHeight="1">
      <c r="A52" s="113">
        <f t="shared" ref="A52:A55" si="33">A51+1</f>
        <v>43515</v>
      </c>
      <c r="B52" s="103">
        <v>510.0</v>
      </c>
      <c r="C52" s="103">
        <v>201.18</v>
      </c>
      <c r="D52" s="103">
        <v>830.0</v>
      </c>
      <c r="E52" s="103">
        <v>190.0</v>
      </c>
      <c r="F52" s="107">
        <f t="shared" si="32"/>
        <v>1731.18</v>
      </c>
      <c r="G52" s="81">
        <v>32.0</v>
      </c>
      <c r="H52" s="81">
        <v>5.0</v>
      </c>
      <c r="I52" s="83">
        <v>190.0</v>
      </c>
      <c r="K52" s="81" t="s">
        <v>73</v>
      </c>
      <c r="L52" s="81">
        <v>18.0</v>
      </c>
      <c r="M52" s="81">
        <v>3.0</v>
      </c>
      <c r="N52" s="82">
        <f t="shared" si="31"/>
        <v>1835.46</v>
      </c>
    </row>
    <row r="53" ht="12.75" customHeight="1">
      <c r="A53" s="113">
        <f t="shared" si="33"/>
        <v>43516</v>
      </c>
      <c r="B53" s="103">
        <v>520.0</v>
      </c>
      <c r="C53" s="103">
        <v>182.83</v>
      </c>
      <c r="D53" s="103">
        <v>671.67</v>
      </c>
      <c r="E53" s="103">
        <v>50.0</v>
      </c>
      <c r="F53" s="107">
        <f t="shared" si="32"/>
        <v>1424.5</v>
      </c>
      <c r="G53" s="81">
        <v>28.0</v>
      </c>
      <c r="H53" s="81">
        <v>5.0</v>
      </c>
      <c r="I53" s="83">
        <v>50.0</v>
      </c>
      <c r="K53" s="81" t="s">
        <v>74</v>
      </c>
      <c r="L53" s="81"/>
      <c r="M53" s="81"/>
      <c r="N53" s="82">
        <f t="shared" si="31"/>
        <v>0</v>
      </c>
    </row>
    <row r="54" ht="12.75" customHeight="1">
      <c r="A54" s="113">
        <f t="shared" si="33"/>
        <v>43517</v>
      </c>
      <c r="B54" s="103">
        <v>480.0</v>
      </c>
      <c r="C54" s="103">
        <v>332.29</v>
      </c>
      <c r="D54" s="103">
        <v>870.0</v>
      </c>
      <c r="E54" s="103">
        <v>100.0</v>
      </c>
      <c r="F54" s="107">
        <f t="shared" si="32"/>
        <v>1782.29</v>
      </c>
      <c r="G54" s="81">
        <v>32.0</v>
      </c>
      <c r="H54" s="81">
        <v>6.0</v>
      </c>
      <c r="I54" s="83">
        <v>100.0</v>
      </c>
    </row>
    <row r="55" ht="12.75" customHeight="1">
      <c r="A55" s="114">
        <f t="shared" si="33"/>
        <v>43518</v>
      </c>
      <c r="B55" s="103">
        <v>160.0</v>
      </c>
      <c r="C55" s="103">
        <v>335.45</v>
      </c>
      <c r="D55" s="103">
        <v>900.0</v>
      </c>
      <c r="E55" s="103">
        <v>90.0</v>
      </c>
      <c r="F55" s="107">
        <f t="shared" si="32"/>
        <v>1485.45</v>
      </c>
      <c r="G55" s="81">
        <v>25.0</v>
      </c>
      <c r="H55" s="81">
        <v>7.0</v>
      </c>
      <c r="I55" s="83">
        <v>90.0</v>
      </c>
      <c r="L55" s="65">
        <f>L56+M56</f>
        <v>50</v>
      </c>
    </row>
    <row r="56" ht="12.75" customHeight="1">
      <c r="A56" s="109"/>
      <c r="B56" s="91">
        <f t="shared" ref="B56:I56" si="34">SUM(B51:B55)</f>
        <v>2070</v>
      </c>
      <c r="C56" s="91">
        <f t="shared" si="34"/>
        <v>1251.53</v>
      </c>
      <c r="D56" s="91">
        <f t="shared" si="34"/>
        <v>4531.67</v>
      </c>
      <c r="E56" s="91">
        <f t="shared" si="34"/>
        <v>530</v>
      </c>
      <c r="F56" s="91">
        <f t="shared" si="34"/>
        <v>8383.2</v>
      </c>
      <c r="G56" s="70">
        <f t="shared" si="34"/>
        <v>151</v>
      </c>
      <c r="H56" s="70">
        <f t="shared" si="34"/>
        <v>28</v>
      </c>
      <c r="I56" s="69">
        <f t="shared" si="34"/>
        <v>530</v>
      </c>
      <c r="K56" s="66"/>
      <c r="L56" s="72">
        <f t="shared" ref="L56:N56" si="35">SUM(L58:L62)</f>
        <v>44</v>
      </c>
      <c r="M56" s="72">
        <f t="shared" si="35"/>
        <v>6</v>
      </c>
      <c r="N56" s="73">
        <f t="shared" si="35"/>
        <v>4390.92</v>
      </c>
    </row>
    <row r="57" ht="12.75" customHeight="1">
      <c r="A57" s="110"/>
      <c r="B57" s="74"/>
      <c r="C57" s="74"/>
      <c r="D57" s="74"/>
      <c r="E57" s="74"/>
      <c r="F57" s="74"/>
      <c r="G57" s="76"/>
      <c r="H57" s="76"/>
      <c r="I57" s="93"/>
      <c r="K57" s="95" t="s">
        <v>195</v>
      </c>
      <c r="L57" s="79">
        <v>90.0</v>
      </c>
      <c r="M57" s="79">
        <v>71.82</v>
      </c>
      <c r="N57" s="66"/>
    </row>
    <row r="58" ht="12.75" customHeight="1">
      <c r="A58" s="113">
        <f>A55+3</f>
        <v>43521</v>
      </c>
      <c r="B58" s="259"/>
      <c r="C58" s="259"/>
      <c r="D58" s="259"/>
      <c r="E58" s="259"/>
      <c r="F58" s="185">
        <f t="shared" ref="F58:F62" si="36">SUM(B58:E58)</f>
        <v>0</v>
      </c>
      <c r="G58" s="84"/>
      <c r="H58" s="84"/>
      <c r="I58" s="86"/>
      <c r="K58" s="81" t="s">
        <v>70</v>
      </c>
      <c r="L58" s="81">
        <v>0.0</v>
      </c>
      <c r="M58" s="81">
        <v>0.0</v>
      </c>
      <c r="N58" s="82">
        <f t="shared" ref="N58:N62" si="37">L58*$L$57+M58*$M$57</f>
        <v>0</v>
      </c>
    </row>
    <row r="59" ht="12.75" customHeight="1">
      <c r="A59" s="114">
        <f t="shared" ref="A59:A62" si="38">A58+1</f>
        <v>43522</v>
      </c>
      <c r="B59" s="103">
        <v>250.0</v>
      </c>
      <c r="C59" s="103">
        <v>231.57</v>
      </c>
      <c r="D59" s="103">
        <v>1010.0</v>
      </c>
      <c r="E59" s="103">
        <v>170.0</v>
      </c>
      <c r="F59" s="107">
        <f t="shared" si="36"/>
        <v>1661.57</v>
      </c>
      <c r="G59" s="81">
        <v>35.0</v>
      </c>
      <c r="H59" s="81">
        <v>5.0</v>
      </c>
      <c r="I59" s="83">
        <v>170.0</v>
      </c>
      <c r="K59" s="81" t="s">
        <v>71</v>
      </c>
      <c r="L59" s="81">
        <v>18.0</v>
      </c>
      <c r="M59" s="81">
        <v>5.0</v>
      </c>
      <c r="N59" s="82">
        <f t="shared" si="37"/>
        <v>1979.1</v>
      </c>
    </row>
    <row r="60" ht="12.75" customHeight="1">
      <c r="A60" s="113">
        <f t="shared" si="38"/>
        <v>43523</v>
      </c>
      <c r="B60" s="124">
        <v>170.0</v>
      </c>
      <c r="C60" s="124">
        <v>344.75</v>
      </c>
      <c r="D60" s="124">
        <v>451.57</v>
      </c>
      <c r="E60" s="124">
        <v>160.0</v>
      </c>
      <c r="F60" s="107">
        <f t="shared" si="36"/>
        <v>1126.32</v>
      </c>
      <c r="G60" s="66">
        <v>24.0</v>
      </c>
      <c r="H60" s="59">
        <v>9.0</v>
      </c>
      <c r="I60" s="61">
        <v>160.0</v>
      </c>
      <c r="K60" s="81" t="s">
        <v>72</v>
      </c>
      <c r="L60" s="81">
        <v>17.0</v>
      </c>
      <c r="M60" s="81">
        <v>1.0</v>
      </c>
      <c r="N60" s="82">
        <f t="shared" si="37"/>
        <v>1601.82</v>
      </c>
    </row>
    <row r="61" ht="12.75" customHeight="1">
      <c r="A61" s="114">
        <f t="shared" si="38"/>
        <v>43524</v>
      </c>
      <c r="B61" s="59">
        <v>250.0</v>
      </c>
      <c r="C61" s="59">
        <v>162.64</v>
      </c>
      <c r="D61" s="59">
        <v>1610.0</v>
      </c>
      <c r="E61" s="59">
        <v>100.0</v>
      </c>
      <c r="F61" s="107">
        <f t="shared" si="36"/>
        <v>2122.64</v>
      </c>
      <c r="G61" s="59">
        <v>38.0</v>
      </c>
      <c r="H61" s="59">
        <v>4.0</v>
      </c>
      <c r="I61" s="61">
        <v>100.0</v>
      </c>
      <c r="K61" s="81" t="s">
        <v>73</v>
      </c>
      <c r="L61" s="81">
        <v>9.0</v>
      </c>
      <c r="M61" s="81"/>
      <c r="N61" s="82">
        <f t="shared" si="37"/>
        <v>810</v>
      </c>
    </row>
    <row r="62" ht="12.75" customHeight="1">
      <c r="A62" s="58">
        <f t="shared" si="38"/>
        <v>43525</v>
      </c>
      <c r="B62" s="138"/>
      <c r="C62" s="138"/>
      <c r="D62" s="138"/>
      <c r="E62" s="138"/>
      <c r="F62" s="85">
        <f t="shared" si="36"/>
        <v>0</v>
      </c>
      <c r="G62" s="138"/>
      <c r="H62" s="138"/>
      <c r="I62" s="146"/>
      <c r="K62" s="81" t="s">
        <v>74</v>
      </c>
      <c r="L62" s="81"/>
      <c r="M62" s="81"/>
      <c r="N62" s="82">
        <f t="shared" si="37"/>
        <v>0</v>
      </c>
    </row>
    <row r="63" ht="12.75" customHeight="1">
      <c r="A63" s="115"/>
      <c r="B63" s="91">
        <f t="shared" ref="B63:I63" si="39">SUM(B58:B61)</f>
        <v>670</v>
      </c>
      <c r="C63" s="91">
        <f t="shared" si="39"/>
        <v>738.96</v>
      </c>
      <c r="D63" s="91">
        <f t="shared" si="39"/>
        <v>3071.57</v>
      </c>
      <c r="E63" s="91">
        <f t="shared" si="39"/>
        <v>430</v>
      </c>
      <c r="F63" s="91">
        <f t="shared" si="39"/>
        <v>4910.53</v>
      </c>
      <c r="G63" s="70">
        <f t="shared" si="39"/>
        <v>97</v>
      </c>
      <c r="H63" s="70">
        <f t="shared" si="39"/>
        <v>18</v>
      </c>
      <c r="I63" s="91">
        <f t="shared" si="39"/>
        <v>430</v>
      </c>
    </row>
    <row r="64" ht="12.75" customHeight="1">
      <c r="A64" s="116"/>
      <c r="B64" s="74"/>
      <c r="C64" s="74"/>
      <c r="D64" s="74"/>
      <c r="E64" s="74"/>
      <c r="F64" s="74"/>
      <c r="G64" s="76"/>
      <c r="H64" s="76"/>
      <c r="I64" s="74"/>
      <c r="L64" s="65">
        <f>L65+M65</f>
        <v>79</v>
      </c>
    </row>
    <row r="65" ht="12.75" customHeight="1">
      <c r="A65" s="58">
        <f>A62+3</f>
        <v>43528</v>
      </c>
      <c r="B65" s="59">
        <v>310.0</v>
      </c>
      <c r="C65" s="59">
        <v>164.04</v>
      </c>
      <c r="D65" s="59">
        <v>1460.0</v>
      </c>
      <c r="E65" s="59">
        <v>190.0</v>
      </c>
      <c r="F65" s="60">
        <f t="shared" ref="F65:F69" si="41">SUM(B65:E65)</f>
        <v>2124.04</v>
      </c>
      <c r="G65" s="59">
        <v>36.0</v>
      </c>
      <c r="H65" s="59">
        <v>4.0</v>
      </c>
      <c r="I65" s="61">
        <v>190.0</v>
      </c>
      <c r="K65" s="66"/>
      <c r="L65" s="72">
        <f t="shared" ref="L65:N65" si="40">SUM(L67:L71)</f>
        <v>72</v>
      </c>
      <c r="M65" s="72">
        <f t="shared" si="40"/>
        <v>7</v>
      </c>
      <c r="N65" s="73">
        <f t="shared" si="40"/>
        <v>6982.74</v>
      </c>
    </row>
    <row r="66" ht="12.75" customHeight="1">
      <c r="A66" s="58">
        <f t="shared" ref="A66:A69" si="42">A65+1</f>
        <v>43529</v>
      </c>
      <c r="B66" s="81">
        <v>120.0</v>
      </c>
      <c r="C66" s="81">
        <v>203.3</v>
      </c>
      <c r="D66" s="81">
        <v>690.0</v>
      </c>
      <c r="E66" s="81">
        <v>90.0</v>
      </c>
      <c r="F66" s="60">
        <f t="shared" si="41"/>
        <v>1103.3</v>
      </c>
      <c r="G66" s="81">
        <v>21.0</v>
      </c>
      <c r="H66" s="81">
        <v>5.0</v>
      </c>
      <c r="I66" s="83">
        <v>90.0</v>
      </c>
      <c r="K66" s="95" t="s">
        <v>196</v>
      </c>
      <c r="L66" s="79">
        <v>90.0</v>
      </c>
      <c r="M66" s="79">
        <v>71.82</v>
      </c>
      <c r="N66" s="66"/>
    </row>
    <row r="67" ht="12.75" customHeight="1">
      <c r="A67" s="58">
        <f t="shared" si="42"/>
        <v>43530</v>
      </c>
      <c r="B67" s="81">
        <v>50.0</v>
      </c>
      <c r="C67" s="81">
        <v>335.36</v>
      </c>
      <c r="D67" s="81">
        <v>669.0</v>
      </c>
      <c r="E67" s="81">
        <v>100.0</v>
      </c>
      <c r="F67" s="60">
        <f t="shared" si="41"/>
        <v>1154.36</v>
      </c>
      <c r="G67" s="81">
        <v>25.0</v>
      </c>
      <c r="H67" s="81">
        <v>9.0</v>
      </c>
      <c r="I67" s="83">
        <v>100.0</v>
      </c>
      <c r="K67" s="81" t="s">
        <v>70</v>
      </c>
      <c r="L67" s="81">
        <v>22.0</v>
      </c>
      <c r="M67" s="81">
        <v>1.0</v>
      </c>
      <c r="N67" s="82">
        <f t="shared" ref="N67:N71" si="43">L67*$L$66+M67*$M$66</f>
        <v>2051.82</v>
      </c>
    </row>
    <row r="68" ht="12.75" customHeight="1">
      <c r="A68" s="58">
        <f t="shared" si="42"/>
        <v>43531</v>
      </c>
      <c r="B68" s="81">
        <v>380.0</v>
      </c>
      <c r="C68" s="81">
        <v>415.45</v>
      </c>
      <c r="D68" s="81">
        <v>1178.84</v>
      </c>
      <c r="E68" s="81">
        <v>150.0</v>
      </c>
      <c r="F68" s="60">
        <f t="shared" si="41"/>
        <v>2124.29</v>
      </c>
      <c r="G68" s="81">
        <v>38.0</v>
      </c>
      <c r="H68" s="81">
        <v>8.0</v>
      </c>
      <c r="I68" s="83">
        <v>150.0</v>
      </c>
      <c r="K68" s="81" t="s">
        <v>71</v>
      </c>
      <c r="L68" s="81">
        <v>13.0</v>
      </c>
      <c r="M68" s="81">
        <v>2.0</v>
      </c>
      <c r="N68" s="82">
        <f t="shared" si="43"/>
        <v>1313.64</v>
      </c>
    </row>
    <row r="69" ht="12.75" customHeight="1">
      <c r="A69" s="58">
        <f t="shared" si="42"/>
        <v>43532</v>
      </c>
      <c r="B69" s="81">
        <v>100.0</v>
      </c>
      <c r="C69" s="81">
        <v>178.52</v>
      </c>
      <c r="D69" s="81">
        <v>1060.0</v>
      </c>
      <c r="E69" s="81">
        <v>0.0</v>
      </c>
      <c r="F69" s="60">
        <f t="shared" si="41"/>
        <v>1338.52</v>
      </c>
      <c r="G69" s="81">
        <v>23.0</v>
      </c>
      <c r="H69" s="81">
        <v>4.0</v>
      </c>
      <c r="I69" s="83">
        <v>0.0</v>
      </c>
      <c r="K69" s="81" t="s">
        <v>72</v>
      </c>
      <c r="L69" s="81">
        <v>10.0</v>
      </c>
      <c r="M69" s="81"/>
      <c r="N69" s="82">
        <f t="shared" si="43"/>
        <v>900</v>
      </c>
    </row>
    <row r="70" ht="12.75" customHeight="1">
      <c r="A70" s="67"/>
      <c r="B70" s="68">
        <f t="shared" ref="B70:I70" si="44">SUM(B65:B69)</f>
        <v>960</v>
      </c>
      <c r="C70" s="68">
        <f t="shared" si="44"/>
        <v>1296.67</v>
      </c>
      <c r="D70" s="68">
        <f t="shared" si="44"/>
        <v>5057.84</v>
      </c>
      <c r="E70" s="68">
        <f t="shared" si="44"/>
        <v>530</v>
      </c>
      <c r="F70" s="68">
        <f t="shared" si="44"/>
        <v>7844.51</v>
      </c>
      <c r="G70" s="70">
        <f t="shared" si="44"/>
        <v>143</v>
      </c>
      <c r="H70" s="70">
        <f t="shared" si="44"/>
        <v>30</v>
      </c>
      <c r="I70" s="69">
        <f t="shared" si="44"/>
        <v>530</v>
      </c>
      <c r="K70" s="81" t="s">
        <v>73</v>
      </c>
      <c r="L70" s="81">
        <v>22.0</v>
      </c>
      <c r="M70" s="81">
        <v>1.0</v>
      </c>
      <c r="N70" s="82">
        <f t="shared" si="43"/>
        <v>2051.82</v>
      </c>
    </row>
    <row r="71" ht="12.75" customHeight="1">
      <c r="A71" s="74"/>
      <c r="B71" s="92"/>
      <c r="C71" s="92"/>
      <c r="D71" s="92"/>
      <c r="E71" s="92"/>
      <c r="F71" s="92"/>
      <c r="G71" s="93"/>
      <c r="H71" s="93"/>
      <c r="I71" s="93"/>
      <c r="K71" s="81" t="s">
        <v>74</v>
      </c>
      <c r="L71" s="81">
        <v>5.0</v>
      </c>
      <c r="M71" s="81">
        <v>3.0</v>
      </c>
      <c r="N71" s="82">
        <f t="shared" si="43"/>
        <v>665.46</v>
      </c>
    </row>
    <row r="72" ht="12.75" customHeight="1">
      <c r="A72" s="97">
        <f>A69+3</f>
        <v>43535</v>
      </c>
      <c r="B72" s="98">
        <v>380.0</v>
      </c>
      <c r="C72" s="99">
        <v>81.32</v>
      </c>
      <c r="D72" s="99">
        <v>710.0</v>
      </c>
      <c r="E72" s="99">
        <v>50.0</v>
      </c>
      <c r="F72" s="100">
        <f t="shared" ref="F72:F76" si="45">SUM(B72:E72)</f>
        <v>1221.32</v>
      </c>
      <c r="G72" s="99">
        <v>22.0</v>
      </c>
      <c r="H72" s="99">
        <v>2.0</v>
      </c>
      <c r="I72" s="101">
        <v>50.0</v>
      </c>
    </row>
    <row r="73" ht="12.75" customHeight="1">
      <c r="A73" s="102">
        <f t="shared" ref="A73:A76" si="46">A72+1</f>
        <v>43536</v>
      </c>
      <c r="B73" s="81">
        <v>100.0</v>
      </c>
      <c r="C73" s="81">
        <v>121.98</v>
      </c>
      <c r="D73" s="81">
        <v>740.0</v>
      </c>
      <c r="E73" s="66">
        <v>150.0</v>
      </c>
      <c r="F73" s="104">
        <f t="shared" si="45"/>
        <v>1111.98</v>
      </c>
      <c r="G73" s="81">
        <v>22.0</v>
      </c>
      <c r="H73" s="81">
        <v>3.0</v>
      </c>
      <c r="I73" s="83">
        <v>170.0</v>
      </c>
    </row>
    <row r="74" ht="12.75" customHeight="1">
      <c r="A74" s="102">
        <f t="shared" si="46"/>
        <v>43537</v>
      </c>
      <c r="B74" s="103">
        <v>100.0</v>
      </c>
      <c r="C74" s="81">
        <v>311.2</v>
      </c>
      <c r="D74" s="81">
        <v>580.0</v>
      </c>
      <c r="E74" s="81">
        <v>140.0</v>
      </c>
      <c r="F74" s="104">
        <f t="shared" si="45"/>
        <v>1131.2</v>
      </c>
      <c r="G74" s="81">
        <v>22.0</v>
      </c>
      <c r="H74" s="81">
        <v>9.0</v>
      </c>
      <c r="I74" s="83">
        <v>140.0</v>
      </c>
      <c r="L74" s="65">
        <f>L75+M75</f>
        <v>10</v>
      </c>
    </row>
    <row r="75" ht="12.75" customHeight="1">
      <c r="A75" s="102">
        <f t="shared" si="46"/>
        <v>43538</v>
      </c>
      <c r="B75" s="103">
        <v>260.0</v>
      </c>
      <c r="C75" s="81">
        <v>325.28</v>
      </c>
      <c r="D75" s="81">
        <v>960.0</v>
      </c>
      <c r="E75" s="81">
        <v>260.0</v>
      </c>
      <c r="F75" s="104">
        <f t="shared" si="45"/>
        <v>1805.28</v>
      </c>
      <c r="G75" s="81">
        <v>31.0</v>
      </c>
      <c r="H75" s="81">
        <v>8.0</v>
      </c>
      <c r="I75" s="83">
        <v>260.0</v>
      </c>
      <c r="K75" s="64"/>
      <c r="L75" s="72">
        <f t="shared" ref="L75:N75" si="47">SUM(L77:L81)</f>
        <v>9</v>
      </c>
      <c r="M75" s="72">
        <f t="shared" si="47"/>
        <v>1</v>
      </c>
      <c r="N75" s="73">
        <f t="shared" si="47"/>
        <v>8900</v>
      </c>
    </row>
    <row r="76" ht="12.75" customHeight="1">
      <c r="A76" s="102">
        <f t="shared" si="46"/>
        <v>43539</v>
      </c>
      <c r="B76" s="105">
        <v>50.0</v>
      </c>
      <c r="C76" s="106">
        <v>204.7</v>
      </c>
      <c r="D76" s="106">
        <v>840.0</v>
      </c>
      <c r="E76" s="106">
        <v>50.0</v>
      </c>
      <c r="F76" s="107">
        <f t="shared" si="45"/>
        <v>1144.7</v>
      </c>
      <c r="G76" s="106">
        <v>22.0</v>
      </c>
      <c r="H76" s="106">
        <v>5.0</v>
      </c>
      <c r="I76" s="108">
        <v>50.0</v>
      </c>
      <c r="K76" s="333" t="s">
        <v>81</v>
      </c>
      <c r="L76" s="79">
        <v>85.0</v>
      </c>
      <c r="M76" s="79">
        <v>71.82</v>
      </c>
      <c r="N76" s="66"/>
    </row>
    <row r="77" ht="12.75" customHeight="1">
      <c r="A77" s="109"/>
      <c r="B77" s="91">
        <f t="shared" ref="B77:I77" si="48">SUM(B72:B76)</f>
        <v>890</v>
      </c>
      <c r="C77" s="91">
        <f t="shared" si="48"/>
        <v>1044.48</v>
      </c>
      <c r="D77" s="91">
        <f t="shared" si="48"/>
        <v>3830</v>
      </c>
      <c r="E77" s="91">
        <f t="shared" si="48"/>
        <v>650</v>
      </c>
      <c r="F77" s="91">
        <f t="shared" si="48"/>
        <v>6414.48</v>
      </c>
      <c r="G77" s="70">
        <f t="shared" si="48"/>
        <v>119</v>
      </c>
      <c r="H77" s="70">
        <f t="shared" si="48"/>
        <v>27</v>
      </c>
      <c r="I77" s="91">
        <f t="shared" si="48"/>
        <v>670</v>
      </c>
      <c r="K77" s="81" t="s">
        <v>70</v>
      </c>
      <c r="L77" s="118">
        <v>9.0</v>
      </c>
      <c r="M77" s="118">
        <v>1.0</v>
      </c>
      <c r="N77" s="82">
        <f t="shared" ref="N77:N78" si="49">L77*$D$47+M77*$E$47</f>
        <v>8900</v>
      </c>
    </row>
    <row r="78" ht="12.75" customHeight="1">
      <c r="A78" s="110"/>
      <c r="B78" s="74"/>
      <c r="C78" s="74"/>
      <c r="D78" s="74"/>
      <c r="E78" s="74"/>
      <c r="F78" s="74"/>
      <c r="G78" s="76"/>
      <c r="H78" s="76"/>
      <c r="I78" s="74"/>
      <c r="K78" s="59" t="s">
        <v>71</v>
      </c>
      <c r="L78" s="119"/>
      <c r="M78" s="119"/>
      <c r="N78" s="120">
        <f t="shared" si="49"/>
        <v>0</v>
      </c>
    </row>
    <row r="79" ht="12.75" customHeight="1">
      <c r="A79" s="111">
        <f>A76+3</f>
        <v>43542</v>
      </c>
      <c r="B79" s="112">
        <v>400.0</v>
      </c>
      <c r="C79" s="112">
        <v>199.78</v>
      </c>
      <c r="D79" s="112">
        <v>1260.0</v>
      </c>
      <c r="E79" s="112">
        <v>100.0</v>
      </c>
      <c r="F79" s="107">
        <f t="shared" ref="F79:F83" si="50">SUM(B79:E79)</f>
        <v>1959.78</v>
      </c>
      <c r="G79" s="59">
        <v>34.0</v>
      </c>
      <c r="H79" s="59">
        <v>5.0</v>
      </c>
      <c r="I79" s="61">
        <v>100.0</v>
      </c>
      <c r="K79" s="59" t="s">
        <v>72</v>
      </c>
      <c r="L79" s="119"/>
      <c r="M79" s="119"/>
      <c r="N79" s="120">
        <f t="shared" ref="N79:N81" si="51">L79*$D$48+M79*$E$48</f>
        <v>0</v>
      </c>
    </row>
    <row r="80" ht="12.75" customHeight="1">
      <c r="A80" s="113">
        <f t="shared" ref="A80:A83" si="52">A79+1</f>
        <v>43543</v>
      </c>
      <c r="B80" s="103">
        <v>510.0</v>
      </c>
      <c r="C80" s="103">
        <v>201.18</v>
      </c>
      <c r="D80" s="103">
        <v>830.0</v>
      </c>
      <c r="E80" s="103">
        <v>190.0</v>
      </c>
      <c r="F80" s="107">
        <f t="shared" si="50"/>
        <v>1731.18</v>
      </c>
      <c r="G80" s="81">
        <v>32.0</v>
      </c>
      <c r="H80" s="81">
        <v>5.0</v>
      </c>
      <c r="I80" s="83">
        <v>190.0</v>
      </c>
      <c r="K80" s="59" t="s">
        <v>73</v>
      </c>
      <c r="L80" s="119"/>
      <c r="M80" s="119"/>
      <c r="N80" s="120">
        <f t="shared" si="51"/>
        <v>0</v>
      </c>
    </row>
    <row r="81" ht="12.75" customHeight="1">
      <c r="A81" s="113">
        <f t="shared" si="52"/>
        <v>43544</v>
      </c>
      <c r="B81" s="103">
        <v>520.0</v>
      </c>
      <c r="C81" s="103">
        <v>182.83</v>
      </c>
      <c r="D81" s="103">
        <v>671.67</v>
      </c>
      <c r="E81" s="103">
        <v>50.0</v>
      </c>
      <c r="F81" s="107">
        <f t="shared" si="50"/>
        <v>1424.5</v>
      </c>
      <c r="G81" s="81">
        <v>28.0</v>
      </c>
      <c r="H81" s="81">
        <v>5.0</v>
      </c>
      <c r="I81" s="83">
        <v>50.0</v>
      </c>
      <c r="K81" s="59" t="s">
        <v>74</v>
      </c>
      <c r="L81" s="119"/>
      <c r="M81" s="119"/>
      <c r="N81" s="120">
        <f t="shared" si="51"/>
        <v>0</v>
      </c>
    </row>
    <row r="82" ht="12.75" customHeight="1">
      <c r="A82" s="113">
        <f t="shared" si="52"/>
        <v>43545</v>
      </c>
      <c r="B82" s="103">
        <v>480.0</v>
      </c>
      <c r="C82" s="103">
        <v>332.29</v>
      </c>
      <c r="D82" s="103">
        <v>870.0</v>
      </c>
      <c r="E82" s="103">
        <v>100.0</v>
      </c>
      <c r="F82" s="107">
        <f t="shared" si="50"/>
        <v>1782.29</v>
      </c>
      <c r="G82" s="81">
        <v>32.0</v>
      </c>
      <c r="H82" s="81">
        <v>6.0</v>
      </c>
      <c r="I82" s="83">
        <v>100.0</v>
      </c>
    </row>
    <row r="83" ht="12.75" customHeight="1">
      <c r="A83" s="114">
        <f t="shared" si="52"/>
        <v>43546</v>
      </c>
      <c r="B83" s="103">
        <v>160.0</v>
      </c>
      <c r="C83" s="103">
        <v>335.45</v>
      </c>
      <c r="D83" s="103">
        <v>900.0</v>
      </c>
      <c r="E83" s="103">
        <v>90.0</v>
      </c>
      <c r="F83" s="107">
        <f t="shared" si="50"/>
        <v>1485.45</v>
      </c>
      <c r="G83" s="81">
        <v>25.0</v>
      </c>
      <c r="H83" s="81">
        <v>7.0</v>
      </c>
      <c r="I83" s="83">
        <v>90.0</v>
      </c>
      <c r="L83" s="65">
        <f>L84+M84</f>
        <v>88</v>
      </c>
    </row>
    <row r="84" ht="12.75" customHeight="1">
      <c r="A84" s="109"/>
      <c r="B84" s="91">
        <f t="shared" ref="B84:I84" si="53">SUM(B79:B83)</f>
        <v>2070</v>
      </c>
      <c r="C84" s="91">
        <f t="shared" si="53"/>
        <v>1251.53</v>
      </c>
      <c r="D84" s="91">
        <f t="shared" si="53"/>
        <v>4531.67</v>
      </c>
      <c r="E84" s="91">
        <f t="shared" si="53"/>
        <v>530</v>
      </c>
      <c r="F84" s="91">
        <f t="shared" si="53"/>
        <v>8383.2</v>
      </c>
      <c r="G84" s="70">
        <f t="shared" si="53"/>
        <v>151</v>
      </c>
      <c r="H84" s="70">
        <f t="shared" si="53"/>
        <v>28</v>
      </c>
      <c r="I84" s="69">
        <f t="shared" si="53"/>
        <v>530</v>
      </c>
      <c r="K84" s="64"/>
      <c r="L84" s="72">
        <f t="shared" ref="L84:N84" si="54">SUM(L86:L90)</f>
        <v>85</v>
      </c>
      <c r="M84" s="72">
        <f t="shared" si="54"/>
        <v>3</v>
      </c>
      <c r="N84" s="73">
        <f t="shared" si="54"/>
        <v>7865.46</v>
      </c>
    </row>
    <row r="85" ht="12.75" customHeight="1">
      <c r="A85" s="110"/>
      <c r="B85" s="74"/>
      <c r="C85" s="74"/>
      <c r="D85" s="74"/>
      <c r="E85" s="74"/>
      <c r="F85" s="74"/>
      <c r="G85" s="76"/>
      <c r="H85" s="76"/>
      <c r="I85" s="93"/>
      <c r="K85" s="333" t="s">
        <v>197</v>
      </c>
      <c r="L85" s="79">
        <v>90.0</v>
      </c>
      <c r="M85" s="79">
        <v>71.82</v>
      </c>
      <c r="N85" s="66"/>
    </row>
    <row r="86" ht="12.75" customHeight="1">
      <c r="A86" s="113">
        <f>A83+3</f>
        <v>43549</v>
      </c>
      <c r="B86" s="259"/>
      <c r="C86" s="259"/>
      <c r="D86" s="259"/>
      <c r="E86" s="259"/>
      <c r="F86" s="185">
        <f t="shared" ref="F86:F90" si="55">SUM(B86:E86)</f>
        <v>0</v>
      </c>
      <c r="G86" s="84"/>
      <c r="H86" s="84"/>
      <c r="I86" s="86"/>
      <c r="K86" s="81" t="s">
        <v>70</v>
      </c>
      <c r="L86" s="118">
        <v>23.0</v>
      </c>
      <c r="M86" s="118">
        <v>1.0</v>
      </c>
      <c r="N86" s="82">
        <f t="shared" ref="N86:N90" si="56">L86*$L$85+M86*$M$85</f>
        <v>2141.82</v>
      </c>
    </row>
    <row r="87" ht="12.75" customHeight="1">
      <c r="A87" s="114">
        <f t="shared" ref="A87:A90" si="57">A86+1</f>
        <v>43550</v>
      </c>
      <c r="B87" s="103">
        <v>250.0</v>
      </c>
      <c r="C87" s="103">
        <v>231.57</v>
      </c>
      <c r="D87" s="103">
        <v>1010.0</v>
      </c>
      <c r="E87" s="103">
        <v>170.0</v>
      </c>
      <c r="F87" s="107">
        <f t="shared" si="55"/>
        <v>1661.57</v>
      </c>
      <c r="G87" s="81">
        <v>35.0</v>
      </c>
      <c r="H87" s="81">
        <v>5.0</v>
      </c>
      <c r="I87" s="83">
        <v>170.0</v>
      </c>
      <c r="K87" s="59" t="s">
        <v>71</v>
      </c>
      <c r="L87" s="124">
        <v>20.0</v>
      </c>
      <c r="M87" s="124"/>
      <c r="N87" s="82">
        <f t="shared" si="56"/>
        <v>1800</v>
      </c>
    </row>
    <row r="88" ht="12.75" customHeight="1">
      <c r="A88" s="113">
        <f t="shared" si="57"/>
        <v>43551</v>
      </c>
      <c r="B88" s="124">
        <v>170.0</v>
      </c>
      <c r="C88" s="124">
        <v>344.75</v>
      </c>
      <c r="D88" s="124">
        <v>451.57</v>
      </c>
      <c r="E88" s="124">
        <v>160.0</v>
      </c>
      <c r="F88" s="107">
        <f t="shared" si="55"/>
        <v>1126.32</v>
      </c>
      <c r="G88" s="66">
        <v>24.0</v>
      </c>
      <c r="H88" s="59">
        <v>9.0</v>
      </c>
      <c r="I88" s="61">
        <v>160.0</v>
      </c>
      <c r="K88" s="59" t="s">
        <v>72</v>
      </c>
      <c r="L88" s="124">
        <v>16.0</v>
      </c>
      <c r="M88" s="124"/>
      <c r="N88" s="82">
        <f t="shared" si="56"/>
        <v>1440</v>
      </c>
    </row>
    <row r="89" ht="12.75" customHeight="1">
      <c r="A89" s="114">
        <f t="shared" si="57"/>
        <v>43552</v>
      </c>
      <c r="B89" s="59">
        <v>250.0</v>
      </c>
      <c r="C89" s="59">
        <v>162.64</v>
      </c>
      <c r="D89" s="59">
        <v>1610.0</v>
      </c>
      <c r="E89" s="59">
        <v>100.0</v>
      </c>
      <c r="F89" s="107">
        <f t="shared" si="55"/>
        <v>2122.64</v>
      </c>
      <c r="G89" s="59">
        <v>38.0</v>
      </c>
      <c r="H89" s="59">
        <v>4.0</v>
      </c>
      <c r="I89" s="61">
        <v>100.0</v>
      </c>
      <c r="K89" s="59" t="s">
        <v>73</v>
      </c>
      <c r="L89" s="124">
        <v>17.0</v>
      </c>
      <c r="M89" s="124">
        <v>2.0</v>
      </c>
      <c r="N89" s="82">
        <f t="shared" si="56"/>
        <v>1673.64</v>
      </c>
    </row>
    <row r="90" ht="12.75" customHeight="1">
      <c r="A90" s="58">
        <f t="shared" si="57"/>
        <v>43553</v>
      </c>
      <c r="B90" s="138"/>
      <c r="C90" s="138"/>
      <c r="D90" s="138"/>
      <c r="E90" s="138"/>
      <c r="F90" s="85">
        <f t="shared" si="55"/>
        <v>0</v>
      </c>
      <c r="G90" s="138"/>
      <c r="H90" s="138"/>
      <c r="I90" s="146"/>
      <c r="K90" s="59" t="s">
        <v>74</v>
      </c>
      <c r="L90" s="124">
        <v>9.0</v>
      </c>
      <c r="M90" s="124"/>
      <c r="N90" s="82">
        <f t="shared" si="56"/>
        <v>810</v>
      </c>
    </row>
    <row r="91" ht="12.75" customHeight="1">
      <c r="A91" s="115"/>
      <c r="B91" s="91">
        <f t="shared" ref="B91:I91" si="58">SUM(B86:B89)</f>
        <v>670</v>
      </c>
      <c r="C91" s="91">
        <f t="shared" si="58"/>
        <v>738.96</v>
      </c>
      <c r="D91" s="91">
        <f t="shared" si="58"/>
        <v>3071.57</v>
      </c>
      <c r="E91" s="91">
        <f t="shared" si="58"/>
        <v>430</v>
      </c>
      <c r="F91" s="91">
        <f t="shared" si="58"/>
        <v>4910.53</v>
      </c>
      <c r="G91" s="70">
        <f t="shared" si="58"/>
        <v>97</v>
      </c>
      <c r="H91" s="70">
        <f t="shared" si="58"/>
        <v>18</v>
      </c>
      <c r="I91" s="91">
        <f t="shared" si="58"/>
        <v>430</v>
      </c>
    </row>
    <row r="92" ht="12.75" customHeight="1">
      <c r="A92" s="116"/>
      <c r="B92" s="74"/>
      <c r="C92" s="74"/>
      <c r="D92" s="74"/>
      <c r="E92" s="74"/>
      <c r="F92" s="74"/>
      <c r="G92" s="76"/>
      <c r="H92" s="76"/>
      <c r="I92" s="74"/>
    </row>
    <row r="93" ht="12.75" customHeight="1">
      <c r="A93" s="58">
        <v>43556.0</v>
      </c>
      <c r="B93" s="81">
        <v>280.0</v>
      </c>
      <c r="C93" s="81">
        <v>422.29</v>
      </c>
      <c r="D93" s="81">
        <v>1120.0</v>
      </c>
      <c r="E93" s="81">
        <v>280.0</v>
      </c>
      <c r="F93" s="60">
        <f t="shared" ref="F93:F97" si="59">SUM(B93:E93)</f>
        <v>2102.29</v>
      </c>
      <c r="G93" s="81">
        <v>33.0</v>
      </c>
      <c r="H93" s="81">
        <v>7.0</v>
      </c>
      <c r="I93" s="83">
        <v>280.0</v>
      </c>
      <c r="K93" s="64"/>
      <c r="L93" s="65">
        <f>L94+M94</f>
        <v>89</v>
      </c>
      <c r="N93" s="66"/>
    </row>
    <row r="94" ht="12.75" customHeight="1">
      <c r="A94" s="58">
        <f t="shared" ref="A94:A97" si="61">A93+1</f>
        <v>43557</v>
      </c>
      <c r="B94" s="81">
        <v>140.0</v>
      </c>
      <c r="C94" s="81">
        <v>197.66</v>
      </c>
      <c r="D94" s="81">
        <v>810.0</v>
      </c>
      <c r="E94" s="81">
        <v>250.0</v>
      </c>
      <c r="F94" s="60">
        <f t="shared" si="59"/>
        <v>1397.66</v>
      </c>
      <c r="G94" s="81">
        <v>26.0</v>
      </c>
      <c r="H94" s="81">
        <v>5.0</v>
      </c>
      <c r="I94" s="83">
        <v>250.0</v>
      </c>
      <c r="K94" s="64"/>
      <c r="L94" s="72">
        <f t="shared" ref="L94:N94" si="60">SUM(L96:L100)</f>
        <v>80</v>
      </c>
      <c r="M94" s="72">
        <f t="shared" si="60"/>
        <v>9</v>
      </c>
      <c r="N94" s="73">
        <f t="shared" si="60"/>
        <v>7846.38</v>
      </c>
    </row>
    <row r="95" ht="12.75" customHeight="1">
      <c r="A95" s="58">
        <f t="shared" si="61"/>
        <v>43558</v>
      </c>
      <c r="B95" s="81">
        <v>340.0</v>
      </c>
      <c r="C95" s="81">
        <v>201.35</v>
      </c>
      <c r="D95" s="81">
        <v>490.0</v>
      </c>
      <c r="E95" s="81">
        <v>50.0</v>
      </c>
      <c r="F95" s="60">
        <f t="shared" si="59"/>
        <v>1081.35</v>
      </c>
      <c r="G95" s="81">
        <v>20.0</v>
      </c>
      <c r="H95" s="81">
        <v>3.0</v>
      </c>
      <c r="I95" s="83">
        <v>50.0</v>
      </c>
      <c r="K95" s="95" t="s">
        <v>83</v>
      </c>
      <c r="L95" s="79">
        <v>90.0</v>
      </c>
      <c r="M95" s="79">
        <v>71.82</v>
      </c>
      <c r="N95" s="66"/>
    </row>
    <row r="96" ht="12.75" customHeight="1">
      <c r="A96" s="58">
        <f t="shared" si="61"/>
        <v>43559</v>
      </c>
      <c r="B96" s="81">
        <v>400.0</v>
      </c>
      <c r="C96" s="81">
        <v>123.38</v>
      </c>
      <c r="D96" s="81">
        <v>1340.0</v>
      </c>
      <c r="E96" s="81">
        <v>290.0</v>
      </c>
      <c r="F96" s="60">
        <f t="shared" si="59"/>
        <v>2153.38</v>
      </c>
      <c r="G96" s="81">
        <v>38.0</v>
      </c>
      <c r="H96" s="81">
        <v>3.0</v>
      </c>
      <c r="I96" s="83">
        <v>290.0</v>
      </c>
      <c r="K96" s="81" t="s">
        <v>70</v>
      </c>
      <c r="L96" s="81">
        <v>7.0</v>
      </c>
      <c r="M96" s="81">
        <v>2.0</v>
      </c>
      <c r="N96" s="82">
        <f t="shared" ref="N96:N100" si="62">L96*$L$95+M96*$M$95</f>
        <v>773.64</v>
      </c>
    </row>
    <row r="97" ht="12.75" customHeight="1">
      <c r="A97" s="58">
        <f t="shared" si="61"/>
        <v>43560</v>
      </c>
      <c r="B97" s="89">
        <v>210.0</v>
      </c>
      <c r="C97" s="89">
        <v>326.82</v>
      </c>
      <c r="D97" s="89">
        <v>930.0</v>
      </c>
      <c r="E97" s="89">
        <v>100.0</v>
      </c>
      <c r="F97" s="60">
        <f t="shared" si="59"/>
        <v>1566.82</v>
      </c>
      <c r="G97" s="89">
        <v>26.0</v>
      </c>
      <c r="H97" s="89">
        <v>5.0</v>
      </c>
      <c r="I97" s="90">
        <v>100.0</v>
      </c>
      <c r="K97" s="81" t="s">
        <v>71</v>
      </c>
      <c r="L97" s="81">
        <v>24.0</v>
      </c>
      <c r="M97" s="81"/>
      <c r="N97" s="82">
        <f t="shared" si="62"/>
        <v>2160</v>
      </c>
    </row>
    <row r="98" ht="12.75" customHeight="1">
      <c r="A98" s="67"/>
      <c r="B98" s="68">
        <f t="shared" ref="B98:I98" si="63">SUM(B93:B97)</f>
        <v>1370</v>
      </c>
      <c r="C98" s="68">
        <f t="shared" si="63"/>
        <v>1271.5</v>
      </c>
      <c r="D98" s="68">
        <f t="shared" si="63"/>
        <v>4690</v>
      </c>
      <c r="E98" s="68">
        <f t="shared" si="63"/>
        <v>970</v>
      </c>
      <c r="F98" s="68">
        <f t="shared" si="63"/>
        <v>8301.5</v>
      </c>
      <c r="G98" s="70">
        <f t="shared" si="63"/>
        <v>143</v>
      </c>
      <c r="H98" s="70">
        <f t="shared" si="63"/>
        <v>23</v>
      </c>
      <c r="I98" s="91">
        <f t="shared" si="63"/>
        <v>970</v>
      </c>
      <c r="K98" s="81" t="s">
        <v>72</v>
      </c>
      <c r="L98" s="81">
        <v>19.0</v>
      </c>
      <c r="M98" s="81">
        <v>4.0</v>
      </c>
      <c r="N98" s="82">
        <f t="shared" si="62"/>
        <v>1997.28</v>
      </c>
    </row>
    <row r="99" ht="12.75" customHeight="1">
      <c r="A99" s="74"/>
      <c r="B99" s="75"/>
      <c r="C99" s="75"/>
      <c r="D99" s="75"/>
      <c r="E99" s="75"/>
      <c r="F99" s="75"/>
      <c r="G99" s="76"/>
      <c r="H99" s="76"/>
      <c r="I99" s="74"/>
      <c r="K99" s="81" t="s">
        <v>73</v>
      </c>
      <c r="L99" s="81">
        <v>15.0</v>
      </c>
      <c r="M99" s="81">
        <v>3.0</v>
      </c>
      <c r="N99" s="82">
        <f t="shared" si="62"/>
        <v>1565.46</v>
      </c>
    </row>
    <row r="100" ht="12.75" customHeight="1">
      <c r="A100" s="58">
        <f>A97+3</f>
        <v>43563</v>
      </c>
      <c r="B100" s="59">
        <v>540.0</v>
      </c>
      <c r="C100" s="59">
        <v>81.32</v>
      </c>
      <c r="D100" s="59">
        <v>550.0</v>
      </c>
      <c r="E100" s="59">
        <v>100.0</v>
      </c>
      <c r="F100" s="60">
        <f t="shared" ref="F100:F104" si="64">SUM(B100:E100)</f>
        <v>1271.32</v>
      </c>
      <c r="G100" s="59">
        <v>21.0</v>
      </c>
      <c r="H100" s="59">
        <v>2.0</v>
      </c>
      <c r="I100" s="61">
        <v>100.0</v>
      </c>
      <c r="K100" s="81" t="s">
        <v>74</v>
      </c>
      <c r="L100" s="81">
        <v>15.0</v>
      </c>
      <c r="M100" s="81"/>
      <c r="N100" s="82">
        <f t="shared" si="62"/>
        <v>1350</v>
      </c>
    </row>
    <row r="101" ht="12.75" customHeight="1">
      <c r="A101" s="58">
        <f t="shared" ref="A101:A104" si="65">A100+1</f>
        <v>43564</v>
      </c>
      <c r="B101" s="81">
        <v>310.0</v>
      </c>
      <c r="C101" s="81">
        <v>81.32</v>
      </c>
      <c r="D101" s="81">
        <v>670.0</v>
      </c>
      <c r="E101" s="81">
        <v>50.0</v>
      </c>
      <c r="F101" s="60">
        <f t="shared" si="64"/>
        <v>1111.32</v>
      </c>
      <c r="G101" s="81">
        <v>20.0</v>
      </c>
      <c r="H101" s="81">
        <v>2.0</v>
      </c>
      <c r="I101" s="83">
        <v>50.0</v>
      </c>
    </row>
    <row r="102" ht="12.75" customHeight="1">
      <c r="A102" s="58">
        <f t="shared" si="65"/>
        <v>43565</v>
      </c>
      <c r="B102" s="81">
        <v>240.0</v>
      </c>
      <c r="C102" s="81">
        <v>242.88</v>
      </c>
      <c r="D102" s="81">
        <v>580.0</v>
      </c>
      <c r="E102" s="81">
        <v>0.0</v>
      </c>
      <c r="F102" s="60">
        <f t="shared" si="64"/>
        <v>1062.88</v>
      </c>
      <c r="G102" s="81">
        <v>20.0</v>
      </c>
      <c r="H102" s="81">
        <v>6.0</v>
      </c>
      <c r="I102" s="83">
        <v>0.0</v>
      </c>
      <c r="K102" s="64"/>
      <c r="L102" s="65">
        <f>L103+M103</f>
        <v>59</v>
      </c>
      <c r="N102" s="66"/>
    </row>
    <row r="103" ht="12.75" customHeight="1">
      <c r="A103" s="58">
        <f t="shared" si="65"/>
        <v>43566</v>
      </c>
      <c r="B103" s="81">
        <v>240.0</v>
      </c>
      <c r="C103" s="81">
        <v>316.05</v>
      </c>
      <c r="D103" s="81">
        <v>1220.0</v>
      </c>
      <c r="E103" s="81">
        <v>250.0</v>
      </c>
      <c r="F103" s="60">
        <f t="shared" si="64"/>
        <v>2026.05</v>
      </c>
      <c r="G103" s="81">
        <v>33.0</v>
      </c>
      <c r="H103" s="81">
        <v>7.0</v>
      </c>
      <c r="I103" s="83">
        <v>250.0</v>
      </c>
      <c r="K103" s="64"/>
      <c r="L103" s="72">
        <f t="shared" ref="L103:N103" si="66">SUM(L105:L109)</f>
        <v>52</v>
      </c>
      <c r="M103" s="72">
        <f t="shared" si="66"/>
        <v>7</v>
      </c>
      <c r="N103" s="336">
        <f t="shared" si="66"/>
        <v>5182.74</v>
      </c>
    </row>
    <row r="104" ht="12.75" customHeight="1">
      <c r="A104" s="58">
        <f t="shared" si="65"/>
        <v>43567</v>
      </c>
      <c r="B104" s="81">
        <v>420.0</v>
      </c>
      <c r="C104" s="81">
        <v>376.11</v>
      </c>
      <c r="D104" s="81">
        <v>530.0</v>
      </c>
      <c r="E104" s="81">
        <v>50.0</v>
      </c>
      <c r="F104" s="60">
        <f t="shared" si="64"/>
        <v>1376.11</v>
      </c>
      <c r="G104" s="81">
        <v>21.0</v>
      </c>
      <c r="H104" s="81">
        <v>7.0</v>
      </c>
      <c r="I104" s="83">
        <v>50.0</v>
      </c>
      <c r="K104" s="95" t="s">
        <v>84</v>
      </c>
      <c r="L104" s="79">
        <v>90.0</v>
      </c>
      <c r="M104" s="79">
        <v>71.82</v>
      </c>
      <c r="N104" s="66"/>
    </row>
    <row r="105" ht="12.75" customHeight="1">
      <c r="A105" s="67"/>
      <c r="B105" s="68">
        <f t="shared" ref="B105:I105" si="67">SUM(B100:B104)</f>
        <v>1750</v>
      </c>
      <c r="C105" s="68">
        <f t="shared" si="67"/>
        <v>1097.68</v>
      </c>
      <c r="D105" s="68">
        <f t="shared" si="67"/>
        <v>3550</v>
      </c>
      <c r="E105" s="68">
        <f t="shared" si="67"/>
        <v>450</v>
      </c>
      <c r="F105" s="68">
        <f t="shared" si="67"/>
        <v>6847.68</v>
      </c>
      <c r="G105" s="70">
        <f t="shared" si="67"/>
        <v>115</v>
      </c>
      <c r="H105" s="70">
        <f t="shared" si="67"/>
        <v>24</v>
      </c>
      <c r="I105" s="71">
        <f t="shared" si="67"/>
        <v>450</v>
      </c>
      <c r="K105" s="81" t="s">
        <v>70</v>
      </c>
      <c r="L105" s="81">
        <v>16.0</v>
      </c>
      <c r="M105" s="81">
        <v>2.0</v>
      </c>
      <c r="N105" s="82">
        <f t="shared" ref="N105:N109" si="68">L105*$L$104+M105*$M$104</f>
        <v>1583.64</v>
      </c>
    </row>
    <row r="106" ht="12.75" customHeight="1">
      <c r="A106" s="74"/>
      <c r="B106" s="75"/>
      <c r="C106" s="75"/>
      <c r="D106" s="75"/>
      <c r="E106" s="75"/>
      <c r="F106" s="75"/>
      <c r="G106" s="76"/>
      <c r="H106" s="76"/>
      <c r="I106" s="77"/>
      <c r="K106" s="81" t="s">
        <v>71</v>
      </c>
      <c r="L106" s="81"/>
      <c r="M106" s="81"/>
      <c r="N106" s="82">
        <f t="shared" si="68"/>
        <v>0</v>
      </c>
    </row>
    <row r="107" ht="12.75" customHeight="1">
      <c r="A107" s="97">
        <f>A104+3</f>
        <v>43570</v>
      </c>
      <c r="B107" s="59">
        <v>140.0</v>
      </c>
      <c r="C107" s="59">
        <v>273.99</v>
      </c>
      <c r="D107" s="59">
        <v>1200.0</v>
      </c>
      <c r="E107" s="59">
        <v>240.0</v>
      </c>
      <c r="F107" s="104">
        <f t="shared" ref="F107:F111" si="69">SUM(B107:E107)</f>
        <v>1853.99</v>
      </c>
      <c r="G107" s="59">
        <v>32.0</v>
      </c>
      <c r="H107" s="59">
        <v>6.0</v>
      </c>
      <c r="I107" s="59">
        <v>240.0</v>
      </c>
      <c r="K107" s="81" t="s">
        <v>72</v>
      </c>
      <c r="L107" s="81">
        <v>26.0</v>
      </c>
      <c r="M107" s="81">
        <v>3.0</v>
      </c>
      <c r="N107" s="82">
        <f t="shared" si="68"/>
        <v>2555.46</v>
      </c>
    </row>
    <row r="108" ht="12.75" customHeight="1">
      <c r="A108" s="97">
        <f t="shared" ref="A108:A111" si="70">A107+1</f>
        <v>43571</v>
      </c>
      <c r="B108" s="81">
        <v>240.0</v>
      </c>
      <c r="C108" s="81">
        <f>302.26-12.2</f>
        <v>290.06</v>
      </c>
      <c r="D108" s="81">
        <v>1150.0</v>
      </c>
      <c r="E108" s="81">
        <v>12.2</v>
      </c>
      <c r="F108" s="104">
        <f t="shared" si="69"/>
        <v>1692.26</v>
      </c>
      <c r="G108" s="81">
        <v>29.0</v>
      </c>
      <c r="H108" s="81">
        <v>6.0</v>
      </c>
      <c r="I108" s="81">
        <v>12.2</v>
      </c>
      <c r="K108" s="81" t="s">
        <v>73</v>
      </c>
      <c r="L108" s="81">
        <v>10.0</v>
      </c>
      <c r="M108" s="81">
        <v>2.0</v>
      </c>
      <c r="N108" s="82">
        <f t="shared" si="68"/>
        <v>1043.64</v>
      </c>
    </row>
    <row r="109" ht="12.75" customHeight="1">
      <c r="A109" s="97">
        <f t="shared" si="70"/>
        <v>43572</v>
      </c>
      <c r="B109" s="81">
        <v>340.0</v>
      </c>
      <c r="C109" s="81">
        <v>419.28</v>
      </c>
      <c r="D109" s="81">
        <v>450.0</v>
      </c>
      <c r="E109" s="81">
        <v>0.0</v>
      </c>
      <c r="F109" s="104">
        <f t="shared" si="69"/>
        <v>1209.28</v>
      </c>
      <c r="G109" s="81">
        <v>24.0</v>
      </c>
      <c r="H109" s="81">
        <v>10.0</v>
      </c>
      <c r="I109" s="81">
        <v>0.0</v>
      </c>
      <c r="K109" s="81" t="s">
        <v>74</v>
      </c>
      <c r="L109" s="81"/>
      <c r="M109" s="81"/>
      <c r="N109" s="82">
        <f t="shared" si="68"/>
        <v>0</v>
      </c>
    </row>
    <row r="110" ht="12.75" customHeight="1">
      <c r="A110" s="97">
        <f t="shared" si="70"/>
        <v>43573</v>
      </c>
      <c r="B110" s="81">
        <v>490.0</v>
      </c>
      <c r="C110" s="81">
        <v>249.3</v>
      </c>
      <c r="D110" s="81">
        <v>810.0</v>
      </c>
      <c r="E110" s="81">
        <v>190.0</v>
      </c>
      <c r="F110" s="139">
        <f t="shared" si="69"/>
        <v>1739.3</v>
      </c>
      <c r="G110" s="81">
        <v>32.0</v>
      </c>
      <c r="H110" s="81">
        <v>6.0</v>
      </c>
      <c r="I110" s="81">
        <v>200.0</v>
      </c>
    </row>
    <row r="111" ht="12.75" customHeight="1">
      <c r="A111" s="97">
        <f t="shared" si="70"/>
        <v>43574</v>
      </c>
      <c r="B111" s="89">
        <v>310.0</v>
      </c>
      <c r="C111" s="89">
        <v>305.42</v>
      </c>
      <c r="D111" s="89">
        <v>990.0</v>
      </c>
      <c r="E111" s="89">
        <v>50.0</v>
      </c>
      <c r="F111" s="139">
        <f t="shared" si="69"/>
        <v>1655.42</v>
      </c>
      <c r="G111" s="89">
        <v>27.0</v>
      </c>
      <c r="H111" s="89">
        <v>6.0</v>
      </c>
      <c r="I111" s="89">
        <v>50.0</v>
      </c>
      <c r="K111" s="64"/>
      <c r="L111" s="65">
        <f>L112+M112</f>
        <v>51</v>
      </c>
      <c r="N111" s="66"/>
    </row>
    <row r="112" ht="12.75" customHeight="1">
      <c r="A112" s="67"/>
      <c r="B112" s="91">
        <f t="shared" ref="B112:I112" si="71">SUM(B107:B111)</f>
        <v>1520</v>
      </c>
      <c r="C112" s="91">
        <f t="shared" si="71"/>
        <v>1538.05</v>
      </c>
      <c r="D112" s="91">
        <f t="shared" si="71"/>
        <v>4600</v>
      </c>
      <c r="E112" s="91">
        <f t="shared" si="71"/>
        <v>492.2</v>
      </c>
      <c r="F112" s="68">
        <f t="shared" si="71"/>
        <v>8150.25</v>
      </c>
      <c r="G112" s="140">
        <f t="shared" si="71"/>
        <v>144</v>
      </c>
      <c r="H112" s="70">
        <f t="shared" si="71"/>
        <v>34</v>
      </c>
      <c r="I112" s="91">
        <f t="shared" si="71"/>
        <v>502.2</v>
      </c>
      <c r="K112" s="64"/>
      <c r="L112" s="72">
        <f t="shared" ref="L112:N112" si="72">SUM(L114:L118)</f>
        <v>48</v>
      </c>
      <c r="M112" s="72">
        <f t="shared" si="72"/>
        <v>3</v>
      </c>
      <c r="N112" s="336">
        <f t="shared" si="72"/>
        <v>4535.46</v>
      </c>
    </row>
    <row r="113" ht="12.75" customHeight="1">
      <c r="A113" s="74"/>
      <c r="B113" s="74"/>
      <c r="C113" s="74"/>
      <c r="D113" s="74"/>
      <c r="E113" s="74"/>
      <c r="F113" s="75"/>
      <c r="G113" s="75"/>
      <c r="H113" s="76"/>
      <c r="I113" s="74"/>
      <c r="K113" s="95" t="s">
        <v>85</v>
      </c>
      <c r="L113" s="79">
        <v>90.0</v>
      </c>
      <c r="M113" s="79">
        <v>71.82</v>
      </c>
      <c r="N113" s="66"/>
    </row>
    <row r="114" ht="12.75" customHeight="1">
      <c r="A114" s="97">
        <f>A111+3</f>
        <v>43577</v>
      </c>
      <c r="B114" s="138"/>
      <c r="C114" s="138"/>
      <c r="D114" s="138"/>
      <c r="E114" s="138"/>
      <c r="F114" s="151">
        <f t="shared" ref="F114:F118" si="73">SUM(B114:E114)</f>
        <v>0</v>
      </c>
      <c r="G114" s="138"/>
      <c r="H114" s="138"/>
      <c r="I114" s="146"/>
      <c r="K114" s="81" t="s">
        <v>70</v>
      </c>
      <c r="L114" s="84"/>
      <c r="M114" s="84"/>
      <c r="N114" s="120">
        <f t="shared" ref="N114:N118" si="74">L114*$L$113+M114*$M$113</f>
        <v>0</v>
      </c>
    </row>
    <row r="115" ht="12.75" customHeight="1">
      <c r="A115" s="102">
        <f t="shared" ref="A115:A118" si="75">A114+1</f>
        <v>43578</v>
      </c>
      <c r="B115" s="81">
        <v>590.0</v>
      </c>
      <c r="C115" s="81">
        <v>202.94</v>
      </c>
      <c r="D115" s="81">
        <v>790.0</v>
      </c>
      <c r="E115" s="81">
        <v>0.0</v>
      </c>
      <c r="F115" s="142">
        <f t="shared" si="73"/>
        <v>1582.94</v>
      </c>
      <c r="G115" s="81">
        <v>32.0</v>
      </c>
      <c r="H115" s="81">
        <v>5.0</v>
      </c>
      <c r="I115" s="81">
        <v>0.0</v>
      </c>
      <c r="K115" s="81" t="s">
        <v>71</v>
      </c>
      <c r="L115" s="81">
        <v>28.0</v>
      </c>
      <c r="M115" s="81">
        <v>1.0</v>
      </c>
      <c r="N115" s="82">
        <f t="shared" si="74"/>
        <v>2591.82</v>
      </c>
    </row>
    <row r="116" ht="12.75" customHeight="1">
      <c r="A116" s="102">
        <f t="shared" si="75"/>
        <v>43579</v>
      </c>
      <c r="B116" s="81">
        <v>250.0</v>
      </c>
      <c r="C116" s="81">
        <v>347.52</v>
      </c>
      <c r="D116" s="81">
        <v>510.0</v>
      </c>
      <c r="E116" s="81">
        <v>0.0</v>
      </c>
      <c r="F116" s="141">
        <f t="shared" si="73"/>
        <v>1107.52</v>
      </c>
      <c r="G116" s="124">
        <v>25.0</v>
      </c>
      <c r="H116" s="124">
        <v>10.0</v>
      </c>
      <c r="I116" s="143">
        <v>0.0</v>
      </c>
      <c r="K116" s="81" t="s">
        <v>72</v>
      </c>
      <c r="L116" s="81">
        <v>16.0</v>
      </c>
      <c r="M116" s="81">
        <v>2.0</v>
      </c>
      <c r="N116" s="82">
        <f t="shared" si="74"/>
        <v>1583.64</v>
      </c>
    </row>
    <row r="117" ht="12.75" customHeight="1">
      <c r="A117" s="102">
        <f t="shared" si="75"/>
        <v>43580</v>
      </c>
      <c r="B117" s="89">
        <v>480.0</v>
      </c>
      <c r="C117" s="89">
        <v>298.93</v>
      </c>
      <c r="D117" s="89">
        <v>662.2</v>
      </c>
      <c r="E117" s="89">
        <v>270.0</v>
      </c>
      <c r="F117" s="144">
        <f t="shared" si="73"/>
        <v>1711.13</v>
      </c>
      <c r="G117" s="89">
        <v>33.0</v>
      </c>
      <c r="H117" s="89">
        <v>7.0</v>
      </c>
      <c r="I117" s="90">
        <v>270.0</v>
      </c>
      <c r="K117" s="81" t="s">
        <v>73</v>
      </c>
      <c r="L117" s="81">
        <v>4.0</v>
      </c>
      <c r="M117" s="81">
        <v>0.0</v>
      </c>
      <c r="N117" s="82">
        <f t="shared" si="74"/>
        <v>360</v>
      </c>
    </row>
    <row r="118" ht="12.75" customHeight="1">
      <c r="A118" s="252">
        <f t="shared" si="75"/>
        <v>43581</v>
      </c>
      <c r="B118" s="81">
        <v>90.0</v>
      </c>
      <c r="C118" s="81">
        <v>124.78</v>
      </c>
      <c r="D118" s="81">
        <v>1070.0</v>
      </c>
      <c r="E118" s="81">
        <v>240.0</v>
      </c>
      <c r="F118" s="144">
        <f t="shared" si="73"/>
        <v>1524.78</v>
      </c>
      <c r="G118" s="81">
        <v>26.0</v>
      </c>
      <c r="H118" s="81">
        <v>3.0</v>
      </c>
      <c r="I118" s="81">
        <v>240.0</v>
      </c>
      <c r="K118" s="81" t="s">
        <v>74</v>
      </c>
      <c r="L118" s="84"/>
      <c r="M118" s="84"/>
      <c r="N118" s="120">
        <f t="shared" si="74"/>
        <v>0</v>
      </c>
    </row>
    <row r="119" ht="12.75" customHeight="1">
      <c r="A119" s="67"/>
      <c r="B119" s="253">
        <f t="shared" ref="B119:I119" si="76">SUM(B114:B118)</f>
        <v>1410</v>
      </c>
      <c r="C119" s="145">
        <f t="shared" si="76"/>
        <v>974.17</v>
      </c>
      <c r="D119" s="145">
        <f t="shared" si="76"/>
        <v>3032.2</v>
      </c>
      <c r="E119" s="145">
        <f t="shared" si="76"/>
        <v>510</v>
      </c>
      <c r="F119" s="91">
        <f t="shared" si="76"/>
        <v>5926.37</v>
      </c>
      <c r="G119" s="140">
        <f t="shared" si="76"/>
        <v>116</v>
      </c>
      <c r="H119" s="140">
        <f t="shared" si="76"/>
        <v>25</v>
      </c>
      <c r="I119" s="145">
        <f t="shared" si="76"/>
        <v>510</v>
      </c>
    </row>
    <row r="120" ht="12.75" customHeight="1">
      <c r="A120" s="74"/>
      <c r="B120" s="77"/>
      <c r="C120" s="74"/>
      <c r="D120" s="74"/>
      <c r="E120" s="74"/>
      <c r="F120" s="74"/>
      <c r="G120" s="75"/>
      <c r="H120" s="75"/>
      <c r="I120" s="74"/>
    </row>
    <row r="121" ht="12.75" customHeight="1">
      <c r="A121" s="102">
        <f>A118+3</f>
        <v>43584</v>
      </c>
      <c r="B121" s="89">
        <v>380.0</v>
      </c>
      <c r="C121" s="89">
        <v>141.38</v>
      </c>
      <c r="D121" s="89">
        <v>1140.0</v>
      </c>
      <c r="E121" s="89">
        <v>220.0</v>
      </c>
      <c r="F121" s="144">
        <f t="shared" ref="F121:F122" si="77">SUM(B121:E121)</f>
        <v>1881.38</v>
      </c>
      <c r="G121" s="81">
        <v>32.0</v>
      </c>
      <c r="H121" s="81">
        <v>2.0</v>
      </c>
      <c r="I121" s="89">
        <v>210.0</v>
      </c>
    </row>
    <row r="122" ht="12.75" customHeight="1">
      <c r="A122" s="102">
        <f>A121+1</f>
        <v>43585</v>
      </c>
      <c r="B122" s="89">
        <v>270.0</v>
      </c>
      <c r="C122" s="89">
        <v>272.23</v>
      </c>
      <c r="D122" s="89">
        <v>470.0</v>
      </c>
      <c r="E122" s="89">
        <v>0.0</v>
      </c>
      <c r="F122" s="144">
        <f t="shared" si="77"/>
        <v>1012.23</v>
      </c>
      <c r="G122" s="81">
        <v>20.0</v>
      </c>
      <c r="H122" s="81">
        <v>6.0</v>
      </c>
      <c r="I122" s="89">
        <v>0.0</v>
      </c>
    </row>
    <row r="123" ht="12.75" customHeight="1">
      <c r="A123" s="64"/>
      <c r="B123" s="91">
        <f t="shared" ref="B123:I123" si="78">SUM(B121:B122)</f>
        <v>650</v>
      </c>
      <c r="C123" s="91">
        <f t="shared" si="78"/>
        <v>413.61</v>
      </c>
      <c r="D123" s="91">
        <f t="shared" si="78"/>
        <v>1610</v>
      </c>
      <c r="E123" s="91">
        <f t="shared" si="78"/>
        <v>220</v>
      </c>
      <c r="F123" s="91">
        <f t="shared" si="78"/>
        <v>2893.61</v>
      </c>
      <c r="G123" s="140">
        <f t="shared" si="78"/>
        <v>52</v>
      </c>
      <c r="H123" s="140">
        <f t="shared" si="78"/>
        <v>8</v>
      </c>
      <c r="I123" s="145">
        <f t="shared" si="78"/>
        <v>210</v>
      </c>
    </row>
    <row r="124" ht="12.75" customHeight="1">
      <c r="A124" s="66"/>
      <c r="B124" s="74"/>
      <c r="C124" s="74"/>
      <c r="D124" s="74"/>
      <c r="E124" s="74"/>
      <c r="F124" s="74"/>
      <c r="G124" s="75"/>
      <c r="H124" s="75"/>
      <c r="I124" s="74"/>
    </row>
    <row r="125" ht="12.75" customHeight="1">
      <c r="A125" s="58">
        <v>43586.0</v>
      </c>
      <c r="B125" s="84"/>
      <c r="C125" s="84"/>
      <c r="D125" s="84"/>
      <c r="E125" s="84"/>
      <c r="F125" s="85">
        <f t="shared" ref="F125:F127" si="79">SUM(B125:E125)</f>
        <v>0</v>
      </c>
      <c r="G125" s="84"/>
      <c r="H125" s="84"/>
      <c r="I125" s="86"/>
    </row>
    <row r="126" ht="12.75" customHeight="1">
      <c r="A126" s="58">
        <f t="shared" ref="A126:A127" si="80">A125+1</f>
        <v>43587</v>
      </c>
      <c r="B126" s="81">
        <v>460.0</v>
      </c>
      <c r="C126" s="81">
        <v>304.02</v>
      </c>
      <c r="D126" s="81">
        <v>1210.0</v>
      </c>
      <c r="E126" s="81">
        <v>100.0</v>
      </c>
      <c r="F126" s="183">
        <f t="shared" si="79"/>
        <v>2074.02</v>
      </c>
      <c r="G126" s="81">
        <v>35.0</v>
      </c>
      <c r="H126" s="81">
        <v>6.0</v>
      </c>
      <c r="I126" s="83">
        <v>100.0</v>
      </c>
    </row>
    <row r="127" ht="12.75" customHeight="1">
      <c r="A127" s="58">
        <f t="shared" si="80"/>
        <v>43588</v>
      </c>
      <c r="B127" s="81">
        <v>150.0</v>
      </c>
      <c r="C127" s="81">
        <v>222.7</v>
      </c>
      <c r="D127" s="81">
        <v>680.0</v>
      </c>
      <c r="E127" s="81">
        <v>430.0</v>
      </c>
      <c r="F127" s="183">
        <f t="shared" si="79"/>
        <v>1482.7</v>
      </c>
      <c r="G127" s="81">
        <v>25.0</v>
      </c>
      <c r="H127" s="81">
        <v>4.0</v>
      </c>
      <c r="I127" s="83">
        <v>440.0</v>
      </c>
    </row>
    <row r="128" ht="12.75" customHeight="1">
      <c r="A128" s="67"/>
      <c r="B128" s="68">
        <f t="shared" ref="B128:I128" si="81">SUM(B125:B127)</f>
        <v>610</v>
      </c>
      <c r="C128" s="68">
        <f t="shared" si="81"/>
        <v>526.72</v>
      </c>
      <c r="D128" s="68">
        <f t="shared" si="81"/>
        <v>1890</v>
      </c>
      <c r="E128" s="68">
        <f t="shared" si="81"/>
        <v>530</v>
      </c>
      <c r="F128" s="68">
        <f t="shared" si="81"/>
        <v>3556.72</v>
      </c>
      <c r="G128" s="70">
        <f t="shared" si="81"/>
        <v>60</v>
      </c>
      <c r="H128" s="70">
        <f t="shared" si="81"/>
        <v>10</v>
      </c>
      <c r="I128" s="91">
        <f t="shared" si="81"/>
        <v>540</v>
      </c>
    </row>
    <row r="129" ht="12.75" customHeight="1">
      <c r="A129" s="74"/>
      <c r="B129" s="75"/>
      <c r="C129" s="75"/>
      <c r="D129" s="75"/>
      <c r="E129" s="75"/>
      <c r="F129" s="75"/>
      <c r="G129" s="76"/>
      <c r="H129" s="76"/>
      <c r="I129" s="74"/>
    </row>
    <row r="130" ht="12.75" customHeight="1">
      <c r="A130" s="58">
        <f>A127+3</f>
        <v>43591</v>
      </c>
      <c r="B130" s="59">
        <v>340.0</v>
      </c>
      <c r="C130" s="59">
        <v>81.32</v>
      </c>
      <c r="D130" s="59">
        <v>480.0</v>
      </c>
      <c r="E130" s="59">
        <v>200.0</v>
      </c>
      <c r="F130" s="60">
        <f t="shared" ref="F130:F134" si="82">SUM(B130:E130)</f>
        <v>1101.32</v>
      </c>
      <c r="G130" s="81">
        <v>21.0</v>
      </c>
      <c r="H130" s="81">
        <v>2.0</v>
      </c>
      <c r="I130" s="83">
        <v>200.0</v>
      </c>
    </row>
    <row r="131" ht="12.75" customHeight="1">
      <c r="A131" s="58">
        <f t="shared" ref="A131:A134" si="83">A130+1</f>
        <v>43592</v>
      </c>
      <c r="B131" s="59">
        <v>100.0</v>
      </c>
      <c r="C131" s="59">
        <v>121.98</v>
      </c>
      <c r="D131" s="59">
        <v>680.0</v>
      </c>
      <c r="E131" s="59">
        <v>0.0</v>
      </c>
      <c r="F131" s="60">
        <f t="shared" si="82"/>
        <v>901.98</v>
      </c>
      <c r="G131" s="81">
        <v>18.0</v>
      </c>
      <c r="H131" s="81">
        <v>3.0</v>
      </c>
      <c r="I131" s="83">
        <v>0.0</v>
      </c>
    </row>
    <row r="132" ht="12.75" customHeight="1">
      <c r="A132" s="58">
        <f t="shared" si="83"/>
        <v>43593</v>
      </c>
      <c r="B132" s="138"/>
      <c r="C132" s="138"/>
      <c r="D132" s="138"/>
      <c r="E132" s="138"/>
      <c r="F132" s="85">
        <f t="shared" si="82"/>
        <v>0</v>
      </c>
      <c r="G132" s="84"/>
      <c r="H132" s="84"/>
      <c r="I132" s="86"/>
    </row>
    <row r="133" ht="12.75" customHeight="1">
      <c r="A133" s="58">
        <f t="shared" si="83"/>
        <v>43594</v>
      </c>
      <c r="B133" s="59">
        <v>300.0</v>
      </c>
      <c r="C133" s="59">
        <v>38.9</v>
      </c>
      <c r="D133" s="59">
        <v>1410.0</v>
      </c>
      <c r="E133" s="59">
        <v>100.0</v>
      </c>
      <c r="F133" s="60">
        <f t="shared" si="82"/>
        <v>1848.9</v>
      </c>
      <c r="G133" s="81">
        <v>33.0</v>
      </c>
      <c r="H133" s="81">
        <v>1.0</v>
      </c>
      <c r="I133" s="83">
        <v>100.0</v>
      </c>
    </row>
    <row r="134" ht="12.75" customHeight="1">
      <c r="A134" s="58">
        <f t="shared" si="83"/>
        <v>43595</v>
      </c>
      <c r="B134" s="59">
        <v>160.0</v>
      </c>
      <c r="C134" s="59">
        <v>81.32</v>
      </c>
      <c r="D134" s="59">
        <v>600.0</v>
      </c>
      <c r="E134" s="59">
        <v>100.0</v>
      </c>
      <c r="F134" s="60">
        <f t="shared" si="82"/>
        <v>941.32</v>
      </c>
      <c r="G134" s="81">
        <v>14.0</v>
      </c>
      <c r="H134" s="81">
        <v>2.0</v>
      </c>
      <c r="I134" s="83">
        <v>100.0</v>
      </c>
    </row>
    <row r="135" ht="12.75" customHeight="1">
      <c r="A135" s="67"/>
      <c r="B135" s="68">
        <f t="shared" ref="B135:I135" si="84">SUM(B130:B134)</f>
        <v>900</v>
      </c>
      <c r="C135" s="68">
        <f t="shared" si="84"/>
        <v>323.52</v>
      </c>
      <c r="D135" s="68">
        <f t="shared" si="84"/>
        <v>3170</v>
      </c>
      <c r="E135" s="91">
        <f t="shared" si="84"/>
        <v>400</v>
      </c>
      <c r="F135" s="68">
        <f t="shared" si="84"/>
        <v>4793.52</v>
      </c>
      <c r="G135" s="70">
        <f t="shared" si="84"/>
        <v>86</v>
      </c>
      <c r="H135" s="70">
        <f t="shared" si="84"/>
        <v>8</v>
      </c>
      <c r="I135" s="91">
        <f t="shared" si="84"/>
        <v>400</v>
      </c>
    </row>
    <row r="136" ht="12.75" customHeight="1">
      <c r="A136" s="74"/>
      <c r="B136" s="75"/>
      <c r="C136" s="75"/>
      <c r="D136" s="75"/>
      <c r="E136" s="74"/>
      <c r="F136" s="75"/>
      <c r="G136" s="76"/>
      <c r="H136" s="76"/>
      <c r="I136" s="74"/>
    </row>
    <row r="137" ht="12.75" customHeight="1">
      <c r="A137" s="97">
        <f>A134+3</f>
        <v>43598</v>
      </c>
      <c r="B137" s="112">
        <v>520.0</v>
      </c>
      <c r="C137" s="59">
        <v>217.42</v>
      </c>
      <c r="D137" s="59">
        <v>1270.0</v>
      </c>
      <c r="E137" s="59">
        <v>100.0</v>
      </c>
      <c r="F137" s="60">
        <f t="shared" ref="F137:F141" si="85">SUM(B137:E137)</f>
        <v>2107.42</v>
      </c>
      <c r="G137" s="59">
        <v>37.0</v>
      </c>
      <c r="H137" s="59">
        <v>5.0</v>
      </c>
      <c r="I137" s="61">
        <v>100.0</v>
      </c>
    </row>
    <row r="138" ht="12.75" customHeight="1">
      <c r="A138" s="97">
        <f t="shared" ref="A138:A140" si="86">A137+1</f>
        <v>43599</v>
      </c>
      <c r="B138" s="81">
        <v>100.0</v>
      </c>
      <c r="C138" s="81">
        <v>179.88</v>
      </c>
      <c r="D138" s="81">
        <v>652.62</v>
      </c>
      <c r="E138" s="81">
        <v>132.2</v>
      </c>
      <c r="F138" s="60">
        <f t="shared" si="85"/>
        <v>1064.7</v>
      </c>
      <c r="G138" s="81">
        <v>22.0</v>
      </c>
      <c r="H138" s="81">
        <v>5.0</v>
      </c>
      <c r="I138" s="83">
        <v>130.0</v>
      </c>
    </row>
    <row r="139" ht="12.75" customHeight="1">
      <c r="A139" s="97">
        <f t="shared" si="86"/>
        <v>43600</v>
      </c>
      <c r="B139" s="81">
        <v>320.0</v>
      </c>
      <c r="C139" s="81">
        <v>386.78</v>
      </c>
      <c r="D139" s="81">
        <v>220.0</v>
      </c>
      <c r="E139" s="81">
        <v>250.0</v>
      </c>
      <c r="F139" s="60">
        <f t="shared" si="85"/>
        <v>1176.78</v>
      </c>
      <c r="G139" s="81">
        <v>26.0</v>
      </c>
      <c r="H139" s="81">
        <v>10.0</v>
      </c>
      <c r="I139" s="83">
        <v>250.0</v>
      </c>
    </row>
    <row r="140" ht="12.75" customHeight="1">
      <c r="A140" s="97">
        <f t="shared" si="86"/>
        <v>43601</v>
      </c>
      <c r="B140" s="81">
        <v>330.0</v>
      </c>
      <c r="C140" s="81">
        <v>167.98</v>
      </c>
      <c r="D140" s="81">
        <v>1020.0</v>
      </c>
      <c r="E140" s="81">
        <v>280.0</v>
      </c>
      <c r="F140" s="60">
        <f t="shared" si="85"/>
        <v>1797.98</v>
      </c>
      <c r="G140" s="59">
        <v>34.0</v>
      </c>
      <c r="H140" s="59">
        <v>4.0</v>
      </c>
      <c r="I140" s="61">
        <v>380.0</v>
      </c>
    </row>
    <row r="141" ht="12.75" customHeight="1">
      <c r="A141" s="97">
        <f>A138+3</f>
        <v>43602</v>
      </c>
      <c r="B141" s="81">
        <v>350.0</v>
      </c>
      <c r="C141" s="81">
        <v>152.01</v>
      </c>
      <c r="D141" s="81">
        <v>740.0</v>
      </c>
      <c r="E141" s="81">
        <v>100.0</v>
      </c>
      <c r="F141" s="60">
        <f t="shared" si="85"/>
        <v>1342.01</v>
      </c>
      <c r="G141" s="81">
        <v>22.0</v>
      </c>
      <c r="H141" s="81">
        <v>3.0</v>
      </c>
      <c r="I141" s="83">
        <v>90.0</v>
      </c>
    </row>
    <row r="142" ht="12.75" customHeight="1">
      <c r="A142" s="131"/>
      <c r="B142" s="68">
        <f t="shared" ref="B142:I142" si="87">SUM(B137:B141)</f>
        <v>1620</v>
      </c>
      <c r="C142" s="68">
        <f t="shared" si="87"/>
        <v>1104.07</v>
      </c>
      <c r="D142" s="68">
        <f t="shared" si="87"/>
        <v>3902.62</v>
      </c>
      <c r="E142" s="68">
        <f t="shared" si="87"/>
        <v>862.2</v>
      </c>
      <c r="F142" s="68">
        <f t="shared" si="87"/>
        <v>7488.89</v>
      </c>
      <c r="G142" s="147">
        <f t="shared" si="87"/>
        <v>141</v>
      </c>
      <c r="H142" s="147">
        <f t="shared" si="87"/>
        <v>27</v>
      </c>
      <c r="I142" s="91">
        <f t="shared" si="87"/>
        <v>950</v>
      </c>
    </row>
    <row r="143" ht="12.75" customHeight="1">
      <c r="A143" s="148"/>
      <c r="B143" s="75"/>
      <c r="C143" s="75"/>
      <c r="D143" s="75"/>
      <c r="E143" s="75"/>
      <c r="F143" s="75"/>
      <c r="G143" s="75"/>
      <c r="H143" s="75"/>
      <c r="I143" s="74"/>
    </row>
    <row r="144" ht="12.75" customHeight="1">
      <c r="A144" s="97">
        <f>A141+3</f>
        <v>43605</v>
      </c>
      <c r="B144" s="112">
        <v>120.0</v>
      </c>
      <c r="C144" s="59">
        <v>141.32</v>
      </c>
      <c r="D144" s="59">
        <v>750.0</v>
      </c>
      <c r="E144" s="59">
        <v>50.0</v>
      </c>
      <c r="F144" s="60">
        <f t="shared" ref="F144:F148" si="88">SUM(B144:E144)</f>
        <v>1061.32</v>
      </c>
      <c r="G144" s="124">
        <v>20.0</v>
      </c>
      <c r="H144" s="124">
        <v>6.0</v>
      </c>
      <c r="I144" s="149">
        <v>50.0</v>
      </c>
    </row>
    <row r="145" ht="12.75" customHeight="1">
      <c r="A145" s="97">
        <f t="shared" ref="A145:A148" si="89">A144+1</f>
        <v>43606</v>
      </c>
      <c r="B145" s="59">
        <v>180.0</v>
      </c>
      <c r="C145" s="59">
        <v>150.25</v>
      </c>
      <c r="D145" s="59">
        <v>640.0</v>
      </c>
      <c r="E145" s="59">
        <v>50.0</v>
      </c>
      <c r="F145" s="60">
        <f t="shared" si="88"/>
        <v>1020.25</v>
      </c>
      <c r="G145" s="124">
        <v>19.0</v>
      </c>
      <c r="H145" s="124">
        <v>3.0</v>
      </c>
      <c r="I145" s="149">
        <v>50.0</v>
      </c>
    </row>
    <row r="146" ht="12.75" customHeight="1">
      <c r="A146" s="97">
        <f t="shared" si="89"/>
        <v>43607</v>
      </c>
      <c r="B146" s="59">
        <v>100.0</v>
      </c>
      <c r="C146" s="59">
        <v>356.78</v>
      </c>
      <c r="D146" s="59">
        <v>530.0</v>
      </c>
      <c r="E146" s="59">
        <v>0.0</v>
      </c>
      <c r="F146" s="141">
        <f t="shared" si="88"/>
        <v>986.78</v>
      </c>
      <c r="G146" s="124">
        <v>21.0</v>
      </c>
      <c r="H146" s="124">
        <v>9.0</v>
      </c>
      <c r="I146" s="149">
        <v>0.0</v>
      </c>
    </row>
    <row r="147" ht="12.75" customHeight="1">
      <c r="A147" s="97">
        <f t="shared" si="89"/>
        <v>43608</v>
      </c>
      <c r="B147" s="59">
        <v>570.0</v>
      </c>
      <c r="C147" s="59">
        <v>348.26</v>
      </c>
      <c r="D147" s="59">
        <v>1190.0</v>
      </c>
      <c r="E147" s="59">
        <v>150.0</v>
      </c>
      <c r="F147" s="141">
        <f t="shared" si="88"/>
        <v>2258.26</v>
      </c>
      <c r="G147" s="124">
        <v>40.0</v>
      </c>
      <c r="H147" s="124">
        <v>7.0</v>
      </c>
      <c r="I147" s="149">
        <v>150.0</v>
      </c>
    </row>
    <row r="148" ht="12.75" customHeight="1">
      <c r="A148" s="97">
        <f t="shared" si="89"/>
        <v>43609</v>
      </c>
      <c r="B148" s="59">
        <v>210.0</v>
      </c>
      <c r="C148" s="59">
        <v>166.84</v>
      </c>
      <c r="D148" s="59">
        <v>910.0</v>
      </c>
      <c r="E148" s="59">
        <v>50.0</v>
      </c>
      <c r="F148" s="141">
        <f t="shared" si="88"/>
        <v>1336.84</v>
      </c>
      <c r="G148" s="124">
        <v>23.0</v>
      </c>
      <c r="H148" s="124">
        <v>4.0</v>
      </c>
      <c r="I148" s="149">
        <v>50.0</v>
      </c>
    </row>
    <row r="149" ht="12.75" customHeight="1">
      <c r="A149" s="131"/>
      <c r="B149" s="68">
        <f t="shared" ref="B149:I149" si="90">SUM(B144:B148)</f>
        <v>1180</v>
      </c>
      <c r="C149" s="68">
        <f t="shared" si="90"/>
        <v>1163.45</v>
      </c>
      <c r="D149" s="68">
        <f t="shared" si="90"/>
        <v>4020</v>
      </c>
      <c r="E149" s="68">
        <f t="shared" si="90"/>
        <v>300</v>
      </c>
      <c r="F149" s="68">
        <f t="shared" si="90"/>
        <v>6663.45</v>
      </c>
      <c r="G149" s="147">
        <f t="shared" si="90"/>
        <v>123</v>
      </c>
      <c r="H149" s="147">
        <f t="shared" si="90"/>
        <v>29</v>
      </c>
      <c r="I149" s="91">
        <f t="shared" si="90"/>
        <v>300</v>
      </c>
    </row>
    <row r="150" ht="12.75" customHeight="1">
      <c r="A150" s="148"/>
      <c r="B150" s="75"/>
      <c r="C150" s="75"/>
      <c r="D150" s="75"/>
      <c r="E150" s="75"/>
      <c r="F150" s="75"/>
      <c r="G150" s="75"/>
      <c r="H150" s="75"/>
      <c r="I150" s="74"/>
    </row>
    <row r="151" ht="12.75" customHeight="1">
      <c r="A151" s="97">
        <f>A148+3</f>
        <v>43612</v>
      </c>
      <c r="B151" s="112">
        <v>450.0</v>
      </c>
      <c r="C151" s="59">
        <v>319.99</v>
      </c>
      <c r="D151" s="59">
        <v>990.0</v>
      </c>
      <c r="E151" s="59">
        <v>270.0</v>
      </c>
      <c r="F151" s="141">
        <f t="shared" ref="F151:F155" si="91">SUM(B151:E151)</f>
        <v>2029.99</v>
      </c>
      <c r="G151" s="124">
        <v>35.0</v>
      </c>
      <c r="H151" s="124">
        <v>7.0</v>
      </c>
      <c r="I151" s="149">
        <v>280.0</v>
      </c>
    </row>
    <row r="152" ht="12.75" customHeight="1">
      <c r="A152" s="97">
        <f t="shared" ref="A152:A155" si="92">A151+1</f>
        <v>43613</v>
      </c>
      <c r="B152" s="112">
        <v>350.0</v>
      </c>
      <c r="C152" s="59">
        <v>164.04</v>
      </c>
      <c r="D152" s="59">
        <v>500.0</v>
      </c>
      <c r="E152" s="59">
        <v>50.0</v>
      </c>
      <c r="F152" s="141">
        <f t="shared" si="91"/>
        <v>1064.04</v>
      </c>
      <c r="G152" s="124">
        <v>24.0</v>
      </c>
      <c r="H152" s="124">
        <v>4.0</v>
      </c>
      <c r="I152" s="149">
        <v>50.0</v>
      </c>
    </row>
    <row r="153" ht="12.75" customHeight="1">
      <c r="A153" s="97">
        <f t="shared" si="92"/>
        <v>43614</v>
      </c>
      <c r="B153" s="112">
        <v>120.0</v>
      </c>
      <c r="C153" s="59">
        <v>392.16</v>
      </c>
      <c r="D153" s="59">
        <v>730.0</v>
      </c>
      <c r="E153" s="59">
        <v>340.0</v>
      </c>
      <c r="F153" s="141">
        <f t="shared" si="91"/>
        <v>1582.16</v>
      </c>
      <c r="G153" s="124">
        <v>32.0</v>
      </c>
      <c r="H153" s="124">
        <v>10.0</v>
      </c>
      <c r="I153" s="149">
        <v>340.0</v>
      </c>
    </row>
    <row r="154" ht="12.75" customHeight="1">
      <c r="A154" s="97">
        <f t="shared" si="92"/>
        <v>43615</v>
      </c>
      <c r="B154" s="150"/>
      <c r="C154" s="138"/>
      <c r="D154" s="138"/>
      <c r="E154" s="138"/>
      <c r="F154" s="151">
        <f t="shared" si="91"/>
        <v>0</v>
      </c>
      <c r="G154" s="119"/>
      <c r="H154" s="119"/>
      <c r="I154" s="152"/>
    </row>
    <row r="155" ht="12.75" customHeight="1">
      <c r="A155" s="97">
        <f t="shared" si="92"/>
        <v>43616</v>
      </c>
      <c r="B155" s="150"/>
      <c r="C155" s="138"/>
      <c r="D155" s="138"/>
      <c r="E155" s="138"/>
      <c r="F155" s="151">
        <f t="shared" si="91"/>
        <v>0</v>
      </c>
      <c r="G155" s="119"/>
      <c r="H155" s="119"/>
      <c r="I155" s="152"/>
    </row>
    <row r="156" ht="12.75" customHeight="1">
      <c r="A156" s="131"/>
      <c r="B156" s="68">
        <f t="shared" ref="B156:I156" si="93">SUM(B151:B155)</f>
        <v>920</v>
      </c>
      <c r="C156" s="68">
        <f t="shared" si="93"/>
        <v>876.19</v>
      </c>
      <c r="D156" s="68">
        <f t="shared" si="93"/>
        <v>2220</v>
      </c>
      <c r="E156" s="68">
        <f t="shared" si="93"/>
        <v>660</v>
      </c>
      <c r="F156" s="68">
        <f t="shared" si="93"/>
        <v>4676.19</v>
      </c>
      <c r="G156" s="147">
        <f t="shared" si="93"/>
        <v>91</v>
      </c>
      <c r="H156" s="147">
        <f t="shared" si="93"/>
        <v>21</v>
      </c>
      <c r="I156" s="91">
        <f t="shared" si="93"/>
        <v>670</v>
      </c>
    </row>
    <row r="157" ht="12.75" customHeight="1">
      <c r="A157" s="148"/>
      <c r="B157" s="75"/>
      <c r="C157" s="75"/>
      <c r="D157" s="75"/>
      <c r="E157" s="75"/>
      <c r="F157" s="75"/>
      <c r="G157" s="75"/>
      <c r="H157" s="75"/>
      <c r="I157" s="74"/>
    </row>
    <row r="158" ht="12.75" customHeight="1">
      <c r="A158" s="58">
        <v>43619.0</v>
      </c>
      <c r="B158" s="84"/>
      <c r="C158" s="84"/>
      <c r="D158" s="84"/>
      <c r="E158" s="84"/>
      <c r="F158" s="85">
        <f t="shared" ref="F158:F162" si="94">SUM(B158:E158)</f>
        <v>0</v>
      </c>
      <c r="G158" s="84"/>
      <c r="H158" s="84"/>
      <c r="I158" s="84"/>
    </row>
    <row r="159" ht="12.75" customHeight="1">
      <c r="A159" s="58">
        <f t="shared" ref="A159:A162" si="95">A158+1</f>
        <v>43620</v>
      </c>
      <c r="B159" s="84"/>
      <c r="C159" s="84"/>
      <c r="D159" s="84"/>
      <c r="E159" s="84"/>
      <c r="F159" s="85">
        <f t="shared" si="94"/>
        <v>0</v>
      </c>
      <c r="G159" s="84"/>
      <c r="H159" s="84"/>
      <c r="I159" s="86"/>
    </row>
    <row r="160" ht="12.75" customHeight="1">
      <c r="A160" s="58">
        <f t="shared" si="95"/>
        <v>43621</v>
      </c>
      <c r="B160" s="138"/>
      <c r="C160" s="138"/>
      <c r="D160" s="154"/>
      <c r="E160" s="138"/>
      <c r="F160" s="85">
        <f t="shared" si="94"/>
        <v>0</v>
      </c>
      <c r="G160" s="138"/>
      <c r="H160" s="138"/>
      <c r="I160" s="513"/>
    </row>
    <row r="161" ht="12.75" customHeight="1">
      <c r="A161" s="58">
        <f t="shared" si="95"/>
        <v>43622</v>
      </c>
      <c r="B161" s="138"/>
      <c r="C161" s="138"/>
      <c r="D161" s="138"/>
      <c r="E161" s="138"/>
      <c r="F161" s="85">
        <f t="shared" si="94"/>
        <v>0</v>
      </c>
      <c r="G161" s="138"/>
      <c r="H161" s="138"/>
      <c r="I161" s="513"/>
    </row>
    <row r="162" ht="12.75" customHeight="1">
      <c r="A162" s="58">
        <f t="shared" si="95"/>
        <v>43623</v>
      </c>
      <c r="B162" s="138"/>
      <c r="C162" s="138"/>
      <c r="D162" s="138"/>
      <c r="E162" s="138"/>
      <c r="F162" s="85">
        <f t="shared" si="94"/>
        <v>0</v>
      </c>
      <c r="G162" s="138"/>
      <c r="H162" s="138"/>
      <c r="I162" s="513"/>
    </row>
    <row r="163" ht="12.75" customHeight="1">
      <c r="A163" s="67"/>
      <c r="B163" s="68">
        <f t="shared" ref="B163:I163" si="96">SUM(B158:B162)</f>
        <v>0</v>
      </c>
      <c r="C163" s="68">
        <f t="shared" si="96"/>
        <v>0</v>
      </c>
      <c r="D163" s="68">
        <f t="shared" si="96"/>
        <v>0</v>
      </c>
      <c r="E163" s="68">
        <f t="shared" si="96"/>
        <v>0</v>
      </c>
      <c r="F163" s="68">
        <f t="shared" si="96"/>
        <v>0</v>
      </c>
      <c r="G163" s="70">
        <f t="shared" si="96"/>
        <v>0</v>
      </c>
      <c r="H163" s="70">
        <f t="shared" si="96"/>
        <v>0</v>
      </c>
      <c r="I163" s="91">
        <f t="shared" si="96"/>
        <v>0</v>
      </c>
    </row>
    <row r="164" ht="12.75" customHeight="1">
      <c r="A164" s="74"/>
      <c r="B164" s="75"/>
      <c r="C164" s="75"/>
      <c r="D164" s="75"/>
      <c r="E164" s="75"/>
      <c r="F164" s="75"/>
      <c r="G164" s="76"/>
      <c r="H164" s="76"/>
      <c r="I164" s="74"/>
    </row>
    <row r="165" ht="12.75" customHeight="1">
      <c r="A165" s="58">
        <f>A162+3</f>
        <v>43626</v>
      </c>
      <c r="B165" s="84"/>
      <c r="C165" s="84"/>
      <c r="D165" s="84"/>
      <c r="E165" s="84"/>
      <c r="F165" s="85">
        <f t="shared" ref="F165:F169" si="97">SUM(B165:E165)</f>
        <v>0</v>
      </c>
      <c r="G165" s="84"/>
      <c r="H165" s="84"/>
      <c r="I165" s="84"/>
    </row>
    <row r="166" ht="12.75" customHeight="1">
      <c r="A166" s="58">
        <f t="shared" ref="A166:A169" si="98">A165+1</f>
        <v>43627</v>
      </c>
      <c r="B166" s="81">
        <v>720.0</v>
      </c>
      <c r="C166" s="81">
        <v>192.67</v>
      </c>
      <c r="D166" s="81">
        <v>960.0</v>
      </c>
      <c r="E166" s="81">
        <v>260.0</v>
      </c>
      <c r="F166" s="60">
        <f t="shared" si="97"/>
        <v>2132.67</v>
      </c>
      <c r="G166" s="81">
        <v>36.0</v>
      </c>
      <c r="H166" s="81">
        <v>4.0</v>
      </c>
      <c r="I166" s="83">
        <v>260.0</v>
      </c>
    </row>
    <row r="167" ht="12.75" customHeight="1">
      <c r="A167" s="58">
        <f t="shared" si="98"/>
        <v>43628</v>
      </c>
      <c r="B167" s="81">
        <v>580.0</v>
      </c>
      <c r="C167" s="81">
        <v>199.42</v>
      </c>
      <c r="D167" s="81">
        <v>870.0</v>
      </c>
      <c r="E167" s="81">
        <v>50.0</v>
      </c>
      <c r="F167" s="60">
        <f t="shared" si="97"/>
        <v>1699.42</v>
      </c>
      <c r="G167" s="81">
        <v>31.0</v>
      </c>
      <c r="H167" s="81">
        <v>5.0</v>
      </c>
      <c r="I167" s="83">
        <v>50.0</v>
      </c>
    </row>
    <row r="168" ht="12.75" customHeight="1">
      <c r="A168" s="58">
        <f t="shared" si="98"/>
        <v>43629</v>
      </c>
      <c r="B168" s="81">
        <v>390.0</v>
      </c>
      <c r="C168" s="81">
        <v>264.76</v>
      </c>
      <c r="D168" s="81">
        <v>1030.0</v>
      </c>
      <c r="E168" s="81">
        <v>100.0</v>
      </c>
      <c r="F168" s="60">
        <f t="shared" si="97"/>
        <v>1784.76</v>
      </c>
      <c r="G168" s="81">
        <v>34.0</v>
      </c>
      <c r="H168" s="81">
        <v>5.0</v>
      </c>
      <c r="I168" s="83">
        <v>100.0</v>
      </c>
    </row>
    <row r="169" ht="12.75" customHeight="1">
      <c r="A169" s="58">
        <f t="shared" si="98"/>
        <v>43630</v>
      </c>
      <c r="B169" s="81">
        <v>120.0</v>
      </c>
      <c r="C169" s="81">
        <v>263.36</v>
      </c>
      <c r="D169" s="81">
        <v>1140.0</v>
      </c>
      <c r="E169" s="81">
        <v>0.0</v>
      </c>
      <c r="F169" s="60">
        <f t="shared" si="97"/>
        <v>1523.36</v>
      </c>
      <c r="G169" s="81">
        <v>24.0</v>
      </c>
      <c r="H169" s="81">
        <v>5.0</v>
      </c>
      <c r="I169" s="83"/>
    </row>
    <row r="170" ht="12.75" customHeight="1">
      <c r="A170" s="67"/>
      <c r="B170" s="68">
        <f t="shared" ref="B170:I170" si="99">SUM(B165:B169)</f>
        <v>1810</v>
      </c>
      <c r="C170" s="68">
        <f t="shared" si="99"/>
        <v>920.21</v>
      </c>
      <c r="D170" s="68">
        <f t="shared" si="99"/>
        <v>4000</v>
      </c>
      <c r="E170" s="68">
        <f t="shared" si="99"/>
        <v>410</v>
      </c>
      <c r="F170" s="68">
        <f t="shared" si="99"/>
        <v>7140.21</v>
      </c>
      <c r="G170" s="70">
        <f t="shared" si="99"/>
        <v>125</v>
      </c>
      <c r="H170" s="70">
        <f t="shared" si="99"/>
        <v>19</v>
      </c>
      <c r="I170" s="91">
        <f t="shared" si="99"/>
        <v>410</v>
      </c>
    </row>
    <row r="171" ht="12.75" customHeight="1">
      <c r="A171" s="74"/>
      <c r="B171" s="92"/>
      <c r="C171" s="92"/>
      <c r="D171" s="92"/>
      <c r="E171" s="92"/>
      <c r="F171" s="75"/>
      <c r="G171" s="93"/>
      <c r="H171" s="93"/>
      <c r="I171" s="94"/>
    </row>
    <row r="172" ht="12.75" customHeight="1">
      <c r="A172" s="97">
        <f>A169+3</f>
        <v>43633</v>
      </c>
      <c r="B172" s="81">
        <v>240.0</v>
      </c>
      <c r="C172" s="81">
        <v>199.78</v>
      </c>
      <c r="D172" s="81">
        <v>560.0</v>
      </c>
      <c r="E172" s="81">
        <v>100.0</v>
      </c>
      <c r="F172" s="60">
        <f t="shared" ref="F172:F176" si="100">SUM(B172:E172)</f>
        <v>1099.78</v>
      </c>
      <c r="G172" s="81">
        <v>21.0</v>
      </c>
      <c r="H172" s="81">
        <v>6.0</v>
      </c>
      <c r="I172" s="81">
        <v>100.0</v>
      </c>
    </row>
    <row r="173" ht="12.75" customHeight="1">
      <c r="A173" s="97">
        <f t="shared" ref="A173:A176" si="101">A172+1</f>
        <v>43634</v>
      </c>
      <c r="B173" s="81">
        <v>350.0</v>
      </c>
      <c r="C173" s="81">
        <v>160.88</v>
      </c>
      <c r="D173" s="81">
        <v>650.0</v>
      </c>
      <c r="E173" s="81">
        <v>50.0</v>
      </c>
      <c r="F173" s="60">
        <f t="shared" si="100"/>
        <v>1210.88</v>
      </c>
      <c r="G173" s="81">
        <v>25.0</v>
      </c>
      <c r="H173" s="81">
        <v>4.0</v>
      </c>
      <c r="I173" s="83">
        <v>60.0</v>
      </c>
    </row>
    <row r="174" ht="12.75" customHeight="1">
      <c r="A174" s="97">
        <f t="shared" si="101"/>
        <v>43635</v>
      </c>
      <c r="B174" s="81">
        <v>310.0</v>
      </c>
      <c r="C174" s="81">
        <v>221.82</v>
      </c>
      <c r="D174" s="81">
        <v>500.0</v>
      </c>
      <c r="E174" s="81">
        <v>9.0</v>
      </c>
      <c r="F174" s="60">
        <f t="shared" si="100"/>
        <v>1040.82</v>
      </c>
      <c r="G174" s="81">
        <v>19.0</v>
      </c>
      <c r="H174" s="81">
        <v>6.0</v>
      </c>
      <c r="I174" s="83">
        <v>0.0</v>
      </c>
    </row>
    <row r="175" ht="12.75" customHeight="1">
      <c r="A175" s="97">
        <f t="shared" si="101"/>
        <v>43636</v>
      </c>
      <c r="B175" s="81">
        <v>380.0</v>
      </c>
      <c r="C175" s="81">
        <v>0.0</v>
      </c>
      <c r="D175" s="81">
        <v>1480.0</v>
      </c>
      <c r="E175" s="81">
        <v>140.0</v>
      </c>
      <c r="F175" s="60">
        <f t="shared" si="100"/>
        <v>2000</v>
      </c>
      <c r="G175" s="81">
        <v>35.0</v>
      </c>
      <c r="H175" s="81">
        <v>0.0</v>
      </c>
      <c r="I175" s="83">
        <v>140.0</v>
      </c>
    </row>
    <row r="176" ht="12.75" customHeight="1">
      <c r="A176" s="97">
        <f t="shared" si="101"/>
        <v>43637</v>
      </c>
      <c r="B176" s="81">
        <v>340.0</v>
      </c>
      <c r="C176" s="81">
        <v>152.01</v>
      </c>
      <c r="D176" s="81">
        <v>710.0</v>
      </c>
      <c r="E176" s="81">
        <v>340.0</v>
      </c>
      <c r="F176" s="183">
        <f t="shared" si="100"/>
        <v>1542.01</v>
      </c>
      <c r="G176" s="81">
        <v>26.0</v>
      </c>
      <c r="H176" s="81">
        <v>3.0</v>
      </c>
      <c r="I176" s="83">
        <v>340.0</v>
      </c>
    </row>
    <row r="177" ht="12.75" customHeight="1">
      <c r="A177" s="131"/>
      <c r="B177" s="68">
        <f t="shared" ref="B177:I177" si="102">SUM(B172:B176)</f>
        <v>1620</v>
      </c>
      <c r="C177" s="132">
        <f t="shared" si="102"/>
        <v>734.49</v>
      </c>
      <c r="D177" s="132">
        <f t="shared" si="102"/>
        <v>3900</v>
      </c>
      <c r="E177" s="132">
        <f t="shared" si="102"/>
        <v>639</v>
      </c>
      <c r="F177" s="132">
        <f t="shared" si="102"/>
        <v>6893.49</v>
      </c>
      <c r="G177" s="155">
        <f t="shared" si="102"/>
        <v>126</v>
      </c>
      <c r="H177" s="155">
        <f t="shared" si="102"/>
        <v>19</v>
      </c>
      <c r="I177" s="134">
        <f t="shared" si="102"/>
        <v>640</v>
      </c>
    </row>
    <row r="178" ht="12.75" customHeight="1">
      <c r="A178" s="148"/>
      <c r="B178" s="75"/>
      <c r="C178" s="136"/>
      <c r="D178" s="136"/>
      <c r="E178" s="136"/>
      <c r="F178" s="136"/>
      <c r="G178" s="136"/>
      <c r="H178" s="136"/>
      <c r="I178" s="137"/>
    </row>
    <row r="179" ht="12.75" customHeight="1">
      <c r="A179" s="97">
        <f>A176+3</f>
        <v>43640</v>
      </c>
      <c r="B179" s="81">
        <v>800.0</v>
      </c>
      <c r="C179" s="81">
        <v>320.0</v>
      </c>
      <c r="D179" s="81">
        <v>530.0</v>
      </c>
      <c r="E179" s="81">
        <v>50.0</v>
      </c>
      <c r="F179" s="60">
        <f t="shared" ref="F179:F183" si="103">SUM(B179:E179)</f>
        <v>1700</v>
      </c>
      <c r="G179" s="81">
        <v>32.0</v>
      </c>
      <c r="H179" s="81">
        <v>8.0</v>
      </c>
      <c r="I179" s="81">
        <v>50.0</v>
      </c>
    </row>
    <row r="180" ht="12.75" customHeight="1">
      <c r="A180" s="97">
        <f t="shared" ref="A180:A183" si="104">A179+1</f>
        <v>43641</v>
      </c>
      <c r="B180" s="81">
        <v>50.0</v>
      </c>
      <c r="C180" s="81">
        <v>201.54</v>
      </c>
      <c r="D180" s="81">
        <v>770.0</v>
      </c>
      <c r="E180" s="81">
        <v>0.0</v>
      </c>
      <c r="F180" s="60">
        <f t="shared" si="103"/>
        <v>1021.54</v>
      </c>
      <c r="G180" s="81">
        <v>21.0</v>
      </c>
      <c r="H180" s="81">
        <v>5.0</v>
      </c>
      <c r="I180" s="81">
        <v>0.0</v>
      </c>
    </row>
    <row r="181" ht="12.75" customHeight="1">
      <c r="A181" s="97">
        <f t="shared" si="104"/>
        <v>43642</v>
      </c>
      <c r="B181" s="81">
        <v>280.0</v>
      </c>
      <c r="C181" s="81">
        <v>40.66</v>
      </c>
      <c r="D181" s="81">
        <v>190.0</v>
      </c>
      <c r="E181" s="81">
        <v>70.0</v>
      </c>
      <c r="F181" s="60">
        <f t="shared" si="103"/>
        <v>580.66</v>
      </c>
      <c r="G181" s="81">
        <v>9.0</v>
      </c>
      <c r="H181" s="81">
        <v>1.0</v>
      </c>
      <c r="I181" s="81">
        <v>70.0</v>
      </c>
    </row>
    <row r="182" ht="12.75" customHeight="1">
      <c r="A182" s="97">
        <f t="shared" si="104"/>
        <v>43643</v>
      </c>
      <c r="B182" s="84"/>
      <c r="C182" s="84"/>
      <c r="D182" s="84"/>
      <c r="E182" s="84"/>
      <c r="F182" s="85">
        <f t="shared" si="103"/>
        <v>0</v>
      </c>
      <c r="G182" s="84"/>
      <c r="H182" s="84"/>
      <c r="I182" s="84"/>
    </row>
    <row r="183" ht="12.75" customHeight="1">
      <c r="A183" s="97">
        <f t="shared" si="104"/>
        <v>43644</v>
      </c>
      <c r="B183" s="84"/>
      <c r="C183" s="84"/>
      <c r="D183" s="84"/>
      <c r="E183" s="84"/>
      <c r="F183" s="85">
        <f t="shared" si="103"/>
        <v>0</v>
      </c>
      <c r="G183" s="84"/>
      <c r="H183" s="84"/>
      <c r="I183" s="84"/>
    </row>
    <row r="184" ht="12.75" customHeight="1">
      <c r="A184" s="131"/>
      <c r="B184" s="68">
        <f t="shared" ref="B184:I184" si="105">SUM(B179:B183)</f>
        <v>1130</v>
      </c>
      <c r="C184" s="68">
        <f t="shared" si="105"/>
        <v>562.2</v>
      </c>
      <c r="D184" s="68">
        <f t="shared" si="105"/>
        <v>1490</v>
      </c>
      <c r="E184" s="68">
        <f t="shared" si="105"/>
        <v>120</v>
      </c>
      <c r="F184" s="68">
        <f t="shared" si="105"/>
        <v>3302.2</v>
      </c>
      <c r="G184" s="147">
        <f t="shared" si="105"/>
        <v>62</v>
      </c>
      <c r="H184" s="147">
        <f t="shared" si="105"/>
        <v>14</v>
      </c>
      <c r="I184" s="91">
        <f t="shared" si="105"/>
        <v>120</v>
      </c>
    </row>
    <row r="185" ht="12.75" customHeight="1">
      <c r="A185" s="148"/>
      <c r="B185" s="75"/>
      <c r="C185" s="75"/>
      <c r="D185" s="75"/>
      <c r="E185" s="75"/>
      <c r="F185" s="75"/>
      <c r="G185" s="75"/>
      <c r="H185" s="75"/>
      <c r="I185" s="74"/>
    </row>
    <row r="186" ht="12.75" customHeight="1">
      <c r="A186" s="58">
        <v>43647.0</v>
      </c>
      <c r="B186" s="138"/>
      <c r="C186" s="138"/>
      <c r="D186" s="138"/>
      <c r="E186" s="138"/>
      <c r="F186" s="187"/>
      <c r="G186" s="138"/>
      <c r="H186" s="138"/>
      <c r="I186" s="138"/>
    </row>
    <row r="187" ht="12.75" customHeight="1">
      <c r="A187" s="58">
        <f t="shared" ref="A187:A190" si="106">A186+1</f>
        <v>43648</v>
      </c>
      <c r="B187" s="59">
        <v>390.0</v>
      </c>
      <c r="C187" s="59">
        <v>173.38</v>
      </c>
      <c r="D187" s="59">
        <v>930.0</v>
      </c>
      <c r="E187" s="59">
        <v>260.0</v>
      </c>
      <c r="F187" s="156">
        <f t="shared" ref="F187:F190" si="107">SUM(B187:E187)</f>
        <v>1753.38</v>
      </c>
      <c r="G187" s="59">
        <v>29.0</v>
      </c>
      <c r="H187" s="59">
        <v>4.0</v>
      </c>
      <c r="I187" s="59">
        <v>260.0</v>
      </c>
    </row>
    <row r="188" ht="12.75" customHeight="1">
      <c r="A188" s="58">
        <f t="shared" si="106"/>
        <v>43649</v>
      </c>
      <c r="B188" s="59">
        <v>90.0</v>
      </c>
      <c r="C188" s="59">
        <v>160.52</v>
      </c>
      <c r="D188" s="59">
        <v>1070.0</v>
      </c>
      <c r="E188" s="59">
        <v>100.0</v>
      </c>
      <c r="F188" s="156">
        <f t="shared" si="107"/>
        <v>1420.52</v>
      </c>
      <c r="G188" s="59">
        <v>29.0</v>
      </c>
      <c r="H188" s="59">
        <v>4.0</v>
      </c>
      <c r="I188" s="59">
        <v>100.0</v>
      </c>
    </row>
    <row r="189" ht="12.75" customHeight="1">
      <c r="A189" s="58">
        <f t="shared" si="106"/>
        <v>43650</v>
      </c>
      <c r="B189" s="59">
        <v>210.0</v>
      </c>
      <c r="C189" s="59">
        <v>233.33</v>
      </c>
      <c r="D189" s="59">
        <v>1590.0</v>
      </c>
      <c r="E189" s="59">
        <v>0.0</v>
      </c>
      <c r="F189" s="156">
        <f t="shared" si="107"/>
        <v>2033.33</v>
      </c>
      <c r="G189" s="59">
        <v>34.0</v>
      </c>
      <c r="H189" s="59">
        <v>5.0</v>
      </c>
      <c r="I189" s="59">
        <v>0.0</v>
      </c>
    </row>
    <row r="190" ht="12.75" customHeight="1">
      <c r="A190" s="58">
        <f t="shared" si="106"/>
        <v>43651</v>
      </c>
      <c r="B190" s="59">
        <v>290.0</v>
      </c>
      <c r="C190" s="59">
        <v>81.32</v>
      </c>
      <c r="D190" s="59">
        <v>890.0</v>
      </c>
      <c r="E190" s="59">
        <v>0.0</v>
      </c>
      <c r="F190" s="156">
        <f t="shared" si="107"/>
        <v>1261.32</v>
      </c>
      <c r="G190" s="59">
        <v>23.0</v>
      </c>
      <c r="H190" s="59">
        <v>2.0</v>
      </c>
      <c r="I190" s="59">
        <v>0.0</v>
      </c>
    </row>
    <row r="191" ht="12.75" customHeight="1">
      <c r="A191" s="67"/>
      <c r="B191" s="68">
        <f t="shared" ref="B191:I191" si="108">SUM(B186:B190)</f>
        <v>980</v>
      </c>
      <c r="C191" s="68">
        <f t="shared" si="108"/>
        <v>648.55</v>
      </c>
      <c r="D191" s="68">
        <f t="shared" si="108"/>
        <v>4480</v>
      </c>
      <c r="E191" s="68">
        <f t="shared" si="108"/>
        <v>360</v>
      </c>
      <c r="F191" s="157">
        <f t="shared" si="108"/>
        <v>6468.55</v>
      </c>
      <c r="G191" s="70">
        <f t="shared" si="108"/>
        <v>115</v>
      </c>
      <c r="H191" s="70">
        <f t="shared" si="108"/>
        <v>15</v>
      </c>
      <c r="I191" s="91">
        <f t="shared" si="108"/>
        <v>360</v>
      </c>
    </row>
    <row r="192" ht="12.75" customHeight="1">
      <c r="A192" s="74"/>
      <c r="B192" s="92"/>
      <c r="C192" s="92"/>
      <c r="D192" s="92"/>
      <c r="E192" s="92"/>
      <c r="F192" s="75"/>
      <c r="G192" s="93"/>
      <c r="H192" s="93"/>
      <c r="I192" s="94"/>
    </row>
    <row r="193" ht="12.75" customHeight="1">
      <c r="A193" s="97">
        <f>A190+3</f>
        <v>43654</v>
      </c>
      <c r="B193" s="98">
        <v>332.2</v>
      </c>
      <c r="C193" s="99">
        <v>109.78</v>
      </c>
      <c r="D193" s="99">
        <v>910.0</v>
      </c>
      <c r="E193" s="99">
        <v>260.0</v>
      </c>
      <c r="F193" s="158">
        <f t="shared" ref="F193:F197" si="109">SUM(B193:E193)</f>
        <v>1611.98</v>
      </c>
      <c r="G193" s="99">
        <v>29.0</v>
      </c>
      <c r="H193" s="99">
        <v>3.0</v>
      </c>
      <c r="I193" s="99">
        <v>250.0</v>
      </c>
    </row>
    <row r="194" ht="12.75" customHeight="1">
      <c r="A194" s="97">
        <f t="shared" ref="A194:A197" si="110">A193+1</f>
        <v>43655</v>
      </c>
      <c r="B194" s="112">
        <v>170.0</v>
      </c>
      <c r="C194" s="124">
        <v>201.54</v>
      </c>
      <c r="D194" s="124">
        <v>580.0</v>
      </c>
      <c r="E194" s="124">
        <v>50.0</v>
      </c>
      <c r="F194" s="158">
        <f t="shared" si="109"/>
        <v>1001.54</v>
      </c>
      <c r="G194" s="124">
        <v>19.0</v>
      </c>
      <c r="H194" s="124">
        <v>5.0</v>
      </c>
      <c r="I194" s="124">
        <v>50.0</v>
      </c>
    </row>
    <row r="195" ht="12.75" customHeight="1">
      <c r="A195" s="97">
        <f t="shared" si="110"/>
        <v>43656</v>
      </c>
      <c r="B195" s="112">
        <v>220.0</v>
      </c>
      <c r="C195" s="124">
        <v>166.7</v>
      </c>
      <c r="D195" s="124">
        <v>1080.0</v>
      </c>
      <c r="E195" s="124">
        <v>0.0</v>
      </c>
      <c r="F195" s="158">
        <f t="shared" si="109"/>
        <v>1466.7</v>
      </c>
      <c r="G195" s="124">
        <v>28.0</v>
      </c>
      <c r="H195" s="124">
        <v>4.0</v>
      </c>
      <c r="I195" s="124">
        <v>0.0</v>
      </c>
    </row>
    <row r="196" ht="12.75" customHeight="1">
      <c r="A196" s="97">
        <f t="shared" si="110"/>
        <v>43657</v>
      </c>
      <c r="B196" s="112">
        <v>140.0</v>
      </c>
      <c r="C196" s="124">
        <v>284.62</v>
      </c>
      <c r="D196" s="124">
        <v>1080.0</v>
      </c>
      <c r="E196" s="124">
        <v>340.0</v>
      </c>
      <c r="F196" s="158">
        <f t="shared" si="109"/>
        <v>1844.62</v>
      </c>
      <c r="G196" s="124">
        <v>34.0</v>
      </c>
      <c r="H196" s="124">
        <v>6.0</v>
      </c>
      <c r="I196" s="124">
        <v>360.0</v>
      </c>
    </row>
    <row r="197" ht="12.75" customHeight="1">
      <c r="A197" s="97">
        <f t="shared" si="110"/>
        <v>43658</v>
      </c>
      <c r="B197" s="112">
        <v>0.0</v>
      </c>
      <c r="C197" s="124">
        <v>323.86</v>
      </c>
      <c r="D197" s="124">
        <v>918.84</v>
      </c>
      <c r="E197" s="124">
        <v>50.0</v>
      </c>
      <c r="F197" s="158">
        <f t="shared" si="109"/>
        <v>1292.7</v>
      </c>
      <c r="G197" s="124">
        <v>23.0</v>
      </c>
      <c r="H197" s="124">
        <v>5.0</v>
      </c>
      <c r="I197" s="124">
        <v>50.0</v>
      </c>
    </row>
    <row r="198" ht="12.75" customHeight="1">
      <c r="A198" s="67"/>
      <c r="B198" s="121">
        <f t="shared" ref="B198:I198" si="111">SUM(B193:B197)</f>
        <v>862.2</v>
      </c>
      <c r="C198" s="121">
        <f t="shared" si="111"/>
        <v>1086.5</v>
      </c>
      <c r="D198" s="121">
        <f t="shared" si="111"/>
        <v>4568.84</v>
      </c>
      <c r="E198" s="121">
        <f t="shared" si="111"/>
        <v>700</v>
      </c>
      <c r="F198" s="160">
        <f t="shared" si="111"/>
        <v>7217.54</v>
      </c>
      <c r="G198" s="70">
        <f t="shared" si="111"/>
        <v>133</v>
      </c>
      <c r="H198" s="70">
        <f t="shared" si="111"/>
        <v>23</v>
      </c>
      <c r="I198" s="91">
        <f t="shared" si="111"/>
        <v>710</v>
      </c>
    </row>
    <row r="199" ht="12.75" customHeight="1">
      <c r="A199" s="74"/>
      <c r="B199" s="75"/>
      <c r="C199" s="75"/>
      <c r="D199" s="75"/>
      <c r="E199" s="75"/>
      <c r="F199" s="75"/>
      <c r="G199" s="76"/>
      <c r="H199" s="76"/>
      <c r="I199" s="74"/>
    </row>
    <row r="200" ht="12.75" customHeight="1">
      <c r="A200" s="161">
        <f>A197+3</f>
        <v>43661</v>
      </c>
      <c r="B200" s="112">
        <v>0.0</v>
      </c>
      <c r="C200" s="112">
        <v>162.64</v>
      </c>
      <c r="D200" s="112">
        <v>650.0</v>
      </c>
      <c r="E200" s="112">
        <v>150.0</v>
      </c>
      <c r="F200" s="158">
        <f t="shared" ref="F200:F204" si="112">SUM(B200:E200)</f>
        <v>962.64</v>
      </c>
      <c r="G200" s="112">
        <v>20.0</v>
      </c>
      <c r="H200" s="112">
        <v>4.0</v>
      </c>
      <c r="I200" s="112">
        <v>150.0</v>
      </c>
    </row>
    <row r="201" ht="12.75" customHeight="1">
      <c r="A201" s="162">
        <f t="shared" ref="A201:A204" si="113">A200+1</f>
        <v>43662</v>
      </c>
      <c r="B201" s="112">
        <v>170.0</v>
      </c>
      <c r="C201" s="112">
        <v>247.54</v>
      </c>
      <c r="D201" s="112">
        <v>440.0</v>
      </c>
      <c r="E201" s="112">
        <v>190.0</v>
      </c>
      <c r="F201" s="158">
        <f t="shared" si="112"/>
        <v>1047.54</v>
      </c>
      <c r="G201" s="112">
        <v>20.0</v>
      </c>
      <c r="H201" s="112">
        <v>6.0</v>
      </c>
      <c r="I201" s="112">
        <v>180.0</v>
      </c>
    </row>
    <row r="202" ht="12.75" customHeight="1">
      <c r="A202" s="162">
        <f t="shared" si="113"/>
        <v>43663</v>
      </c>
      <c r="B202" s="66">
        <v>190.0</v>
      </c>
      <c r="C202" s="112">
        <v>220.52</v>
      </c>
      <c r="D202" s="112">
        <v>760.0</v>
      </c>
      <c r="E202" s="112">
        <v>150.0</v>
      </c>
      <c r="F202" s="158">
        <f t="shared" si="112"/>
        <v>1320.52</v>
      </c>
      <c r="G202" s="112">
        <v>25.0</v>
      </c>
      <c r="H202" s="112">
        <v>6.0</v>
      </c>
      <c r="I202" s="112">
        <v>140.0</v>
      </c>
    </row>
    <row r="203" ht="12.75" customHeight="1">
      <c r="A203" s="162">
        <f t="shared" si="113"/>
        <v>43664</v>
      </c>
      <c r="B203" s="112">
        <v>510.0</v>
      </c>
      <c r="C203" s="112">
        <v>81.32</v>
      </c>
      <c r="D203" s="112">
        <v>1350.0</v>
      </c>
      <c r="E203" s="112">
        <v>100.0</v>
      </c>
      <c r="F203" s="158">
        <f t="shared" si="112"/>
        <v>2041.32</v>
      </c>
      <c r="G203" s="112">
        <v>35.0</v>
      </c>
      <c r="H203" s="112">
        <v>2.0</v>
      </c>
      <c r="I203" s="112">
        <v>100.0</v>
      </c>
    </row>
    <row r="204" ht="12.75" customHeight="1">
      <c r="A204" s="163">
        <f t="shared" si="113"/>
        <v>43665</v>
      </c>
      <c r="B204" s="112">
        <v>50.0</v>
      </c>
      <c r="C204" s="112">
        <v>124.78</v>
      </c>
      <c r="D204" s="112">
        <v>520.0</v>
      </c>
      <c r="E204" s="112">
        <v>120.0</v>
      </c>
      <c r="F204" s="158">
        <f t="shared" si="112"/>
        <v>814.78</v>
      </c>
      <c r="G204" s="112">
        <v>14.0</v>
      </c>
      <c r="H204" s="112">
        <v>3.0</v>
      </c>
      <c r="I204" s="112">
        <v>120.0</v>
      </c>
    </row>
    <row r="205" ht="12.75" customHeight="1">
      <c r="A205" s="67"/>
      <c r="B205" s="68">
        <f t="shared" ref="B205:I205" si="114">SUM(B200:B204)</f>
        <v>920</v>
      </c>
      <c r="C205" s="68">
        <f t="shared" si="114"/>
        <v>836.8</v>
      </c>
      <c r="D205" s="68">
        <f t="shared" si="114"/>
        <v>3720</v>
      </c>
      <c r="E205" s="68">
        <f t="shared" si="114"/>
        <v>710</v>
      </c>
      <c r="F205" s="157">
        <f t="shared" si="114"/>
        <v>6186.8</v>
      </c>
      <c r="G205" s="70">
        <f t="shared" si="114"/>
        <v>114</v>
      </c>
      <c r="H205" s="70">
        <f t="shared" si="114"/>
        <v>21</v>
      </c>
      <c r="I205" s="71">
        <f t="shared" si="114"/>
        <v>690</v>
      </c>
    </row>
    <row r="206" ht="12.75" customHeight="1">
      <c r="A206" s="74"/>
      <c r="B206" s="75"/>
      <c r="C206" s="75"/>
      <c r="D206" s="75"/>
      <c r="E206" s="75"/>
      <c r="F206" s="75"/>
      <c r="G206" s="76"/>
      <c r="H206" s="76"/>
      <c r="I206" s="77"/>
    </row>
    <row r="207" ht="12.75" customHeight="1">
      <c r="A207" s="162">
        <f>A204+3</f>
        <v>43668</v>
      </c>
      <c r="B207" s="112">
        <v>270.0</v>
      </c>
      <c r="C207" s="112">
        <v>273.99</v>
      </c>
      <c r="D207" s="112">
        <v>1160.0</v>
      </c>
      <c r="E207" s="112">
        <v>300.0</v>
      </c>
      <c r="F207" s="164">
        <f t="shared" ref="F207:F211" si="115">SUM(B207:E207)</f>
        <v>2003.99</v>
      </c>
      <c r="G207" s="124">
        <v>33.0</v>
      </c>
      <c r="H207" s="124">
        <v>6.0</v>
      </c>
      <c r="I207" s="112">
        <v>290.0</v>
      </c>
    </row>
    <row r="208" ht="12.75" customHeight="1">
      <c r="A208" s="162">
        <f t="shared" ref="A208:A211" si="116">A207+1</f>
        <v>43669</v>
      </c>
      <c r="B208" s="112">
        <v>100.0</v>
      </c>
      <c r="C208" s="112">
        <v>81.32</v>
      </c>
      <c r="D208" s="112">
        <v>590.0</v>
      </c>
      <c r="E208" s="112">
        <v>50.0</v>
      </c>
      <c r="F208" s="164">
        <f t="shared" si="115"/>
        <v>821.32</v>
      </c>
      <c r="G208" s="124">
        <v>16.0</v>
      </c>
      <c r="H208" s="124">
        <v>2.0</v>
      </c>
      <c r="I208" s="112">
        <v>50.0</v>
      </c>
    </row>
    <row r="209" ht="12.75" customHeight="1">
      <c r="A209" s="162">
        <f t="shared" si="116"/>
        <v>43670</v>
      </c>
      <c r="B209" s="112">
        <v>140.0</v>
      </c>
      <c r="C209" s="112">
        <v>383.65</v>
      </c>
      <c r="D209" s="112">
        <v>250.0</v>
      </c>
      <c r="E209" s="112">
        <v>50.0</v>
      </c>
      <c r="F209" s="164">
        <f t="shared" si="115"/>
        <v>823.65</v>
      </c>
      <c r="G209" s="124">
        <v>17.0</v>
      </c>
      <c r="H209" s="124">
        <v>9.0</v>
      </c>
      <c r="I209" s="112">
        <v>50.0</v>
      </c>
    </row>
    <row r="210" ht="12.75" customHeight="1">
      <c r="A210" s="162">
        <f t="shared" si="116"/>
        <v>43671</v>
      </c>
      <c r="B210" s="112">
        <v>520.0</v>
      </c>
      <c r="C210" s="112">
        <v>0.0</v>
      </c>
      <c r="D210" s="112">
        <v>1070.0</v>
      </c>
      <c r="E210" s="112">
        <v>220.0</v>
      </c>
      <c r="F210" s="164">
        <f t="shared" si="115"/>
        <v>1810</v>
      </c>
      <c r="G210" s="124">
        <v>28.0</v>
      </c>
      <c r="H210" s="124">
        <v>0.0</v>
      </c>
      <c r="I210" s="112">
        <v>210.0</v>
      </c>
    </row>
    <row r="211" ht="12.75" customHeight="1">
      <c r="A211" s="162">
        <f t="shared" si="116"/>
        <v>43672</v>
      </c>
      <c r="B211" s="112">
        <v>390.0</v>
      </c>
      <c r="C211" s="112">
        <v>40.66</v>
      </c>
      <c r="D211" s="112">
        <v>700.0</v>
      </c>
      <c r="E211" s="112">
        <v>70.0</v>
      </c>
      <c r="F211" s="164">
        <f t="shared" si="115"/>
        <v>1200.66</v>
      </c>
      <c r="G211" s="124">
        <v>18.0</v>
      </c>
      <c r="H211" s="124">
        <v>1.0</v>
      </c>
      <c r="I211" s="112">
        <v>70.0</v>
      </c>
    </row>
    <row r="212" ht="12.75" customHeight="1">
      <c r="A212" s="67"/>
      <c r="B212" s="68">
        <f t="shared" ref="B212:I212" si="117">SUM(B207:B211)</f>
        <v>1420</v>
      </c>
      <c r="C212" s="68">
        <f t="shared" si="117"/>
        <v>779.62</v>
      </c>
      <c r="D212" s="68">
        <f t="shared" si="117"/>
        <v>3770</v>
      </c>
      <c r="E212" s="68">
        <f t="shared" si="117"/>
        <v>690</v>
      </c>
      <c r="F212" s="157">
        <f t="shared" si="117"/>
        <v>6659.62</v>
      </c>
      <c r="G212" s="70">
        <f t="shared" si="117"/>
        <v>112</v>
      </c>
      <c r="H212" s="70">
        <f t="shared" si="117"/>
        <v>18</v>
      </c>
      <c r="I212" s="91">
        <f t="shared" si="117"/>
        <v>670</v>
      </c>
    </row>
    <row r="213" ht="12.75" customHeight="1">
      <c r="A213" s="74"/>
      <c r="B213" s="75"/>
      <c r="C213" s="75"/>
      <c r="D213" s="75"/>
      <c r="E213" s="75"/>
      <c r="F213" s="75"/>
      <c r="G213" s="76"/>
      <c r="H213" s="76"/>
      <c r="I213" s="74"/>
    </row>
    <row r="214" ht="12.75" customHeight="1">
      <c r="A214" s="162">
        <f>A211+3</f>
        <v>43675</v>
      </c>
      <c r="B214" s="112">
        <v>290.0</v>
      </c>
      <c r="C214" s="112">
        <v>291.63</v>
      </c>
      <c r="D214" s="112">
        <v>630.0</v>
      </c>
      <c r="E214" s="112">
        <v>210.0</v>
      </c>
      <c r="F214" s="164">
        <f t="shared" ref="F214:F216" si="118">SUM(B214:E214)</f>
        <v>1421.63</v>
      </c>
      <c r="G214" s="124">
        <v>26.0</v>
      </c>
      <c r="H214" s="124">
        <v>5.0</v>
      </c>
      <c r="I214" s="112">
        <v>210.0</v>
      </c>
    </row>
    <row r="215" ht="12.75" customHeight="1">
      <c r="A215" s="162">
        <f t="shared" ref="A215:A216" si="119">A214+1</f>
        <v>43676</v>
      </c>
      <c r="B215" s="112">
        <v>100.0</v>
      </c>
      <c r="C215" s="112">
        <v>40.66</v>
      </c>
      <c r="D215" s="112">
        <v>870.0</v>
      </c>
      <c r="E215" s="112">
        <v>150.0</v>
      </c>
      <c r="F215" s="164">
        <f t="shared" si="118"/>
        <v>1160.66</v>
      </c>
      <c r="G215" s="124">
        <v>23.0</v>
      </c>
      <c r="H215" s="124">
        <v>1.0</v>
      </c>
      <c r="I215" s="112">
        <v>150.0</v>
      </c>
    </row>
    <row r="216" ht="12.75" customHeight="1">
      <c r="A216" s="162">
        <f t="shared" si="119"/>
        <v>43677</v>
      </c>
      <c r="B216" s="112">
        <v>170.0</v>
      </c>
      <c r="C216" s="112">
        <v>80.96</v>
      </c>
      <c r="D216" s="112">
        <v>610.0</v>
      </c>
      <c r="E216" s="112">
        <v>30.0</v>
      </c>
      <c r="F216" s="164">
        <f t="shared" si="118"/>
        <v>890.96</v>
      </c>
      <c r="G216" s="124">
        <v>17.0</v>
      </c>
      <c r="H216" s="124">
        <v>2.0</v>
      </c>
      <c r="I216" s="112">
        <v>30.0</v>
      </c>
    </row>
    <row r="217" ht="12.75" customHeight="1">
      <c r="A217" s="67"/>
      <c r="B217" s="68">
        <f t="shared" ref="B217:I217" si="120">SUM(B214:B216)</f>
        <v>560</v>
      </c>
      <c r="C217" s="68">
        <f t="shared" si="120"/>
        <v>413.25</v>
      </c>
      <c r="D217" s="68">
        <f t="shared" si="120"/>
        <v>2110</v>
      </c>
      <c r="E217" s="68">
        <f t="shared" si="120"/>
        <v>390</v>
      </c>
      <c r="F217" s="157">
        <f t="shared" si="120"/>
        <v>3473.25</v>
      </c>
      <c r="G217" s="70">
        <f t="shared" si="120"/>
        <v>66</v>
      </c>
      <c r="H217" s="70">
        <f t="shared" si="120"/>
        <v>8</v>
      </c>
      <c r="I217" s="69">
        <f t="shared" si="120"/>
        <v>390</v>
      </c>
    </row>
    <row r="218" ht="12.75" customHeight="1">
      <c r="A218" s="74"/>
      <c r="B218" s="92"/>
      <c r="C218" s="92"/>
      <c r="D218" s="92"/>
      <c r="E218" s="92"/>
      <c r="F218" s="92"/>
      <c r="G218" s="76"/>
      <c r="H218" s="76"/>
      <c r="I218" s="76"/>
    </row>
    <row r="219" ht="12.75" customHeight="1">
      <c r="A219" s="58">
        <v>43678.0</v>
      </c>
      <c r="B219" s="98">
        <v>220.0</v>
      </c>
      <c r="C219" s="99">
        <v>233.33</v>
      </c>
      <c r="D219" s="99">
        <v>900.0</v>
      </c>
      <c r="E219" s="99">
        <v>190.0</v>
      </c>
      <c r="F219" s="258">
        <f t="shared" ref="F219:F220" si="121">SUM(B219:E219)</f>
        <v>1543.33</v>
      </c>
      <c r="G219" s="99">
        <v>26.0</v>
      </c>
      <c r="H219" s="99">
        <v>5.0</v>
      </c>
      <c r="I219" s="101">
        <v>180.0</v>
      </c>
    </row>
    <row r="220" ht="12.75" customHeight="1">
      <c r="A220" s="58">
        <f>A219+1</f>
        <v>43679</v>
      </c>
      <c r="B220" s="112">
        <v>500.0</v>
      </c>
      <c r="C220" s="124">
        <v>123.38</v>
      </c>
      <c r="D220" s="124">
        <v>240.0</v>
      </c>
      <c r="E220" s="124">
        <v>0.0</v>
      </c>
      <c r="F220" s="258">
        <f t="shared" si="121"/>
        <v>863.38</v>
      </c>
      <c r="G220" s="59">
        <v>15.0</v>
      </c>
      <c r="H220" s="59">
        <v>3.0</v>
      </c>
      <c r="I220" s="61">
        <v>0.0</v>
      </c>
    </row>
    <row r="221" ht="12.75" customHeight="1">
      <c r="A221" s="67"/>
      <c r="B221" s="91">
        <f t="shared" ref="B221:I221" si="122">SUM(B219:B220)</f>
        <v>720</v>
      </c>
      <c r="C221" s="91">
        <f t="shared" si="122"/>
        <v>356.71</v>
      </c>
      <c r="D221" s="91">
        <f t="shared" si="122"/>
        <v>1140</v>
      </c>
      <c r="E221" s="91">
        <f t="shared" si="122"/>
        <v>190</v>
      </c>
      <c r="F221" s="157">
        <f t="shared" si="122"/>
        <v>2406.71</v>
      </c>
      <c r="G221" s="70">
        <f t="shared" si="122"/>
        <v>41</v>
      </c>
      <c r="H221" s="70">
        <f t="shared" si="122"/>
        <v>8</v>
      </c>
      <c r="I221" s="168">
        <f t="shared" si="122"/>
        <v>180</v>
      </c>
    </row>
    <row r="222" ht="12.75" customHeight="1">
      <c r="A222" s="74"/>
      <c r="B222" s="74"/>
      <c r="C222" s="74"/>
      <c r="D222" s="74"/>
      <c r="E222" s="74"/>
      <c r="F222" s="75"/>
      <c r="G222" s="76"/>
      <c r="H222" s="76"/>
      <c r="I222" s="74"/>
    </row>
    <row r="223" ht="12.75" customHeight="1">
      <c r="A223" s="97">
        <f>A220+3</f>
        <v>43682</v>
      </c>
      <c r="B223" s="175"/>
      <c r="C223" s="176"/>
      <c r="D223" s="176"/>
      <c r="E223" s="176"/>
      <c r="F223" s="151">
        <f t="shared" ref="F223:F227" si="123">SUM(B223:E223)</f>
        <v>0</v>
      </c>
      <c r="G223" s="176"/>
      <c r="H223" s="176"/>
      <c r="I223" s="178"/>
    </row>
    <row r="224" ht="12.75" customHeight="1">
      <c r="A224" s="97">
        <f t="shared" ref="A224:A227" si="124">A223+1</f>
        <v>43683</v>
      </c>
      <c r="B224" s="150"/>
      <c r="C224" s="119"/>
      <c r="D224" s="119"/>
      <c r="E224" s="119"/>
      <c r="F224" s="151">
        <f t="shared" si="123"/>
        <v>0</v>
      </c>
      <c r="G224" s="84"/>
      <c r="H224" s="84"/>
      <c r="I224" s="86"/>
    </row>
    <row r="225" ht="12.75" customHeight="1">
      <c r="A225" s="97">
        <f t="shared" si="124"/>
        <v>43684</v>
      </c>
      <c r="B225" s="150"/>
      <c r="C225" s="119"/>
      <c r="D225" s="119"/>
      <c r="E225" s="119"/>
      <c r="F225" s="151">
        <f t="shared" si="123"/>
        <v>0</v>
      </c>
      <c r="G225" s="84"/>
      <c r="H225" s="84"/>
      <c r="I225" s="86"/>
    </row>
    <row r="226" ht="12.75" customHeight="1">
      <c r="A226" s="97">
        <f t="shared" si="124"/>
        <v>43685</v>
      </c>
      <c r="B226" s="150"/>
      <c r="C226" s="119"/>
      <c r="D226" s="119"/>
      <c r="E226" s="119"/>
      <c r="F226" s="151">
        <f t="shared" si="123"/>
        <v>0</v>
      </c>
      <c r="G226" s="84"/>
      <c r="H226" s="84"/>
      <c r="I226" s="86"/>
    </row>
    <row r="227" ht="12.75" customHeight="1">
      <c r="A227" s="97">
        <f t="shared" si="124"/>
        <v>43686</v>
      </c>
      <c r="B227" s="150"/>
      <c r="C227" s="119"/>
      <c r="D227" s="119"/>
      <c r="E227" s="119"/>
      <c r="F227" s="151">
        <f t="shared" si="123"/>
        <v>0</v>
      </c>
      <c r="G227" s="84"/>
      <c r="H227" s="84"/>
      <c r="I227" s="86"/>
    </row>
    <row r="228" ht="12.75" customHeight="1">
      <c r="A228" s="67"/>
      <c r="B228" s="91">
        <f t="shared" ref="B228:I228" si="125">SUM(B223:B227)</f>
        <v>0</v>
      </c>
      <c r="C228" s="91">
        <f t="shared" si="125"/>
        <v>0</v>
      </c>
      <c r="D228" s="91">
        <f t="shared" si="125"/>
        <v>0</v>
      </c>
      <c r="E228" s="91">
        <f t="shared" si="125"/>
        <v>0</v>
      </c>
      <c r="F228" s="157">
        <f t="shared" si="125"/>
        <v>0</v>
      </c>
      <c r="G228" s="70">
        <f t="shared" si="125"/>
        <v>0</v>
      </c>
      <c r="H228" s="70">
        <f t="shared" si="125"/>
        <v>0</v>
      </c>
      <c r="I228" s="168">
        <f t="shared" si="125"/>
        <v>0</v>
      </c>
    </row>
    <row r="229" ht="12.75" customHeight="1">
      <c r="A229" s="74"/>
      <c r="B229" s="74"/>
      <c r="C229" s="74"/>
      <c r="D229" s="74"/>
      <c r="E229" s="74"/>
      <c r="F229" s="75"/>
      <c r="G229" s="76"/>
      <c r="H229" s="76"/>
      <c r="I229" s="74"/>
    </row>
    <row r="230" ht="12.75" customHeight="1">
      <c r="A230" s="161">
        <f>A227+3</f>
        <v>43689</v>
      </c>
      <c r="B230" s="175"/>
      <c r="C230" s="176"/>
      <c r="D230" s="176"/>
      <c r="E230" s="176"/>
      <c r="F230" s="177"/>
      <c r="G230" s="176"/>
      <c r="H230" s="176"/>
      <c r="I230" s="178"/>
    </row>
    <row r="231" ht="12.75" customHeight="1">
      <c r="A231" s="162">
        <f t="shared" ref="A231:A234" si="126">A230+1</f>
        <v>43690</v>
      </c>
      <c r="B231" s="150"/>
      <c r="C231" s="119"/>
      <c r="D231" s="119"/>
      <c r="E231" s="119"/>
      <c r="F231" s="196"/>
      <c r="G231" s="84"/>
      <c r="H231" s="84"/>
      <c r="I231" s="86"/>
    </row>
    <row r="232" ht="12.75" customHeight="1">
      <c r="A232" s="162">
        <f t="shared" si="126"/>
        <v>43691</v>
      </c>
      <c r="B232" s="150"/>
      <c r="C232" s="119"/>
      <c r="D232" s="119"/>
      <c r="E232" s="119"/>
      <c r="F232" s="196"/>
      <c r="G232" s="84"/>
      <c r="H232" s="84"/>
      <c r="I232" s="86"/>
    </row>
    <row r="233" ht="12.75" customHeight="1">
      <c r="A233" s="162">
        <f t="shared" si="126"/>
        <v>43692</v>
      </c>
      <c r="B233" s="150"/>
      <c r="C233" s="119"/>
      <c r="D233" s="119"/>
      <c r="E233" s="119"/>
      <c r="F233" s="196"/>
      <c r="G233" s="84"/>
      <c r="H233" s="84"/>
      <c r="I233" s="86"/>
    </row>
    <row r="234" ht="12.75" customHeight="1">
      <c r="A234" s="163">
        <f t="shared" si="126"/>
        <v>43693</v>
      </c>
      <c r="B234" s="169"/>
      <c r="C234" s="170"/>
      <c r="D234" s="170"/>
      <c r="E234" s="170"/>
      <c r="F234" s="196"/>
      <c r="G234" s="172"/>
      <c r="H234" s="172"/>
      <c r="I234" s="173"/>
    </row>
    <row r="235" ht="12.75" customHeight="1">
      <c r="A235" s="67"/>
      <c r="B235" s="179">
        <f t="shared" ref="B235:I235" si="127">SUM(B230:B234)</f>
        <v>0</v>
      </c>
      <c r="C235" s="179">
        <f t="shared" si="127"/>
        <v>0</v>
      </c>
      <c r="D235" s="179">
        <f t="shared" si="127"/>
        <v>0</v>
      </c>
      <c r="E235" s="179">
        <f t="shared" si="127"/>
        <v>0</v>
      </c>
      <c r="F235" s="157">
        <f t="shared" si="127"/>
        <v>0</v>
      </c>
      <c r="G235" s="180">
        <f t="shared" si="127"/>
        <v>0</v>
      </c>
      <c r="H235" s="180">
        <f t="shared" si="127"/>
        <v>0</v>
      </c>
      <c r="I235" s="179">
        <f t="shared" si="127"/>
        <v>0</v>
      </c>
    </row>
    <row r="236" ht="12.75" customHeight="1">
      <c r="A236" s="74"/>
      <c r="B236" s="74"/>
      <c r="C236" s="74"/>
      <c r="D236" s="74"/>
      <c r="E236" s="74"/>
      <c r="F236" s="75"/>
      <c r="G236" s="74"/>
      <c r="H236" s="74"/>
      <c r="I236" s="74"/>
    </row>
    <row r="237" ht="12.75" customHeight="1">
      <c r="A237" s="97">
        <f>A234+3</f>
        <v>43696</v>
      </c>
      <c r="B237" s="175"/>
      <c r="C237" s="176"/>
      <c r="D237" s="176"/>
      <c r="E237" s="176"/>
      <c r="F237" s="177"/>
      <c r="G237" s="176"/>
      <c r="H237" s="176"/>
      <c r="I237" s="178"/>
    </row>
    <row r="238" ht="12.75" customHeight="1">
      <c r="A238" s="162">
        <f t="shared" ref="A238:A241" si="128">A237+1</f>
        <v>43697</v>
      </c>
      <c r="B238" s="150"/>
      <c r="C238" s="119"/>
      <c r="D238" s="119"/>
      <c r="E238" s="119"/>
      <c r="F238" s="196"/>
      <c r="G238" s="84"/>
      <c r="H238" s="84"/>
      <c r="I238" s="86"/>
    </row>
    <row r="239" ht="12.75" customHeight="1">
      <c r="A239" s="97">
        <f t="shared" si="128"/>
        <v>43698</v>
      </c>
      <c r="B239" s="150"/>
      <c r="C239" s="119"/>
      <c r="D239" s="119"/>
      <c r="E239" s="119"/>
      <c r="F239" s="196"/>
      <c r="G239" s="84"/>
      <c r="H239" s="84"/>
      <c r="I239" s="86"/>
    </row>
    <row r="240" ht="12.75" customHeight="1">
      <c r="A240" s="162">
        <f t="shared" si="128"/>
        <v>43699</v>
      </c>
      <c r="B240" s="150"/>
      <c r="C240" s="119"/>
      <c r="D240" s="119"/>
      <c r="E240" s="119"/>
      <c r="F240" s="196"/>
      <c r="G240" s="84"/>
      <c r="H240" s="84"/>
      <c r="I240" s="86"/>
    </row>
    <row r="241" ht="12.75" customHeight="1">
      <c r="A241" s="97">
        <f t="shared" si="128"/>
        <v>43700</v>
      </c>
      <c r="B241" s="169"/>
      <c r="C241" s="170"/>
      <c r="D241" s="170"/>
      <c r="E241" s="170"/>
      <c r="F241" s="196"/>
      <c r="G241" s="172"/>
      <c r="H241" s="172"/>
      <c r="I241" s="173"/>
    </row>
    <row r="242" ht="12.75" customHeight="1">
      <c r="A242" s="67"/>
      <c r="B242" s="179">
        <f t="shared" ref="B242:I242" si="129">SUM(B234:B241)</f>
        <v>0</v>
      </c>
      <c r="C242" s="179">
        <f t="shared" si="129"/>
        <v>0</v>
      </c>
      <c r="D242" s="179">
        <f t="shared" si="129"/>
        <v>0</v>
      </c>
      <c r="E242" s="179">
        <f t="shared" si="129"/>
        <v>0</v>
      </c>
      <c r="F242" s="157">
        <f t="shared" si="129"/>
        <v>0</v>
      </c>
      <c r="G242" s="180">
        <f t="shared" si="129"/>
        <v>0</v>
      </c>
      <c r="H242" s="180">
        <f t="shared" si="129"/>
        <v>0</v>
      </c>
      <c r="I242" s="179">
        <f t="shared" si="129"/>
        <v>0</v>
      </c>
    </row>
    <row r="243" ht="12.75" customHeight="1">
      <c r="A243" s="74"/>
      <c r="B243" s="94"/>
      <c r="C243" s="94"/>
      <c r="D243" s="94"/>
      <c r="E243" s="94"/>
      <c r="F243" s="75"/>
      <c r="G243" s="94"/>
      <c r="H243" s="94"/>
      <c r="I243" s="94"/>
    </row>
    <row r="244" ht="12.75" customHeight="1">
      <c r="A244" s="97">
        <f>A241+3</f>
        <v>43703</v>
      </c>
      <c r="B244" s="98">
        <v>400.0</v>
      </c>
      <c r="C244" s="99">
        <v>220.94</v>
      </c>
      <c r="D244" s="99">
        <v>820.0</v>
      </c>
      <c r="E244" s="99">
        <v>200.0</v>
      </c>
      <c r="F244" s="258">
        <f t="shared" ref="F244:F248" si="130">SUM(B244:E244)</f>
        <v>1640.94</v>
      </c>
      <c r="G244" s="99">
        <v>28.0</v>
      </c>
      <c r="H244" s="99">
        <v>4.0</v>
      </c>
      <c r="I244" s="101">
        <v>200.0</v>
      </c>
    </row>
    <row r="245" ht="12.75" customHeight="1">
      <c r="A245" s="97">
        <f t="shared" ref="A245:A248" si="131">A244+1</f>
        <v>43704</v>
      </c>
      <c r="B245" s="98">
        <v>220.0</v>
      </c>
      <c r="C245" s="99">
        <v>111.35</v>
      </c>
      <c r="D245" s="99">
        <v>1120.0</v>
      </c>
      <c r="E245" s="99">
        <v>90.0</v>
      </c>
      <c r="F245" s="258">
        <f t="shared" si="130"/>
        <v>1541.35</v>
      </c>
      <c r="G245" s="99">
        <v>28.0</v>
      </c>
      <c r="H245" s="99">
        <v>2.0</v>
      </c>
      <c r="I245" s="101">
        <v>90.0</v>
      </c>
    </row>
    <row r="246" ht="12.75" customHeight="1">
      <c r="A246" s="97">
        <f t="shared" si="131"/>
        <v>43705</v>
      </c>
      <c r="B246" s="98">
        <v>320.0</v>
      </c>
      <c r="C246" s="99">
        <v>38.9</v>
      </c>
      <c r="D246" s="99">
        <v>520.0</v>
      </c>
      <c r="E246" s="99">
        <v>70.0</v>
      </c>
      <c r="F246" s="258">
        <f t="shared" si="130"/>
        <v>948.9</v>
      </c>
      <c r="G246" s="99">
        <v>17.0</v>
      </c>
      <c r="H246" s="99">
        <v>1.0</v>
      </c>
      <c r="I246" s="101">
        <v>60.0</v>
      </c>
    </row>
    <row r="247" ht="12.75" customHeight="1">
      <c r="A247" s="97">
        <f t="shared" si="131"/>
        <v>43706</v>
      </c>
      <c r="B247" s="98">
        <v>140.0</v>
      </c>
      <c r="C247" s="99">
        <v>275.39</v>
      </c>
      <c r="D247" s="99">
        <v>920.0</v>
      </c>
      <c r="E247" s="99">
        <v>250.0</v>
      </c>
      <c r="F247" s="258">
        <f t="shared" si="130"/>
        <v>1585.39</v>
      </c>
      <c r="G247" s="99">
        <v>30.0</v>
      </c>
      <c r="H247" s="99">
        <v>6.0</v>
      </c>
      <c r="I247" s="101">
        <v>250.0</v>
      </c>
    </row>
    <row r="248" ht="12.75" customHeight="1">
      <c r="A248" s="97">
        <f t="shared" si="131"/>
        <v>43707</v>
      </c>
      <c r="B248" s="98">
        <v>100.0</v>
      </c>
      <c r="C248" s="99">
        <v>0.0</v>
      </c>
      <c r="D248" s="99">
        <v>800.0</v>
      </c>
      <c r="E248" s="99">
        <v>190.0</v>
      </c>
      <c r="F248" s="258">
        <f t="shared" si="130"/>
        <v>1090</v>
      </c>
      <c r="G248" s="99">
        <v>24.0</v>
      </c>
      <c r="H248" s="99"/>
      <c r="I248" s="101">
        <v>200.0</v>
      </c>
    </row>
    <row r="249" ht="12.75" customHeight="1">
      <c r="A249" s="67"/>
      <c r="B249" s="145">
        <f t="shared" ref="B249:I249" si="132">SUM(B244:B248)</f>
        <v>1180</v>
      </c>
      <c r="C249" s="145">
        <f t="shared" si="132"/>
        <v>646.58</v>
      </c>
      <c r="D249" s="145">
        <f t="shared" si="132"/>
        <v>4180</v>
      </c>
      <c r="E249" s="145">
        <f t="shared" si="132"/>
        <v>800</v>
      </c>
      <c r="F249" s="157">
        <f t="shared" si="132"/>
        <v>6806.58</v>
      </c>
      <c r="G249" s="174">
        <f t="shared" si="132"/>
        <v>127</v>
      </c>
      <c r="H249" s="174">
        <f t="shared" si="132"/>
        <v>13</v>
      </c>
      <c r="I249" s="186">
        <f t="shared" si="132"/>
        <v>800</v>
      </c>
    </row>
    <row r="250" ht="12.75" customHeight="1">
      <c r="A250" s="74"/>
      <c r="B250" s="74"/>
      <c r="C250" s="74"/>
      <c r="D250" s="74"/>
      <c r="E250" s="74"/>
      <c r="F250" s="75"/>
      <c r="G250" s="74"/>
      <c r="H250" s="74"/>
      <c r="I250" s="74"/>
    </row>
    <row r="251" ht="12.75" customHeight="1">
      <c r="A251" s="58">
        <v>43710.0</v>
      </c>
      <c r="B251" s="189">
        <v>210.0</v>
      </c>
      <c r="C251" s="189">
        <v>162.64</v>
      </c>
      <c r="D251" s="189">
        <v>1690.0</v>
      </c>
      <c r="E251" s="189">
        <v>0.0</v>
      </c>
      <c r="F251" s="156">
        <f t="shared" ref="F251:F255" si="133">SUM(B251:E251)</f>
        <v>2062.64</v>
      </c>
      <c r="G251" s="59">
        <v>34.0</v>
      </c>
      <c r="H251" s="59">
        <v>4.0</v>
      </c>
      <c r="I251" s="189">
        <v>0.0</v>
      </c>
    </row>
    <row r="252" ht="12.75" customHeight="1">
      <c r="A252" s="58">
        <f t="shared" ref="A252:A255" si="134">A251+1</f>
        <v>43711</v>
      </c>
      <c r="B252" s="189">
        <v>270.0</v>
      </c>
      <c r="C252" s="189">
        <v>208.64</v>
      </c>
      <c r="D252" s="189">
        <v>860.0</v>
      </c>
      <c r="E252" s="189">
        <v>190.0</v>
      </c>
      <c r="F252" s="156">
        <f t="shared" si="133"/>
        <v>1528.64</v>
      </c>
      <c r="G252" s="59">
        <v>29.0</v>
      </c>
      <c r="H252" s="59">
        <v>5.0</v>
      </c>
      <c r="I252" s="189">
        <v>210.0</v>
      </c>
    </row>
    <row r="253" ht="12.75" customHeight="1">
      <c r="A253" s="58">
        <f t="shared" si="134"/>
        <v>43712</v>
      </c>
      <c r="B253" s="189">
        <v>270.0</v>
      </c>
      <c r="C253" s="189">
        <v>77.8</v>
      </c>
      <c r="D253" s="189">
        <v>700.0</v>
      </c>
      <c r="E253" s="189">
        <v>150.0</v>
      </c>
      <c r="F253" s="156">
        <f t="shared" si="133"/>
        <v>1197.8</v>
      </c>
      <c r="G253" s="59">
        <v>23.0</v>
      </c>
      <c r="H253" s="59">
        <v>2.0</v>
      </c>
      <c r="I253" s="189">
        <v>160.0</v>
      </c>
    </row>
    <row r="254" ht="12.75" customHeight="1">
      <c r="A254" s="58">
        <f t="shared" si="134"/>
        <v>43713</v>
      </c>
      <c r="B254" s="189">
        <v>320.0</v>
      </c>
      <c r="C254" s="189">
        <v>242.67</v>
      </c>
      <c r="D254" s="189">
        <v>1120.0</v>
      </c>
      <c r="E254" s="189">
        <v>310.0</v>
      </c>
      <c r="F254" s="156">
        <f t="shared" si="133"/>
        <v>1992.67</v>
      </c>
      <c r="G254" s="59">
        <v>34.0</v>
      </c>
      <c r="H254" s="59">
        <v>5.0</v>
      </c>
      <c r="I254" s="189">
        <v>300.0</v>
      </c>
    </row>
    <row r="255" ht="12.75" customHeight="1">
      <c r="A255" s="58">
        <f t="shared" si="134"/>
        <v>43714</v>
      </c>
      <c r="B255" s="189">
        <v>190.0</v>
      </c>
      <c r="C255" s="189">
        <v>111.32</v>
      </c>
      <c r="D255" s="189">
        <v>890.0</v>
      </c>
      <c r="E255" s="189">
        <v>220.0</v>
      </c>
      <c r="F255" s="156">
        <f t="shared" si="133"/>
        <v>1411.32</v>
      </c>
      <c r="G255" s="59">
        <v>23.0</v>
      </c>
      <c r="H255" s="59">
        <v>3.0</v>
      </c>
      <c r="I255" s="189">
        <v>200.0</v>
      </c>
    </row>
    <row r="256" ht="12.75" customHeight="1">
      <c r="A256" s="131"/>
      <c r="B256" s="157">
        <f t="shared" ref="B256:I256" si="135">SUM(B251:B255)</f>
        <v>1260</v>
      </c>
      <c r="C256" s="190">
        <f t="shared" si="135"/>
        <v>803.07</v>
      </c>
      <c r="D256" s="190">
        <f t="shared" si="135"/>
        <v>5260</v>
      </c>
      <c r="E256" s="190">
        <f t="shared" si="135"/>
        <v>870</v>
      </c>
      <c r="F256" s="190">
        <f t="shared" si="135"/>
        <v>8193.07</v>
      </c>
      <c r="G256" s="133">
        <f t="shared" si="135"/>
        <v>143</v>
      </c>
      <c r="H256" s="133">
        <f t="shared" si="135"/>
        <v>19</v>
      </c>
      <c r="I256" s="157">
        <f t="shared" si="135"/>
        <v>870</v>
      </c>
    </row>
    <row r="257" ht="12.75" customHeight="1">
      <c r="A257" s="148"/>
      <c r="B257" s="75"/>
      <c r="C257" s="136"/>
      <c r="D257" s="136"/>
      <c r="E257" s="136"/>
      <c r="F257" s="136"/>
      <c r="G257" s="136"/>
      <c r="H257" s="136"/>
      <c r="I257" s="75"/>
    </row>
    <row r="258" ht="12.75" customHeight="1">
      <c r="A258" s="97">
        <f>A255+3</f>
        <v>43717</v>
      </c>
      <c r="B258" s="189">
        <v>140.0</v>
      </c>
      <c r="C258" s="189">
        <v>123.38</v>
      </c>
      <c r="D258" s="189">
        <v>770.0</v>
      </c>
      <c r="E258" s="189">
        <v>0.0</v>
      </c>
      <c r="F258" s="156">
        <f t="shared" ref="F258:F262" si="136">SUM(B258:E258)</f>
        <v>1033.38</v>
      </c>
      <c r="G258" s="59">
        <v>20.0</v>
      </c>
      <c r="H258" s="59">
        <v>3.0</v>
      </c>
      <c r="I258" s="189">
        <v>0.0</v>
      </c>
    </row>
    <row r="259" ht="12.75" customHeight="1">
      <c r="A259" s="97">
        <f t="shared" ref="A259:A262" si="137">A258+1</f>
        <v>43718</v>
      </c>
      <c r="B259" s="192">
        <v>150.0</v>
      </c>
      <c r="C259" s="192">
        <v>81.32</v>
      </c>
      <c r="D259" s="192">
        <v>700.0</v>
      </c>
      <c r="E259" s="192">
        <v>0.0</v>
      </c>
      <c r="F259" s="193">
        <f t="shared" si="136"/>
        <v>931.32</v>
      </c>
      <c r="G259" s="81">
        <v>17.0</v>
      </c>
      <c r="H259" s="81">
        <v>2.0</v>
      </c>
      <c r="I259" s="192">
        <v>0.0</v>
      </c>
    </row>
    <row r="260" ht="12.75" customHeight="1">
      <c r="A260" s="97">
        <f t="shared" si="137"/>
        <v>43719</v>
      </c>
      <c r="B260" s="192">
        <v>50.0</v>
      </c>
      <c r="C260" s="192">
        <v>393.55</v>
      </c>
      <c r="D260" s="192">
        <v>790.0</v>
      </c>
      <c r="E260" s="192">
        <v>100.0</v>
      </c>
      <c r="F260" s="193">
        <f t="shared" si="136"/>
        <v>1333.55</v>
      </c>
      <c r="G260" s="81">
        <v>25.0</v>
      </c>
      <c r="H260" s="81">
        <v>8.0</v>
      </c>
      <c r="I260" s="192">
        <v>100.0</v>
      </c>
    </row>
    <row r="261" ht="12.75" customHeight="1">
      <c r="A261" s="97">
        <f t="shared" si="137"/>
        <v>43720</v>
      </c>
      <c r="B261" s="192">
        <v>572.2</v>
      </c>
      <c r="C261" s="192">
        <v>162.64</v>
      </c>
      <c r="D261" s="192">
        <v>1070.0</v>
      </c>
      <c r="E261" s="192">
        <v>150.0</v>
      </c>
      <c r="F261" s="193">
        <f t="shared" si="136"/>
        <v>1954.84</v>
      </c>
      <c r="G261" s="81">
        <v>32.0</v>
      </c>
      <c r="H261" s="81">
        <v>5.0</v>
      </c>
      <c r="I261" s="192">
        <v>150.0</v>
      </c>
    </row>
    <row r="262" ht="12.75" customHeight="1">
      <c r="A262" s="97">
        <f t="shared" si="137"/>
        <v>43721</v>
      </c>
      <c r="B262" s="194">
        <v>260.0</v>
      </c>
      <c r="C262" s="194">
        <v>120.22</v>
      </c>
      <c r="D262" s="194">
        <v>870.0</v>
      </c>
      <c r="E262" s="194">
        <v>300.0</v>
      </c>
      <c r="F262" s="195">
        <f t="shared" si="136"/>
        <v>1550.22</v>
      </c>
      <c r="G262" s="89">
        <v>24.0</v>
      </c>
      <c r="H262" s="89">
        <v>3.0</v>
      </c>
      <c r="I262" s="194">
        <v>300.0</v>
      </c>
    </row>
    <row r="263" ht="12.75" customHeight="1">
      <c r="A263" s="131"/>
      <c r="B263" s="157">
        <f t="shared" ref="B263:I263" si="138">SUM(B258:B262)</f>
        <v>1172.2</v>
      </c>
      <c r="C263" s="190">
        <f t="shared" si="138"/>
        <v>881.11</v>
      </c>
      <c r="D263" s="190">
        <f t="shared" si="138"/>
        <v>4200</v>
      </c>
      <c r="E263" s="190">
        <f t="shared" si="138"/>
        <v>550</v>
      </c>
      <c r="F263" s="190">
        <f t="shared" si="138"/>
        <v>6803.31</v>
      </c>
      <c r="G263" s="133">
        <f t="shared" si="138"/>
        <v>118</v>
      </c>
      <c r="H263" s="133">
        <f t="shared" si="138"/>
        <v>21</v>
      </c>
      <c r="I263" s="157">
        <f t="shared" si="138"/>
        <v>550</v>
      </c>
    </row>
    <row r="264" ht="12.75" customHeight="1">
      <c r="A264" s="148"/>
      <c r="B264" s="75"/>
      <c r="C264" s="136"/>
      <c r="D264" s="136"/>
      <c r="E264" s="136"/>
      <c r="F264" s="136"/>
      <c r="G264" s="136"/>
      <c r="H264" s="136"/>
      <c r="I264" s="75"/>
    </row>
    <row r="265" ht="12.75" customHeight="1">
      <c r="A265" s="97">
        <f>A262+3</f>
        <v>43724</v>
      </c>
      <c r="B265" s="189">
        <v>150.0</v>
      </c>
      <c r="C265" s="189">
        <v>242.2</v>
      </c>
      <c r="D265" s="189">
        <v>1160.0</v>
      </c>
      <c r="E265" s="189">
        <v>150.0</v>
      </c>
      <c r="F265" s="156">
        <f t="shared" ref="F265:F269" si="139">SUM(B265:E265)</f>
        <v>1702.2</v>
      </c>
      <c r="G265" s="59">
        <v>30.0</v>
      </c>
      <c r="H265" s="59">
        <v>6.0</v>
      </c>
      <c r="I265" s="189">
        <v>150.0</v>
      </c>
    </row>
    <row r="266" ht="12.75" customHeight="1">
      <c r="A266" s="97">
        <f t="shared" ref="A266:A269" si="140">A265+1</f>
        <v>43725</v>
      </c>
      <c r="B266" s="192">
        <v>100.0</v>
      </c>
      <c r="C266" s="192">
        <v>121.62</v>
      </c>
      <c r="D266" s="192">
        <v>570.0</v>
      </c>
      <c r="E266" s="192">
        <v>240.0</v>
      </c>
      <c r="F266" s="193">
        <f t="shared" si="139"/>
        <v>1031.62</v>
      </c>
      <c r="G266" s="81">
        <v>19.0</v>
      </c>
      <c r="H266" s="81">
        <v>3.0</v>
      </c>
      <c r="I266" s="192">
        <v>240.0</v>
      </c>
    </row>
    <row r="267" ht="12.75" customHeight="1">
      <c r="A267" s="97">
        <f t="shared" si="140"/>
        <v>43726</v>
      </c>
      <c r="B267" s="192">
        <v>220.0</v>
      </c>
      <c r="C267" s="192">
        <v>197.66</v>
      </c>
      <c r="D267" s="192">
        <v>490.0</v>
      </c>
      <c r="E267" s="192">
        <v>0.0</v>
      </c>
      <c r="F267" s="193">
        <f t="shared" si="139"/>
        <v>907.66</v>
      </c>
      <c r="G267" s="81">
        <v>19.0</v>
      </c>
      <c r="H267" s="81">
        <v>5.0</v>
      </c>
      <c r="I267" s="192">
        <v>0.0</v>
      </c>
    </row>
    <row r="268" ht="12.75" customHeight="1">
      <c r="A268" s="97">
        <f t="shared" si="140"/>
        <v>43727</v>
      </c>
      <c r="B268" s="192">
        <v>260.0</v>
      </c>
      <c r="C268" s="192">
        <v>284.62</v>
      </c>
      <c r="D268" s="192">
        <v>940.0</v>
      </c>
      <c r="E268" s="192">
        <v>140.0</v>
      </c>
      <c r="F268" s="193">
        <f t="shared" si="139"/>
        <v>1624.62</v>
      </c>
      <c r="G268" s="81">
        <v>32.0</v>
      </c>
      <c r="H268" s="81">
        <v>7.0</v>
      </c>
      <c r="I268" s="192">
        <v>140.0</v>
      </c>
    </row>
    <row r="269" ht="12.75" customHeight="1">
      <c r="A269" s="97">
        <f t="shared" si="140"/>
        <v>43728</v>
      </c>
      <c r="B269" s="192">
        <v>560.0</v>
      </c>
      <c r="C269" s="192">
        <v>81.32</v>
      </c>
      <c r="D269" s="192">
        <v>600.0</v>
      </c>
      <c r="E269" s="192">
        <v>190.0</v>
      </c>
      <c r="F269" s="193">
        <f t="shared" si="139"/>
        <v>1431.32</v>
      </c>
      <c r="G269" s="81">
        <v>24.0</v>
      </c>
      <c r="H269" s="81">
        <v>2.0</v>
      </c>
      <c r="I269" s="192">
        <v>180.0</v>
      </c>
    </row>
    <row r="270" ht="12.75" customHeight="1">
      <c r="A270" s="131"/>
      <c r="B270" s="157">
        <f t="shared" ref="B270:I270" si="141">SUM(B265:B269)</f>
        <v>1290</v>
      </c>
      <c r="C270" s="190">
        <f t="shared" si="141"/>
        <v>927.42</v>
      </c>
      <c r="D270" s="190">
        <f t="shared" si="141"/>
        <v>3760</v>
      </c>
      <c r="E270" s="190">
        <f t="shared" si="141"/>
        <v>720</v>
      </c>
      <c r="F270" s="190">
        <f t="shared" si="141"/>
        <v>6697.42</v>
      </c>
      <c r="G270" s="133">
        <f t="shared" si="141"/>
        <v>124</v>
      </c>
      <c r="H270" s="133">
        <f t="shared" si="141"/>
        <v>23</v>
      </c>
      <c r="I270" s="157">
        <f t="shared" si="141"/>
        <v>710</v>
      </c>
    </row>
    <row r="271" ht="12.75" customHeight="1">
      <c r="A271" s="135"/>
      <c r="B271" s="75"/>
      <c r="C271" s="136"/>
      <c r="D271" s="136"/>
      <c r="E271" s="136"/>
      <c r="F271" s="136"/>
      <c r="G271" s="136"/>
      <c r="H271" s="136"/>
      <c r="I271" s="75"/>
    </row>
    <row r="272" ht="12.75" customHeight="1">
      <c r="A272" s="198">
        <f>A269+3</f>
        <v>43731</v>
      </c>
      <c r="B272" s="126">
        <v>500.0</v>
      </c>
      <c r="C272" s="126">
        <v>233.33</v>
      </c>
      <c r="D272" s="126">
        <v>420.0</v>
      </c>
      <c r="E272" s="199">
        <v>0.0</v>
      </c>
      <c r="F272" s="156">
        <f t="shared" ref="F272:F276" si="142">SUM(B272:E272)</f>
        <v>1153.33</v>
      </c>
      <c r="G272" s="59">
        <v>21.0</v>
      </c>
      <c r="H272" s="59">
        <v>5.0</v>
      </c>
      <c r="I272" s="189">
        <v>0.0</v>
      </c>
    </row>
    <row r="273" ht="12.75" customHeight="1">
      <c r="A273" s="200">
        <f t="shared" ref="A273:A275" si="143">A272+1</f>
        <v>43732</v>
      </c>
      <c r="B273" s="106">
        <v>70.0</v>
      </c>
      <c r="C273" s="106">
        <v>121.62</v>
      </c>
      <c r="D273" s="106">
        <v>660.0</v>
      </c>
      <c r="E273" s="201">
        <v>140.0</v>
      </c>
      <c r="F273" s="193">
        <f t="shared" si="142"/>
        <v>991.62</v>
      </c>
      <c r="G273" s="202">
        <v>19.0</v>
      </c>
      <c r="H273" s="99">
        <v>3.0</v>
      </c>
      <c r="I273" s="101">
        <v>140.0</v>
      </c>
    </row>
    <row r="274" ht="12.75" customHeight="1">
      <c r="A274" s="198">
        <f t="shared" si="143"/>
        <v>43733</v>
      </c>
      <c r="B274" s="106">
        <v>240.0</v>
      </c>
      <c r="C274" s="106">
        <v>327.22</v>
      </c>
      <c r="D274" s="106">
        <v>290.0</v>
      </c>
      <c r="E274" s="201">
        <v>70.0</v>
      </c>
      <c r="F274" s="193">
        <f t="shared" si="142"/>
        <v>927.22</v>
      </c>
      <c r="G274" s="203">
        <v>18.0</v>
      </c>
      <c r="H274" s="106">
        <v>8.0</v>
      </c>
      <c r="I274" s="108">
        <v>70.0</v>
      </c>
    </row>
    <row r="275" ht="12.75" customHeight="1">
      <c r="A275" s="200">
        <f t="shared" si="143"/>
        <v>43734</v>
      </c>
      <c r="B275" s="106">
        <v>280.0</v>
      </c>
      <c r="C275" s="106">
        <v>466.66</v>
      </c>
      <c r="D275" s="106">
        <v>680.0</v>
      </c>
      <c r="E275" s="201">
        <v>140.0</v>
      </c>
      <c r="F275" s="193">
        <f t="shared" si="142"/>
        <v>1566.66</v>
      </c>
      <c r="G275" s="203">
        <v>29.0</v>
      </c>
      <c r="H275" s="106">
        <v>10.0</v>
      </c>
      <c r="I275" s="108">
        <v>140.0</v>
      </c>
    </row>
    <row r="276" ht="12.75" customHeight="1">
      <c r="A276" s="198">
        <f>A273+3</f>
        <v>43735</v>
      </c>
      <c r="B276" s="106">
        <v>370.0</v>
      </c>
      <c r="C276" s="106">
        <v>203.3</v>
      </c>
      <c r="D276" s="106">
        <v>750.0</v>
      </c>
      <c r="E276" s="201">
        <v>180.0</v>
      </c>
      <c r="F276" s="193">
        <f t="shared" si="142"/>
        <v>1503.3</v>
      </c>
      <c r="G276" s="203">
        <v>25.0</v>
      </c>
      <c r="H276" s="106">
        <v>5.0</v>
      </c>
      <c r="I276" s="108">
        <v>180.0</v>
      </c>
    </row>
    <row r="277" ht="12.75" customHeight="1">
      <c r="A277" s="204"/>
      <c r="B277" s="160">
        <f t="shared" ref="B277:I277" si="144">SUM(B272:B276)</f>
        <v>1460</v>
      </c>
      <c r="C277" s="160">
        <f t="shared" si="144"/>
        <v>1352.13</v>
      </c>
      <c r="D277" s="160">
        <f t="shared" si="144"/>
        <v>2800</v>
      </c>
      <c r="E277" s="160">
        <f t="shared" si="144"/>
        <v>530</v>
      </c>
      <c r="F277" s="205">
        <f t="shared" si="144"/>
        <v>6142.13</v>
      </c>
      <c r="G277" s="206">
        <f t="shared" si="144"/>
        <v>112</v>
      </c>
      <c r="H277" s="206">
        <f t="shared" si="144"/>
        <v>31</v>
      </c>
      <c r="I277" s="191">
        <f t="shared" si="144"/>
        <v>530</v>
      </c>
    </row>
    <row r="278" ht="12.75" customHeight="1">
      <c r="A278" s="148"/>
      <c r="B278" s="75"/>
      <c r="C278" s="75"/>
      <c r="D278" s="75"/>
      <c r="E278" s="75"/>
      <c r="F278" s="136"/>
      <c r="G278" s="136"/>
      <c r="H278" s="136"/>
      <c r="I278" s="207"/>
    </row>
    <row r="279" ht="12.75" customHeight="1">
      <c r="A279" s="200">
        <f>A276+3</f>
        <v>43738</v>
      </c>
      <c r="B279" s="106">
        <v>470.0</v>
      </c>
      <c r="C279" s="106">
        <v>281.1</v>
      </c>
      <c r="D279" s="106">
        <v>1210.0</v>
      </c>
      <c r="E279" s="201">
        <v>170.0</v>
      </c>
      <c r="F279" s="193">
        <f>SUM(B279:E279)</f>
        <v>2131.1</v>
      </c>
      <c r="G279" s="203">
        <v>37.0</v>
      </c>
      <c r="H279" s="106">
        <v>7.0</v>
      </c>
      <c r="I279" s="108">
        <v>170.0</v>
      </c>
    </row>
    <row r="280" ht="12.75" customHeight="1">
      <c r="A280" s="204">
        <v>470.0</v>
      </c>
      <c r="B280" s="160">
        <f t="shared" ref="B280:I280" si="145">SUM(B279)</f>
        <v>470</v>
      </c>
      <c r="C280" s="160">
        <f t="shared" si="145"/>
        <v>281.1</v>
      </c>
      <c r="D280" s="160">
        <f t="shared" si="145"/>
        <v>1210</v>
      </c>
      <c r="E280" s="160">
        <f t="shared" si="145"/>
        <v>170</v>
      </c>
      <c r="F280" s="205">
        <f t="shared" si="145"/>
        <v>2131.1</v>
      </c>
      <c r="G280" s="206">
        <f t="shared" si="145"/>
        <v>37</v>
      </c>
      <c r="H280" s="206">
        <f t="shared" si="145"/>
        <v>7</v>
      </c>
      <c r="I280" s="191">
        <f t="shared" si="145"/>
        <v>170</v>
      </c>
    </row>
    <row r="281" ht="12.75" customHeight="1">
      <c r="A281" s="148"/>
      <c r="B281" s="75"/>
      <c r="C281" s="75"/>
      <c r="D281" s="75"/>
      <c r="E281" s="75"/>
      <c r="F281" s="136"/>
      <c r="G281" s="136"/>
      <c r="H281" s="136"/>
      <c r="I281" s="207"/>
    </row>
    <row r="282" ht="12.75" customHeight="1">
      <c r="A282" s="58">
        <f>A279+1</f>
        <v>43739</v>
      </c>
      <c r="B282" s="189">
        <v>100.0</v>
      </c>
      <c r="C282" s="189">
        <v>241.84</v>
      </c>
      <c r="D282" s="189">
        <v>620.0</v>
      </c>
      <c r="E282" s="189">
        <v>0.0</v>
      </c>
      <c r="F282" s="156">
        <f t="shared" ref="F282:F284" si="146">SUM(B282:E282)</f>
        <v>961.84</v>
      </c>
      <c r="G282" s="59">
        <v>20.0</v>
      </c>
      <c r="H282" s="59">
        <v>6.0</v>
      </c>
      <c r="I282" s="189">
        <v>0.0</v>
      </c>
      <c r="J282" s="36" t="s">
        <v>198</v>
      </c>
    </row>
    <row r="283" ht="12.75" customHeight="1">
      <c r="A283" s="58">
        <f t="shared" ref="A283:A285" si="147">A282+1</f>
        <v>43740</v>
      </c>
      <c r="B283" s="189">
        <v>150.0</v>
      </c>
      <c r="C283" s="189">
        <v>220.52</v>
      </c>
      <c r="D283" s="189">
        <v>800.0</v>
      </c>
      <c r="E283" s="189">
        <v>60.0</v>
      </c>
      <c r="F283" s="156">
        <f t="shared" si="146"/>
        <v>1230.52</v>
      </c>
      <c r="G283" s="59">
        <v>24.0</v>
      </c>
      <c r="H283" s="59">
        <v>6.0</v>
      </c>
      <c r="I283" s="189">
        <v>210.0</v>
      </c>
    </row>
    <row r="284" ht="12.75" customHeight="1">
      <c r="A284" s="58">
        <f t="shared" si="147"/>
        <v>43741</v>
      </c>
      <c r="B284" s="189">
        <v>310.0</v>
      </c>
      <c r="C284" s="189">
        <v>344.68</v>
      </c>
      <c r="D284" s="189">
        <v>800.0</v>
      </c>
      <c r="E284" s="189">
        <v>260.0</v>
      </c>
      <c r="F284" s="156">
        <f t="shared" si="146"/>
        <v>1714.68</v>
      </c>
      <c r="G284" s="59">
        <v>30.0</v>
      </c>
      <c r="H284" s="59">
        <v>7.0</v>
      </c>
      <c r="I284" s="189">
        <v>160.0</v>
      </c>
    </row>
    <row r="285" ht="12.75" customHeight="1">
      <c r="A285" s="58">
        <f t="shared" si="147"/>
        <v>43742</v>
      </c>
      <c r="B285" s="189"/>
      <c r="C285" s="189"/>
      <c r="D285" s="189"/>
      <c r="E285" s="189"/>
      <c r="F285" s="156"/>
      <c r="G285" s="59"/>
      <c r="H285" s="59"/>
      <c r="I285" s="189"/>
    </row>
    <row r="286" ht="12.75" customHeight="1">
      <c r="A286" s="131"/>
      <c r="B286" s="157" t="str">
        <f t="shared" ref="B286:I286" si="148">SUM(B282:B286)</f>
        <v>#REF!</v>
      </c>
      <c r="C286" s="190" t="str">
        <f t="shared" si="148"/>
        <v>#REF!</v>
      </c>
      <c r="D286" s="190" t="str">
        <f t="shared" si="148"/>
        <v>#REF!</v>
      </c>
      <c r="E286" s="190" t="str">
        <f t="shared" si="148"/>
        <v>#REF!</v>
      </c>
      <c r="F286" s="190" t="str">
        <f t="shared" si="148"/>
        <v>#REF!</v>
      </c>
      <c r="G286" s="133" t="str">
        <f t="shared" si="148"/>
        <v>#REF!</v>
      </c>
      <c r="H286" s="133" t="str">
        <f t="shared" si="148"/>
        <v>#REF!</v>
      </c>
      <c r="I286" s="157" t="str">
        <f t="shared" si="148"/>
        <v>#REF!</v>
      </c>
    </row>
    <row r="287" ht="12.75" customHeight="1">
      <c r="A287" s="148"/>
      <c r="B287" s="75"/>
      <c r="C287" s="136"/>
      <c r="D287" s="136"/>
      <c r="E287" s="136"/>
      <c r="F287" s="136"/>
      <c r="G287" s="136"/>
      <c r="H287" s="136"/>
      <c r="I287" s="75"/>
    </row>
    <row r="288" ht="12.75" customHeight="1">
      <c r="A288" s="97">
        <f>A285+3</f>
        <v>43745</v>
      </c>
      <c r="B288" s="189">
        <v>190.0</v>
      </c>
      <c r="C288" s="189">
        <v>44.66</v>
      </c>
      <c r="D288" s="189">
        <v>680.0</v>
      </c>
      <c r="E288" s="189">
        <v>320.0</v>
      </c>
      <c r="F288" s="156">
        <f t="shared" ref="F288:F292" si="149">SUM(B288:E288)</f>
        <v>1234.66</v>
      </c>
      <c r="G288" s="59">
        <v>20.0</v>
      </c>
      <c r="H288" s="59">
        <v>1.0</v>
      </c>
      <c r="I288" s="189">
        <v>0.0</v>
      </c>
    </row>
    <row r="289" ht="12.75" customHeight="1">
      <c r="A289" s="97">
        <f t="shared" ref="A289:A292" si="150">A288+1</f>
        <v>43746</v>
      </c>
      <c r="B289" s="192">
        <v>300.0</v>
      </c>
      <c r="C289" s="192">
        <v>82.72</v>
      </c>
      <c r="D289" s="192">
        <v>720.0</v>
      </c>
      <c r="E289" s="192">
        <v>100.0</v>
      </c>
      <c r="F289" s="193">
        <f t="shared" si="149"/>
        <v>1202.72</v>
      </c>
      <c r="G289" s="81">
        <v>21.0</v>
      </c>
      <c r="H289" s="81">
        <v>2.0</v>
      </c>
      <c r="I289" s="192">
        <v>0.0</v>
      </c>
    </row>
    <row r="290" ht="12.75" customHeight="1">
      <c r="A290" s="97">
        <f t="shared" si="150"/>
        <v>43747</v>
      </c>
      <c r="B290" s="192">
        <v>170.0</v>
      </c>
      <c r="C290" s="192">
        <v>296.22</v>
      </c>
      <c r="D290" s="192">
        <v>825.07</v>
      </c>
      <c r="E290" s="192">
        <v>0.0</v>
      </c>
      <c r="F290" s="193">
        <f t="shared" si="149"/>
        <v>1291.29</v>
      </c>
      <c r="G290" s="81">
        <v>24.0</v>
      </c>
      <c r="H290" s="81">
        <v>5.0</v>
      </c>
      <c r="I290" s="192">
        <v>100.0</v>
      </c>
    </row>
    <row r="291" ht="12.75" customHeight="1">
      <c r="A291" s="97">
        <f t="shared" si="150"/>
        <v>43748</v>
      </c>
      <c r="B291" s="192">
        <v>140.0</v>
      </c>
      <c r="C291" s="192">
        <v>84.12</v>
      </c>
      <c r="D291" s="192">
        <v>1740.0</v>
      </c>
      <c r="E291" s="192">
        <v>170.0</v>
      </c>
      <c r="F291" s="193">
        <f t="shared" si="149"/>
        <v>2134.12</v>
      </c>
      <c r="G291" s="81">
        <v>34.0</v>
      </c>
      <c r="H291" s="81">
        <v>2.0</v>
      </c>
      <c r="I291" s="192">
        <v>150.0</v>
      </c>
    </row>
    <row r="292" ht="12.75" customHeight="1">
      <c r="A292" s="97">
        <f t="shared" si="150"/>
        <v>43749</v>
      </c>
      <c r="B292" s="194">
        <v>440.0</v>
      </c>
      <c r="C292" s="194">
        <v>162.28</v>
      </c>
      <c r="D292" s="194">
        <v>730.0</v>
      </c>
      <c r="E292" s="194">
        <v>170.0</v>
      </c>
      <c r="F292" s="195">
        <f t="shared" si="149"/>
        <v>1502.28</v>
      </c>
      <c r="G292" s="89">
        <v>24.0</v>
      </c>
      <c r="H292" s="89">
        <v>4.0</v>
      </c>
      <c r="I292" s="194">
        <v>300.0</v>
      </c>
    </row>
    <row r="293" ht="12.75" customHeight="1">
      <c r="A293" s="131"/>
      <c r="B293" s="157">
        <f t="shared" ref="B293:I293" si="151">SUM(B288:B292)</f>
        <v>1240</v>
      </c>
      <c r="C293" s="190">
        <f t="shared" si="151"/>
        <v>670</v>
      </c>
      <c r="D293" s="190">
        <f t="shared" si="151"/>
        <v>4695.07</v>
      </c>
      <c r="E293" s="190">
        <f t="shared" si="151"/>
        <v>760</v>
      </c>
      <c r="F293" s="190">
        <f t="shared" si="151"/>
        <v>7365.07</v>
      </c>
      <c r="G293" s="133">
        <f t="shared" si="151"/>
        <v>123</v>
      </c>
      <c r="H293" s="133">
        <f t="shared" si="151"/>
        <v>14</v>
      </c>
      <c r="I293" s="157">
        <f t="shared" si="151"/>
        <v>550</v>
      </c>
    </row>
    <row r="294" ht="12.75" customHeight="1">
      <c r="A294" s="148"/>
      <c r="B294" s="75"/>
      <c r="C294" s="136"/>
      <c r="D294" s="136"/>
      <c r="E294" s="136"/>
      <c r="F294" s="136"/>
      <c r="G294" s="136"/>
      <c r="H294" s="136"/>
      <c r="I294" s="75"/>
    </row>
    <row r="295" ht="12.75" customHeight="1">
      <c r="A295" s="97">
        <f>A292+3</f>
        <v>43752</v>
      </c>
      <c r="B295" s="189">
        <v>290.0</v>
      </c>
      <c r="C295" s="189">
        <v>232.97</v>
      </c>
      <c r="D295" s="189">
        <v>1100.0</v>
      </c>
      <c r="E295" s="189">
        <v>340.0</v>
      </c>
      <c r="F295" s="156">
        <f t="shared" ref="F295:F299" si="152">SUM(B295:E295)</f>
        <v>1962.97</v>
      </c>
      <c r="G295" s="59">
        <v>34.0</v>
      </c>
      <c r="H295" s="59">
        <v>5.0</v>
      </c>
      <c r="I295" s="189">
        <v>150.0</v>
      </c>
    </row>
    <row r="296" ht="12.75" customHeight="1">
      <c r="A296" s="97">
        <f t="shared" ref="A296:A299" si="153">A295+1</f>
        <v>43753</v>
      </c>
      <c r="B296" s="192">
        <v>260.0</v>
      </c>
      <c r="C296" s="192">
        <v>0.0</v>
      </c>
      <c r="D296" s="192">
        <v>700.0</v>
      </c>
      <c r="E296" s="192">
        <v>0.0</v>
      </c>
      <c r="F296" s="193">
        <f t="shared" si="152"/>
        <v>960</v>
      </c>
      <c r="G296" s="81">
        <v>18.0</v>
      </c>
      <c r="H296" s="81">
        <v>0.0</v>
      </c>
      <c r="I296" s="192">
        <v>240.0</v>
      </c>
    </row>
    <row r="297" ht="12.75" customHeight="1">
      <c r="A297" s="97">
        <f t="shared" si="153"/>
        <v>43754</v>
      </c>
      <c r="B297" s="192">
        <v>200.0</v>
      </c>
      <c r="C297" s="192">
        <v>118.46</v>
      </c>
      <c r="D297" s="192">
        <v>940.0</v>
      </c>
      <c r="E297" s="192">
        <v>0.0</v>
      </c>
      <c r="F297" s="193">
        <f t="shared" si="152"/>
        <v>1258.46</v>
      </c>
      <c r="G297" s="81">
        <v>25.0</v>
      </c>
      <c r="H297" s="81">
        <v>3.0</v>
      </c>
      <c r="I297" s="192">
        <v>0.0</v>
      </c>
    </row>
    <row r="298" ht="12.75" customHeight="1">
      <c r="A298" s="97">
        <f t="shared" si="153"/>
        <v>43755</v>
      </c>
      <c r="B298" s="192">
        <v>290.0</v>
      </c>
      <c r="C298" s="192">
        <v>245.36</v>
      </c>
      <c r="D298" s="192">
        <v>1060.0</v>
      </c>
      <c r="E298" s="192">
        <v>140.0</v>
      </c>
      <c r="F298" s="193">
        <f t="shared" si="152"/>
        <v>1735.36</v>
      </c>
      <c r="G298" s="81">
        <v>31.0</v>
      </c>
      <c r="H298" s="81">
        <v>6.0</v>
      </c>
      <c r="I298" s="192">
        <v>140.0</v>
      </c>
    </row>
    <row r="299" ht="12.75" customHeight="1">
      <c r="A299" s="97">
        <f t="shared" si="153"/>
        <v>43756</v>
      </c>
      <c r="B299" s="192">
        <v>90.0</v>
      </c>
      <c r="C299" s="192">
        <v>380.05</v>
      </c>
      <c r="D299" s="192">
        <v>1080.0</v>
      </c>
      <c r="E299" s="192">
        <v>170.0</v>
      </c>
      <c r="F299" s="193">
        <f t="shared" si="152"/>
        <v>1720.05</v>
      </c>
      <c r="G299" s="81">
        <v>27.0</v>
      </c>
      <c r="H299" s="81">
        <v>7.0</v>
      </c>
      <c r="I299" s="192">
        <v>180.0</v>
      </c>
    </row>
    <row r="300" ht="12.75" customHeight="1">
      <c r="A300" s="131"/>
      <c r="B300" s="157">
        <f t="shared" ref="B300:I300" si="154">SUM(B295:B299)</f>
        <v>1130</v>
      </c>
      <c r="C300" s="190">
        <f t="shared" si="154"/>
        <v>976.84</v>
      </c>
      <c r="D300" s="190">
        <f t="shared" si="154"/>
        <v>4880</v>
      </c>
      <c r="E300" s="190">
        <f t="shared" si="154"/>
        <v>650</v>
      </c>
      <c r="F300" s="190">
        <f t="shared" si="154"/>
        <v>7636.84</v>
      </c>
      <c r="G300" s="133">
        <f t="shared" si="154"/>
        <v>135</v>
      </c>
      <c r="H300" s="133">
        <f t="shared" si="154"/>
        <v>21</v>
      </c>
      <c r="I300" s="157">
        <f t="shared" si="154"/>
        <v>710</v>
      </c>
    </row>
    <row r="301" ht="12.75" customHeight="1">
      <c r="A301" s="135"/>
      <c r="B301" s="75"/>
      <c r="C301" s="136"/>
      <c r="D301" s="136"/>
      <c r="E301" s="136"/>
      <c r="F301" s="136"/>
      <c r="G301" s="136"/>
      <c r="H301" s="136"/>
      <c r="I301" s="75"/>
    </row>
    <row r="302" ht="12.75" customHeight="1">
      <c r="A302" s="198">
        <f>A299+3</f>
        <v>43759</v>
      </c>
      <c r="B302" s="126">
        <v>410.0</v>
      </c>
      <c r="C302" s="126">
        <v>399.56</v>
      </c>
      <c r="D302" s="126">
        <v>870.0</v>
      </c>
      <c r="E302" s="199">
        <v>170.0</v>
      </c>
      <c r="F302" s="156">
        <f t="shared" ref="F302:F306" si="155">SUM(B302:E302)</f>
        <v>1849.56</v>
      </c>
      <c r="G302" s="59">
        <v>35.0</v>
      </c>
      <c r="H302" s="59">
        <v>10.0</v>
      </c>
      <c r="I302" s="189">
        <v>0.0</v>
      </c>
    </row>
    <row r="303" ht="12.75" customHeight="1">
      <c r="A303" s="200">
        <f t="shared" ref="A303:A305" si="156">A302+1</f>
        <v>43760</v>
      </c>
      <c r="B303" s="106">
        <v>140.0</v>
      </c>
      <c r="C303" s="106">
        <v>322.23</v>
      </c>
      <c r="D303" s="106">
        <v>1270.0</v>
      </c>
      <c r="E303" s="201">
        <v>50.0</v>
      </c>
      <c r="F303" s="193">
        <f t="shared" si="155"/>
        <v>1782.23</v>
      </c>
      <c r="G303" s="202">
        <v>34.0</v>
      </c>
      <c r="H303" s="99">
        <v>7.0</v>
      </c>
      <c r="I303" s="101">
        <v>140.0</v>
      </c>
    </row>
    <row r="304" ht="12.75" customHeight="1">
      <c r="A304" s="198">
        <f t="shared" si="156"/>
        <v>43761</v>
      </c>
      <c r="B304" s="106">
        <v>150.0</v>
      </c>
      <c r="C304" s="106">
        <v>303.4</v>
      </c>
      <c r="D304" s="106">
        <v>440.0</v>
      </c>
      <c r="E304" s="201">
        <v>0.0</v>
      </c>
      <c r="F304" s="193">
        <f t="shared" si="155"/>
        <v>893.4</v>
      </c>
      <c r="G304" s="203">
        <v>18.0</v>
      </c>
      <c r="H304" s="106">
        <v>7.0</v>
      </c>
      <c r="I304" s="108">
        <v>70.0</v>
      </c>
    </row>
    <row r="305" ht="12.75" customHeight="1">
      <c r="A305" s="200">
        <f t="shared" si="156"/>
        <v>43762</v>
      </c>
      <c r="B305" s="106">
        <v>680.0</v>
      </c>
      <c r="C305" s="106">
        <v>434.87</v>
      </c>
      <c r="D305" s="106">
        <v>710.0</v>
      </c>
      <c r="E305" s="201">
        <v>50.0</v>
      </c>
      <c r="F305" s="193">
        <f t="shared" si="155"/>
        <v>1874.87</v>
      </c>
      <c r="G305" s="203">
        <v>33.0</v>
      </c>
      <c r="H305" s="106">
        <v>10.0</v>
      </c>
      <c r="I305" s="108">
        <v>140.0</v>
      </c>
    </row>
    <row r="306" ht="12.75" customHeight="1">
      <c r="A306" s="198">
        <f>A303+3</f>
        <v>43763</v>
      </c>
      <c r="B306" s="106">
        <v>240.0</v>
      </c>
      <c r="C306" s="106">
        <v>441.39</v>
      </c>
      <c r="D306" s="106">
        <v>1040.0</v>
      </c>
      <c r="E306" s="201">
        <v>0.0</v>
      </c>
      <c r="F306" s="193">
        <f t="shared" si="155"/>
        <v>1721.39</v>
      </c>
      <c r="G306" s="203">
        <v>28.0</v>
      </c>
      <c r="H306" s="106">
        <v>9.0</v>
      </c>
      <c r="I306" s="108">
        <v>180.0</v>
      </c>
    </row>
    <row r="307" ht="12.75" customHeight="1">
      <c r="A307" s="204"/>
      <c r="B307" s="160">
        <f t="shared" ref="B307:I307" si="157">SUM(B302:B306)</f>
        <v>1620</v>
      </c>
      <c r="C307" s="160">
        <f t="shared" si="157"/>
        <v>1901.45</v>
      </c>
      <c r="D307" s="160">
        <f t="shared" si="157"/>
        <v>4330</v>
      </c>
      <c r="E307" s="160">
        <f t="shared" si="157"/>
        <v>270</v>
      </c>
      <c r="F307" s="205">
        <f t="shared" si="157"/>
        <v>8121.45</v>
      </c>
      <c r="G307" s="206">
        <f t="shared" si="157"/>
        <v>148</v>
      </c>
      <c r="H307" s="206">
        <f t="shared" si="157"/>
        <v>43</v>
      </c>
      <c r="I307" s="191">
        <f t="shared" si="157"/>
        <v>530</v>
      </c>
    </row>
    <row r="308" ht="12.75" customHeight="1">
      <c r="A308" s="148"/>
      <c r="B308" s="75"/>
      <c r="C308" s="75"/>
      <c r="D308" s="75"/>
      <c r="E308" s="75"/>
      <c r="F308" s="136"/>
      <c r="G308" s="136"/>
      <c r="H308" s="136"/>
      <c r="I308" s="207"/>
    </row>
    <row r="309" ht="12.75" customHeight="1">
      <c r="A309" s="198">
        <f>A306+3</f>
        <v>43766</v>
      </c>
      <c r="B309" s="126">
        <v>580.0</v>
      </c>
      <c r="C309" s="126">
        <v>275.39</v>
      </c>
      <c r="D309" s="126">
        <v>1130.0</v>
      </c>
      <c r="E309" s="199">
        <v>100.0</v>
      </c>
      <c r="F309" s="156">
        <f t="shared" ref="F309:F312" si="158">SUM(B309:E309)</f>
        <v>2085.39</v>
      </c>
      <c r="G309" s="59">
        <v>37.0</v>
      </c>
      <c r="H309" s="59">
        <v>6.0</v>
      </c>
      <c r="I309" s="189">
        <v>0.0</v>
      </c>
    </row>
    <row r="310" ht="12.75" customHeight="1">
      <c r="A310" s="200">
        <f t="shared" ref="A310:A312" si="159">A309+1</f>
        <v>43767</v>
      </c>
      <c r="B310" s="106">
        <v>270.0</v>
      </c>
      <c r="C310" s="106">
        <v>70.69</v>
      </c>
      <c r="D310" s="106">
        <v>1310.0</v>
      </c>
      <c r="E310" s="201">
        <v>190.0</v>
      </c>
      <c r="F310" s="193">
        <f t="shared" si="158"/>
        <v>1840.69</v>
      </c>
      <c r="G310" s="202">
        <v>36.0</v>
      </c>
      <c r="H310" s="99">
        <v>1.0</v>
      </c>
      <c r="I310" s="101">
        <v>140.0</v>
      </c>
    </row>
    <row r="311" ht="12.75" customHeight="1">
      <c r="A311" s="198">
        <f t="shared" si="159"/>
        <v>43768</v>
      </c>
      <c r="B311" s="106">
        <v>200.0</v>
      </c>
      <c r="C311" s="106">
        <v>116.7</v>
      </c>
      <c r="D311" s="106">
        <v>790.0</v>
      </c>
      <c r="E311" s="201">
        <v>70.0</v>
      </c>
      <c r="F311" s="193">
        <f t="shared" si="158"/>
        <v>1176.7</v>
      </c>
      <c r="G311" s="203">
        <v>24.0</v>
      </c>
      <c r="H311" s="106">
        <v>3.0</v>
      </c>
      <c r="I311" s="108">
        <v>70.0</v>
      </c>
    </row>
    <row r="312" ht="12.75" customHeight="1">
      <c r="A312" s="200">
        <f t="shared" si="159"/>
        <v>43769</v>
      </c>
      <c r="B312" s="106">
        <v>420.0</v>
      </c>
      <c r="C312" s="106">
        <v>272.01</v>
      </c>
      <c r="D312" s="106">
        <v>1330.0</v>
      </c>
      <c r="E312" s="201">
        <v>200.0</v>
      </c>
      <c r="F312" s="193">
        <f t="shared" si="158"/>
        <v>2222.01</v>
      </c>
      <c r="G312" s="203">
        <v>38.0</v>
      </c>
      <c r="H312" s="106">
        <v>5.0</v>
      </c>
      <c r="I312" s="108">
        <v>140.0</v>
      </c>
    </row>
    <row r="313" ht="12.75" customHeight="1">
      <c r="A313" s="198">
        <f>A310+3</f>
        <v>43770</v>
      </c>
      <c r="B313" s="106"/>
      <c r="C313" s="106"/>
      <c r="D313" s="106"/>
      <c r="E313" s="201"/>
      <c r="F313" s="193"/>
      <c r="G313" s="203"/>
      <c r="H313" s="106"/>
      <c r="I313" s="108"/>
    </row>
    <row r="314" ht="12.75" customHeight="1"/>
    <row r="315" ht="12.75" customHeight="1"/>
    <row r="316" ht="12.75" customHeight="1"/>
    <row r="317" ht="12.75" customHeight="1"/>
    <row r="318" ht="12.75" customHeight="1"/>
    <row r="319" ht="12.75" customHeight="1"/>
    <row r="320" ht="12.75" customHeight="1">
      <c r="A320" s="204">
        <v>470.0</v>
      </c>
      <c r="B320" s="160">
        <f t="shared" ref="B320:I320" si="160">SUM(B309)</f>
        <v>580</v>
      </c>
      <c r="C320" s="160">
        <f t="shared" si="160"/>
        <v>275.39</v>
      </c>
      <c r="D320" s="160">
        <f t="shared" si="160"/>
        <v>1130</v>
      </c>
      <c r="E320" s="160">
        <f t="shared" si="160"/>
        <v>100</v>
      </c>
      <c r="F320" s="205">
        <f t="shared" si="160"/>
        <v>2085.39</v>
      </c>
      <c r="G320" s="206">
        <f t="shared" si="160"/>
        <v>37</v>
      </c>
      <c r="H320" s="206">
        <f t="shared" si="160"/>
        <v>6</v>
      </c>
      <c r="I320" s="191">
        <f t="shared" si="160"/>
        <v>0</v>
      </c>
    </row>
    <row r="321" ht="12.75" customHeight="1">
      <c r="A321" s="148"/>
      <c r="B321" s="75"/>
      <c r="C321" s="75"/>
      <c r="D321" s="75"/>
      <c r="E321" s="75"/>
      <c r="F321" s="136"/>
      <c r="G321" s="136"/>
      <c r="H321" s="136"/>
      <c r="I321" s="207"/>
    </row>
    <row r="322" ht="12.75" customHeight="1">
      <c r="A322" s="97">
        <v>43773.0</v>
      </c>
      <c r="B322" s="220">
        <v>330.0</v>
      </c>
      <c r="C322" s="221">
        <v>153.41</v>
      </c>
      <c r="D322" s="221">
        <v>460.0</v>
      </c>
      <c r="E322" s="221">
        <v>140.0</v>
      </c>
      <c r="F322" s="222">
        <f t="shared" ref="F322:F326" si="161">SUM(B322:E322)</f>
        <v>1083.41</v>
      </c>
      <c r="G322" s="99">
        <v>18.0</v>
      </c>
      <c r="H322" s="99">
        <v>3.0</v>
      </c>
      <c r="I322" s="223">
        <v>150.0</v>
      </c>
    </row>
    <row r="323" ht="12.75" customHeight="1">
      <c r="A323" s="97">
        <f t="shared" ref="A323:A326" si="162">A322+1</f>
        <v>43774</v>
      </c>
      <c r="B323" s="224">
        <v>50.0</v>
      </c>
      <c r="C323" s="225">
        <v>173.38</v>
      </c>
      <c r="D323" s="225">
        <v>620.0</v>
      </c>
      <c r="E323" s="225">
        <v>50.0</v>
      </c>
      <c r="F323" s="222">
        <f t="shared" si="161"/>
        <v>893.38</v>
      </c>
      <c r="G323" s="81">
        <v>18.0</v>
      </c>
      <c r="H323" s="81">
        <v>4.0</v>
      </c>
      <c r="I323" s="226">
        <v>50.0</v>
      </c>
    </row>
    <row r="324" ht="12.75" customHeight="1">
      <c r="A324" s="97">
        <f t="shared" si="162"/>
        <v>43775</v>
      </c>
      <c r="B324" s="224">
        <v>150.0</v>
      </c>
      <c r="C324" s="225">
        <v>373.6</v>
      </c>
      <c r="D324" s="225">
        <v>480.0</v>
      </c>
      <c r="E324" s="225">
        <v>100.0</v>
      </c>
      <c r="F324" s="222">
        <f t="shared" si="161"/>
        <v>1103.6</v>
      </c>
      <c r="G324" s="81">
        <v>21.0</v>
      </c>
      <c r="H324" s="81">
        <v>8.0</v>
      </c>
      <c r="I324" s="226">
        <v>100.0</v>
      </c>
    </row>
    <row r="325" ht="12.75" customHeight="1">
      <c r="A325" s="97">
        <f t="shared" si="162"/>
        <v>43776</v>
      </c>
      <c r="B325" s="224">
        <v>510.0</v>
      </c>
      <c r="C325" s="225">
        <v>203.3</v>
      </c>
      <c r="D325" s="225">
        <v>1130.0</v>
      </c>
      <c r="E325" s="225">
        <v>0.0</v>
      </c>
      <c r="F325" s="222">
        <f t="shared" si="161"/>
        <v>1843.3</v>
      </c>
      <c r="G325" s="81">
        <v>31.0</v>
      </c>
      <c r="H325" s="81">
        <v>5.0</v>
      </c>
      <c r="I325" s="226">
        <v>0.0</v>
      </c>
    </row>
    <row r="326" ht="12.75" customHeight="1">
      <c r="A326" s="97">
        <f t="shared" si="162"/>
        <v>43777</v>
      </c>
      <c r="B326" s="224">
        <v>230.0</v>
      </c>
      <c r="C326" s="225">
        <v>316.05</v>
      </c>
      <c r="D326" s="225">
        <v>770.0</v>
      </c>
      <c r="E326" s="225">
        <v>0.0</v>
      </c>
      <c r="F326" s="222">
        <f t="shared" si="161"/>
        <v>1316.05</v>
      </c>
      <c r="G326" s="81">
        <v>23.0</v>
      </c>
      <c r="H326" s="81">
        <v>5.0</v>
      </c>
      <c r="I326" s="226">
        <v>0.0</v>
      </c>
    </row>
    <row r="327" ht="12.75" customHeight="1">
      <c r="A327" s="131"/>
      <c r="B327" s="217">
        <f t="shared" ref="B327:I327" si="163">SUM(B322:B326)</f>
        <v>1270</v>
      </c>
      <c r="C327" s="217">
        <f t="shared" si="163"/>
        <v>1219.74</v>
      </c>
      <c r="D327" s="217">
        <f t="shared" si="163"/>
        <v>3460</v>
      </c>
      <c r="E327" s="217">
        <f t="shared" si="163"/>
        <v>290</v>
      </c>
      <c r="F327" s="217">
        <f t="shared" si="163"/>
        <v>6239.74</v>
      </c>
      <c r="G327" s="218">
        <f t="shared" si="163"/>
        <v>111</v>
      </c>
      <c r="H327" s="218">
        <f t="shared" si="163"/>
        <v>25</v>
      </c>
      <c r="I327" s="217">
        <f t="shared" si="163"/>
        <v>300</v>
      </c>
    </row>
    <row r="328" ht="12.75" customHeight="1">
      <c r="A328" s="148"/>
      <c r="B328" s="74"/>
      <c r="C328" s="74"/>
      <c r="D328" s="74"/>
      <c r="E328" s="74"/>
      <c r="F328" s="74"/>
      <c r="G328" s="74"/>
      <c r="H328" s="74"/>
      <c r="I328" s="74"/>
    </row>
    <row r="329" ht="12.75" customHeight="1">
      <c r="A329" s="58">
        <f>A326+3</f>
        <v>43780</v>
      </c>
      <c r="B329" s="230"/>
      <c r="C329" s="231"/>
      <c r="D329" s="231"/>
      <c r="E329" s="231"/>
      <c r="F329" s="233">
        <f t="shared" ref="F329:F333" si="164">SUM(B329:E329)</f>
        <v>0</v>
      </c>
      <c r="G329" s="138"/>
      <c r="H329" s="138"/>
      <c r="I329" s="232"/>
    </row>
    <row r="330" ht="12.75" customHeight="1">
      <c r="A330" s="58">
        <f t="shared" ref="A330:A333" si="165">A329+1</f>
        <v>43781</v>
      </c>
      <c r="B330" s="227">
        <v>550.0</v>
      </c>
      <c r="C330" s="228">
        <v>82.72</v>
      </c>
      <c r="D330" s="228">
        <v>360.0</v>
      </c>
      <c r="E330" s="228">
        <v>190.0</v>
      </c>
      <c r="F330" s="213">
        <f t="shared" si="164"/>
        <v>1182.72</v>
      </c>
      <c r="G330" s="81">
        <v>20.0</v>
      </c>
      <c r="H330" s="81">
        <v>2.0</v>
      </c>
      <c r="I330" s="229">
        <v>190.0</v>
      </c>
    </row>
    <row r="331" ht="12.75" customHeight="1">
      <c r="A331" s="58">
        <f t="shared" si="165"/>
        <v>43782</v>
      </c>
      <c r="B331" s="227">
        <v>0.0</v>
      </c>
      <c r="C331" s="228">
        <v>317.52</v>
      </c>
      <c r="D331" s="228">
        <v>1040.0</v>
      </c>
      <c r="E331" s="228">
        <v>50.0</v>
      </c>
      <c r="F331" s="213">
        <f t="shared" si="164"/>
        <v>1407.52</v>
      </c>
      <c r="G331" s="81">
        <v>27.0</v>
      </c>
      <c r="H331" s="81">
        <v>8.0</v>
      </c>
      <c r="I331" s="229">
        <v>50.0</v>
      </c>
    </row>
    <row r="332" ht="12.75" customHeight="1">
      <c r="A332" s="58">
        <f t="shared" si="165"/>
        <v>43783</v>
      </c>
      <c r="B332" s="227">
        <v>160.0</v>
      </c>
      <c r="C332" s="228">
        <v>234.73</v>
      </c>
      <c r="D332" s="228">
        <v>1260.0</v>
      </c>
      <c r="E332" s="228">
        <v>50.0</v>
      </c>
      <c r="F332" s="213">
        <f t="shared" si="164"/>
        <v>1704.73</v>
      </c>
      <c r="G332" s="81">
        <v>26.0</v>
      </c>
      <c r="H332" s="81">
        <v>5.0</v>
      </c>
      <c r="I332" s="229">
        <v>50.0</v>
      </c>
    </row>
    <row r="333" ht="12.75" customHeight="1">
      <c r="A333" s="58">
        <f t="shared" si="165"/>
        <v>43784</v>
      </c>
      <c r="B333" s="227">
        <v>90.0</v>
      </c>
      <c r="C333" s="228">
        <v>304.02</v>
      </c>
      <c r="D333" s="228">
        <v>920.0</v>
      </c>
      <c r="E333" s="228">
        <v>140.0</v>
      </c>
      <c r="F333" s="213">
        <f t="shared" si="164"/>
        <v>1454.02</v>
      </c>
      <c r="G333" s="81">
        <v>22.0</v>
      </c>
      <c r="H333" s="81">
        <v>6.0</v>
      </c>
      <c r="I333" s="229">
        <v>150.0</v>
      </c>
    </row>
    <row r="334" ht="12.75" customHeight="1">
      <c r="A334" s="67"/>
      <c r="B334" s="215">
        <f t="shared" ref="B334:I334" si="166">SUM(B329:B333)</f>
        <v>800</v>
      </c>
      <c r="C334" s="215">
        <f t="shared" si="166"/>
        <v>938.99</v>
      </c>
      <c r="D334" s="215">
        <f t="shared" si="166"/>
        <v>3580</v>
      </c>
      <c r="E334" s="215">
        <f t="shared" si="166"/>
        <v>430</v>
      </c>
      <c r="F334" s="216">
        <f t="shared" si="166"/>
        <v>5748.99</v>
      </c>
      <c r="G334" s="218">
        <f t="shared" si="166"/>
        <v>95</v>
      </c>
      <c r="H334" s="218">
        <f t="shared" si="166"/>
        <v>21</v>
      </c>
      <c r="I334" s="217">
        <f t="shared" si="166"/>
        <v>440</v>
      </c>
    </row>
    <row r="335" ht="12.75" customHeight="1">
      <c r="A335" s="74"/>
      <c r="B335" s="92"/>
      <c r="C335" s="92"/>
      <c r="D335" s="92"/>
      <c r="E335" s="92"/>
      <c r="F335" s="234"/>
      <c r="G335" s="74"/>
      <c r="H335" s="74"/>
      <c r="I335" s="94"/>
    </row>
    <row r="336" ht="12.75" customHeight="1">
      <c r="A336" s="97">
        <f>A333+3</f>
        <v>43787</v>
      </c>
      <c r="B336" s="220">
        <v>140.0</v>
      </c>
      <c r="C336" s="221">
        <v>203.3</v>
      </c>
      <c r="D336" s="221">
        <v>890.0</v>
      </c>
      <c r="E336" s="221">
        <v>0.0</v>
      </c>
      <c r="F336" s="235">
        <f t="shared" ref="F336:F340" si="167">SUM(B336:E336)</f>
        <v>1233.3</v>
      </c>
      <c r="G336" s="59">
        <v>22.0</v>
      </c>
      <c r="H336" s="59">
        <v>4.0</v>
      </c>
      <c r="I336" s="223">
        <v>0.0</v>
      </c>
    </row>
    <row r="337" ht="12.75" customHeight="1">
      <c r="A337" s="97">
        <f t="shared" ref="A337:A340" si="168">A336+1</f>
        <v>43788</v>
      </c>
      <c r="B337" s="227">
        <v>90.0</v>
      </c>
      <c r="C337" s="228">
        <v>203.3</v>
      </c>
      <c r="D337" s="228">
        <v>810.0</v>
      </c>
      <c r="E337" s="228">
        <v>140.0</v>
      </c>
      <c r="F337" s="235">
        <f t="shared" si="167"/>
        <v>1243.3</v>
      </c>
      <c r="G337" s="81">
        <v>23.0</v>
      </c>
      <c r="H337" s="81">
        <v>5.0</v>
      </c>
      <c r="I337" s="236">
        <v>140.0</v>
      </c>
    </row>
    <row r="338" ht="12.75" customHeight="1">
      <c r="A338" s="97">
        <f t="shared" si="168"/>
        <v>43789</v>
      </c>
      <c r="B338" s="227">
        <v>300.0</v>
      </c>
      <c r="C338" s="228">
        <v>70.0</v>
      </c>
      <c r="D338" s="228">
        <v>280.38</v>
      </c>
      <c r="E338" s="228">
        <v>600.0</v>
      </c>
      <c r="F338" s="235">
        <f t="shared" si="167"/>
        <v>1250.38</v>
      </c>
      <c r="G338" s="81">
        <v>25.0</v>
      </c>
      <c r="H338" s="81">
        <v>10.0</v>
      </c>
      <c r="I338" s="236">
        <v>70.0</v>
      </c>
    </row>
    <row r="339" ht="12.75" customHeight="1">
      <c r="A339" s="97">
        <f t="shared" si="168"/>
        <v>43790</v>
      </c>
      <c r="B339" s="227">
        <v>450.0</v>
      </c>
      <c r="C339" s="228">
        <v>111.35</v>
      </c>
      <c r="D339" s="228">
        <v>980.0</v>
      </c>
      <c r="E339" s="228">
        <v>190.0</v>
      </c>
      <c r="F339" s="235">
        <f t="shared" si="167"/>
        <v>1731.35</v>
      </c>
      <c r="G339" s="81">
        <v>32.0</v>
      </c>
      <c r="H339" s="81">
        <v>2.0</v>
      </c>
      <c r="I339" s="236">
        <v>190.0</v>
      </c>
    </row>
    <row r="340" ht="12.75" customHeight="1">
      <c r="A340" s="97">
        <f t="shared" si="168"/>
        <v>43791</v>
      </c>
      <c r="B340" s="227">
        <v>320.0</v>
      </c>
      <c r="C340" s="228">
        <v>222.7</v>
      </c>
      <c r="D340" s="228">
        <v>790.0</v>
      </c>
      <c r="E340" s="228">
        <v>90.0</v>
      </c>
      <c r="F340" s="235">
        <f t="shared" si="167"/>
        <v>1422.7</v>
      </c>
      <c r="G340" s="81">
        <v>24.0</v>
      </c>
      <c r="H340" s="81">
        <v>4.0</v>
      </c>
      <c r="I340" s="237">
        <v>100.0</v>
      </c>
    </row>
    <row r="341" ht="12.75" customHeight="1">
      <c r="A341" s="67"/>
      <c r="B341" s="215">
        <f t="shared" ref="B341:I341" si="169">SUM(B336:B340)</f>
        <v>1300</v>
      </c>
      <c r="C341" s="215">
        <f t="shared" si="169"/>
        <v>810.65</v>
      </c>
      <c r="D341" s="215">
        <f t="shared" si="169"/>
        <v>3750.38</v>
      </c>
      <c r="E341" s="215">
        <f t="shared" si="169"/>
        <v>1020</v>
      </c>
      <c r="F341" s="216">
        <f t="shared" si="169"/>
        <v>6881.03</v>
      </c>
      <c r="G341" s="218">
        <f t="shared" si="169"/>
        <v>126</v>
      </c>
      <c r="H341" s="218">
        <f t="shared" si="169"/>
        <v>25</v>
      </c>
      <c r="I341" s="217">
        <f t="shared" si="169"/>
        <v>500</v>
      </c>
    </row>
    <row r="342" ht="12.75" customHeight="1">
      <c r="A342" s="74"/>
      <c r="B342" s="92"/>
      <c r="C342" s="92"/>
      <c r="D342" s="92"/>
      <c r="E342" s="92"/>
      <c r="F342" s="234"/>
      <c r="G342" s="94"/>
      <c r="H342" s="94"/>
      <c r="I342" s="94"/>
    </row>
    <row r="343" ht="12.75" customHeight="1">
      <c r="A343" s="97">
        <f>A340+3</f>
        <v>43794</v>
      </c>
      <c r="B343" s="220">
        <v>100.0</v>
      </c>
      <c r="C343" s="221">
        <v>203.3</v>
      </c>
      <c r="D343" s="221">
        <v>570.0</v>
      </c>
      <c r="E343" s="223">
        <v>130.0</v>
      </c>
      <c r="F343" s="238">
        <f t="shared" ref="F343:F347" si="170">SUM(B343:E343)</f>
        <v>1003.3</v>
      </c>
      <c r="G343" s="98">
        <v>22.0</v>
      </c>
      <c r="H343" s="99">
        <v>5.0</v>
      </c>
      <c r="I343" s="223">
        <v>130.0</v>
      </c>
    </row>
    <row r="344" ht="12.75" customHeight="1">
      <c r="A344" s="97">
        <f t="shared" ref="A344:A347" si="171">A343+1</f>
        <v>43795</v>
      </c>
      <c r="B344" s="224">
        <v>200.0</v>
      </c>
      <c r="C344" s="225">
        <v>199.42</v>
      </c>
      <c r="D344" s="225">
        <v>730.0</v>
      </c>
      <c r="E344" s="226">
        <v>90.0</v>
      </c>
      <c r="F344" s="238">
        <f t="shared" si="170"/>
        <v>1219.42</v>
      </c>
      <c r="G344" s="103">
        <v>21.0</v>
      </c>
      <c r="H344" s="81">
        <v>5.0</v>
      </c>
      <c r="I344" s="226">
        <v>100.0</v>
      </c>
    </row>
    <row r="345" ht="12.75" customHeight="1">
      <c r="A345" s="97">
        <f t="shared" si="171"/>
        <v>43796</v>
      </c>
      <c r="B345" s="239">
        <v>0.0</v>
      </c>
      <c r="C345" s="240">
        <v>50.0</v>
      </c>
      <c r="D345" s="240">
        <v>192.67</v>
      </c>
      <c r="E345" s="241">
        <v>310.0</v>
      </c>
      <c r="F345" s="238">
        <f t="shared" si="170"/>
        <v>552.67</v>
      </c>
      <c r="G345" s="242">
        <v>11.0</v>
      </c>
      <c r="H345" s="89">
        <v>4.0</v>
      </c>
      <c r="I345" s="241">
        <v>50.0</v>
      </c>
    </row>
    <row r="346" ht="12.75" customHeight="1">
      <c r="A346" s="97">
        <f t="shared" si="171"/>
        <v>43797</v>
      </c>
      <c r="B346" s="239">
        <v>190.0</v>
      </c>
      <c r="C346" s="240">
        <v>192.67</v>
      </c>
      <c r="D346" s="240">
        <v>1070.0</v>
      </c>
      <c r="E346" s="241">
        <v>150.0</v>
      </c>
      <c r="F346" s="238">
        <f t="shared" si="170"/>
        <v>1602.67</v>
      </c>
      <c r="G346" s="242">
        <v>32.0</v>
      </c>
      <c r="H346" s="89">
        <v>4.0</v>
      </c>
      <c r="I346" s="241">
        <v>150.0</v>
      </c>
    </row>
    <row r="347" ht="12.75" customHeight="1">
      <c r="A347" s="97">
        <f t="shared" si="171"/>
        <v>43798</v>
      </c>
      <c r="B347" s="514"/>
      <c r="C347" s="515"/>
      <c r="D347" s="515"/>
      <c r="E347" s="516"/>
      <c r="F347" s="517">
        <f t="shared" si="170"/>
        <v>0</v>
      </c>
      <c r="G347" s="184"/>
      <c r="H347" s="172"/>
      <c r="I347" s="516"/>
    </row>
    <row r="348" ht="12.75" customHeight="1">
      <c r="A348" s="67"/>
      <c r="B348" s="246">
        <f t="shared" ref="B348:E348" si="172">SUM(B343:B347)</f>
        <v>490</v>
      </c>
      <c r="C348" s="246">
        <f t="shared" si="172"/>
        <v>645.39</v>
      </c>
      <c r="D348" s="246">
        <f t="shared" si="172"/>
        <v>2562.67</v>
      </c>
      <c r="E348" s="246">
        <f t="shared" si="172"/>
        <v>680</v>
      </c>
      <c r="F348" s="216">
        <f>SUM(F342:F347)</f>
        <v>4378.06</v>
      </c>
      <c r="G348" s="174">
        <f t="shared" ref="G348:I348" si="173">SUM(G343:G347)</f>
        <v>86</v>
      </c>
      <c r="H348" s="174">
        <f t="shared" si="173"/>
        <v>18</v>
      </c>
      <c r="I348" s="246">
        <f t="shared" si="173"/>
        <v>430</v>
      </c>
    </row>
    <row r="349" ht="12.75" customHeight="1">
      <c r="A349" s="74"/>
      <c r="B349" s="74"/>
      <c r="C349" s="74"/>
      <c r="D349" s="74"/>
      <c r="E349" s="74"/>
      <c r="F349" s="234"/>
      <c r="G349" s="74"/>
      <c r="H349" s="74"/>
      <c r="I349" s="74"/>
    </row>
    <row r="350" ht="12.75" customHeight="1">
      <c r="A350" s="58">
        <v>43801.0</v>
      </c>
      <c r="B350" s="138"/>
      <c r="C350" s="138"/>
      <c r="D350" s="138"/>
      <c r="E350" s="138"/>
      <c r="F350" s="60">
        <f t="shared" ref="F350:F354" si="174">SUM(B350:E350)</f>
        <v>0</v>
      </c>
      <c r="G350" s="138"/>
      <c r="H350" s="138"/>
      <c r="I350" s="146"/>
    </row>
    <row r="351" ht="12.75" customHeight="1">
      <c r="A351" s="58">
        <f t="shared" ref="A351:A354" si="175">A350+1</f>
        <v>43802</v>
      </c>
      <c r="B351" s="518"/>
      <c r="C351" s="84"/>
      <c r="D351" s="84"/>
      <c r="E351" s="84"/>
      <c r="F351" s="60">
        <f t="shared" si="174"/>
        <v>0</v>
      </c>
      <c r="G351" s="84"/>
      <c r="H351" s="84"/>
      <c r="I351" s="86"/>
    </row>
    <row r="352" ht="12.75" customHeight="1">
      <c r="A352" s="58">
        <f t="shared" si="175"/>
        <v>43803</v>
      </c>
      <c r="B352" s="84"/>
      <c r="C352" s="84"/>
      <c r="D352" s="84"/>
      <c r="E352" s="84"/>
      <c r="F352" s="60">
        <f t="shared" si="174"/>
        <v>0</v>
      </c>
      <c r="G352" s="84"/>
      <c r="H352" s="84"/>
      <c r="I352" s="86"/>
    </row>
    <row r="353" ht="12.75" customHeight="1">
      <c r="A353" s="58">
        <f t="shared" si="175"/>
        <v>43804</v>
      </c>
      <c r="B353" s="84"/>
      <c r="C353" s="84"/>
      <c r="D353" s="84"/>
      <c r="E353" s="84"/>
      <c r="F353" s="60">
        <f t="shared" si="174"/>
        <v>0</v>
      </c>
      <c r="G353" s="84"/>
      <c r="H353" s="84"/>
      <c r="I353" s="86"/>
    </row>
    <row r="354" ht="12.75" customHeight="1">
      <c r="A354" s="58">
        <f t="shared" si="175"/>
        <v>43805</v>
      </c>
      <c r="B354" s="84"/>
      <c r="C354" s="84"/>
      <c r="D354" s="84"/>
      <c r="E354" s="84"/>
      <c r="F354" s="60">
        <f t="shared" si="174"/>
        <v>0</v>
      </c>
      <c r="G354" s="84"/>
      <c r="H354" s="84"/>
      <c r="I354" s="86"/>
    </row>
    <row r="355" ht="12.75" customHeight="1">
      <c r="A355" s="67"/>
      <c r="B355" s="68">
        <f t="shared" ref="B355:I355" si="176">SUM(B350:B354)</f>
        <v>0</v>
      </c>
      <c r="C355" s="68">
        <f t="shared" si="176"/>
        <v>0</v>
      </c>
      <c r="D355" s="68">
        <f t="shared" si="176"/>
        <v>0</v>
      </c>
      <c r="E355" s="68">
        <f t="shared" si="176"/>
        <v>0</v>
      </c>
      <c r="F355" s="68">
        <f t="shared" si="176"/>
        <v>0</v>
      </c>
      <c r="G355" s="70">
        <f t="shared" si="176"/>
        <v>0</v>
      </c>
      <c r="H355" s="70">
        <f t="shared" si="176"/>
        <v>0</v>
      </c>
      <c r="I355" s="91">
        <f t="shared" si="176"/>
        <v>0</v>
      </c>
    </row>
    <row r="356" ht="12.75" customHeight="1">
      <c r="A356" s="74"/>
      <c r="B356" s="75"/>
      <c r="C356" s="75"/>
      <c r="D356" s="75"/>
      <c r="E356" s="75"/>
      <c r="F356" s="75"/>
      <c r="G356" s="76"/>
      <c r="H356" s="76"/>
      <c r="I356" s="74"/>
    </row>
    <row r="357" ht="12.75" customHeight="1">
      <c r="A357" s="248">
        <f>A354+3</f>
        <v>43808</v>
      </c>
      <c r="B357" s="59">
        <v>370.0</v>
      </c>
      <c r="C357" s="59">
        <v>192.67</v>
      </c>
      <c r="D357" s="59">
        <v>1030.0</v>
      </c>
      <c r="E357" s="59">
        <v>100.0</v>
      </c>
      <c r="F357" s="60">
        <f t="shared" ref="F357:F361" si="177">SUM(B357:E357)</f>
        <v>1692.67</v>
      </c>
      <c r="G357" s="59">
        <v>28.0</v>
      </c>
      <c r="H357" s="59">
        <v>4.0</v>
      </c>
      <c r="I357" s="61">
        <v>110.0</v>
      </c>
    </row>
    <row r="358" ht="12.75" customHeight="1">
      <c r="A358" s="97">
        <f t="shared" ref="A358:A361" si="178">A357+1</f>
        <v>43809</v>
      </c>
      <c r="B358" s="59">
        <v>200.0</v>
      </c>
      <c r="C358" s="59">
        <v>316.05</v>
      </c>
      <c r="D358" s="59">
        <v>690.0</v>
      </c>
      <c r="E358" s="59">
        <v>0.0</v>
      </c>
      <c r="F358" s="141">
        <f t="shared" si="177"/>
        <v>1206.05</v>
      </c>
      <c r="G358" s="124">
        <v>22.0</v>
      </c>
      <c r="H358" s="124">
        <v>7.0</v>
      </c>
      <c r="I358" s="61">
        <v>0.0</v>
      </c>
    </row>
    <row r="359" ht="12.75" customHeight="1">
      <c r="A359" s="97">
        <f t="shared" si="178"/>
        <v>43810</v>
      </c>
      <c r="B359" s="59">
        <v>290.0</v>
      </c>
      <c r="C359" s="59">
        <v>317.66</v>
      </c>
      <c r="D359" s="59">
        <v>530.0</v>
      </c>
      <c r="E359" s="59">
        <v>280.0</v>
      </c>
      <c r="F359" s="141">
        <f t="shared" si="177"/>
        <v>1417.66</v>
      </c>
      <c r="G359" s="124">
        <v>25.0</v>
      </c>
      <c r="H359" s="124">
        <v>7.0</v>
      </c>
      <c r="I359" s="61">
        <v>260.0</v>
      </c>
    </row>
    <row r="360" ht="12.75" customHeight="1">
      <c r="A360" s="97">
        <f t="shared" si="178"/>
        <v>43811</v>
      </c>
      <c r="B360" s="59">
        <v>190.0</v>
      </c>
      <c r="C360" s="59">
        <v>162.64</v>
      </c>
      <c r="D360" s="59">
        <v>1320.0</v>
      </c>
      <c r="E360" s="59">
        <v>330.0</v>
      </c>
      <c r="F360" s="141">
        <f t="shared" si="177"/>
        <v>2002.64</v>
      </c>
      <c r="G360" s="59">
        <v>32.0</v>
      </c>
      <c r="H360" s="59">
        <v>4.0</v>
      </c>
      <c r="I360" s="61">
        <v>330.0</v>
      </c>
    </row>
    <row r="361" ht="12.75" customHeight="1">
      <c r="A361" s="97">
        <f t="shared" si="178"/>
        <v>43812</v>
      </c>
      <c r="B361" s="211">
        <v>370.0</v>
      </c>
      <c r="C361" s="211">
        <v>0.0</v>
      </c>
      <c r="D361" s="211">
        <v>810.0</v>
      </c>
      <c r="E361" s="211">
        <v>120.0</v>
      </c>
      <c r="F361" s="141">
        <f t="shared" si="177"/>
        <v>1300</v>
      </c>
      <c r="G361" s="211">
        <v>21.0</v>
      </c>
      <c r="H361" s="211">
        <v>0.0</v>
      </c>
      <c r="I361" s="211">
        <v>100.0</v>
      </c>
    </row>
    <row r="362" ht="12.75" customHeight="1">
      <c r="A362" s="67"/>
      <c r="B362" s="68">
        <f t="shared" ref="B362:I362" si="179">SUM(B357:B361)</f>
        <v>1420</v>
      </c>
      <c r="C362" s="68">
        <f t="shared" si="179"/>
        <v>989.02</v>
      </c>
      <c r="D362" s="68">
        <f t="shared" si="179"/>
        <v>4380</v>
      </c>
      <c r="E362" s="68">
        <f t="shared" si="179"/>
        <v>830</v>
      </c>
      <c r="F362" s="249">
        <f t="shared" si="179"/>
        <v>7619.02</v>
      </c>
      <c r="G362" s="218">
        <f t="shared" si="179"/>
        <v>128</v>
      </c>
      <c r="H362" s="140">
        <f t="shared" si="179"/>
        <v>22</v>
      </c>
      <c r="I362" s="91">
        <f t="shared" si="179"/>
        <v>800</v>
      </c>
    </row>
    <row r="363" ht="12.75" customHeight="1">
      <c r="A363" s="74"/>
      <c r="B363" s="75"/>
      <c r="C363" s="75"/>
      <c r="D363" s="75"/>
      <c r="E363" s="75"/>
      <c r="F363" s="234"/>
      <c r="G363" s="74"/>
      <c r="H363" s="75"/>
      <c r="I363" s="74"/>
    </row>
    <row r="364" ht="12.75" customHeight="1">
      <c r="A364" s="64">
        <f>A361+3</f>
        <v>43815</v>
      </c>
      <c r="B364" s="59">
        <v>290.0</v>
      </c>
      <c r="C364" s="59">
        <v>40.66</v>
      </c>
      <c r="D364" s="59">
        <v>780.0</v>
      </c>
      <c r="E364" s="59">
        <v>0.0</v>
      </c>
      <c r="F364" s="141">
        <f t="shared" ref="F364:F368" si="180">SUM(B364:E364)</f>
        <v>1110.66</v>
      </c>
      <c r="G364" s="59">
        <v>20.0</v>
      </c>
      <c r="H364" s="59">
        <v>1.0</v>
      </c>
      <c r="I364" s="61">
        <v>0.0</v>
      </c>
    </row>
    <row r="365" ht="12.75" customHeight="1">
      <c r="A365" s="64">
        <f t="shared" ref="A365:A368" si="181">A364+1</f>
        <v>43816</v>
      </c>
      <c r="B365" s="81">
        <v>290.0</v>
      </c>
      <c r="C365" s="81">
        <v>40.66</v>
      </c>
      <c r="D365" s="81">
        <v>560.0</v>
      </c>
      <c r="E365" s="81">
        <v>170.0</v>
      </c>
      <c r="F365" s="60">
        <f t="shared" si="180"/>
        <v>1060.66</v>
      </c>
      <c r="G365" s="81">
        <v>19.0</v>
      </c>
      <c r="H365" s="81">
        <v>1.0</v>
      </c>
      <c r="I365" s="83">
        <v>170.0</v>
      </c>
    </row>
    <row r="366" ht="12.75" customHeight="1">
      <c r="A366" s="64">
        <f t="shared" si="181"/>
        <v>43817</v>
      </c>
      <c r="B366" s="81">
        <v>440.0</v>
      </c>
      <c r="C366" s="81">
        <v>309.01</v>
      </c>
      <c r="D366" s="81">
        <v>580.0</v>
      </c>
      <c r="E366" s="81">
        <v>170.0</v>
      </c>
      <c r="F366" s="60">
        <f t="shared" si="180"/>
        <v>1499.01</v>
      </c>
      <c r="G366" s="81">
        <v>29.0</v>
      </c>
      <c r="H366" s="81">
        <v>7.0</v>
      </c>
      <c r="I366" s="83">
        <v>170.0</v>
      </c>
    </row>
    <row r="367" ht="12.75" customHeight="1">
      <c r="A367" s="64">
        <f t="shared" si="181"/>
        <v>43818</v>
      </c>
      <c r="B367" s="81">
        <v>370.0</v>
      </c>
      <c r="C367" s="81">
        <v>276.79</v>
      </c>
      <c r="D367" s="81">
        <v>790.0</v>
      </c>
      <c r="E367" s="81">
        <v>250.0</v>
      </c>
      <c r="F367" s="60">
        <f t="shared" si="180"/>
        <v>1686.79</v>
      </c>
      <c r="G367" s="81">
        <v>29.0</v>
      </c>
      <c r="H367" s="81">
        <v>6.0</v>
      </c>
      <c r="I367" s="83">
        <v>250.0</v>
      </c>
    </row>
    <row r="368" ht="12.75" customHeight="1">
      <c r="A368" s="64">
        <f t="shared" si="181"/>
        <v>43819</v>
      </c>
      <c r="B368" s="81">
        <v>390.0</v>
      </c>
      <c r="C368" s="81">
        <v>248.16</v>
      </c>
      <c r="D368" s="81">
        <v>430.0</v>
      </c>
      <c r="E368" s="81">
        <v>50.0</v>
      </c>
      <c r="F368" s="60">
        <f t="shared" si="180"/>
        <v>1118.16</v>
      </c>
      <c r="G368" s="81">
        <v>19.0</v>
      </c>
      <c r="H368" s="81">
        <v>6.0</v>
      </c>
      <c r="I368" s="83">
        <v>50.0</v>
      </c>
    </row>
    <row r="369" ht="12.75" customHeight="1">
      <c r="A369" s="131"/>
      <c r="B369" s="68">
        <f t="shared" ref="B369:I369" si="182">SUM(B364:B368)</f>
        <v>1780</v>
      </c>
      <c r="C369" s="68">
        <f t="shared" si="182"/>
        <v>915.28</v>
      </c>
      <c r="D369" s="68">
        <f t="shared" si="182"/>
        <v>3140</v>
      </c>
      <c r="E369" s="68">
        <f t="shared" si="182"/>
        <v>640</v>
      </c>
      <c r="F369" s="68">
        <f t="shared" si="182"/>
        <v>6475.28</v>
      </c>
      <c r="G369" s="70">
        <f t="shared" si="182"/>
        <v>116</v>
      </c>
      <c r="H369" s="70">
        <f t="shared" si="182"/>
        <v>21</v>
      </c>
      <c r="I369" s="91">
        <f t="shared" si="182"/>
        <v>640</v>
      </c>
    </row>
    <row r="370" ht="12.75" customHeight="1">
      <c r="A370" s="148"/>
      <c r="B370" s="75"/>
      <c r="C370" s="75"/>
      <c r="D370" s="75"/>
      <c r="E370" s="75"/>
      <c r="F370" s="75"/>
      <c r="G370" s="76"/>
      <c r="H370" s="76"/>
      <c r="I370" s="74"/>
    </row>
    <row r="371" ht="12.75" customHeight="1">
      <c r="A371" s="64">
        <f>A368+3</f>
        <v>43822</v>
      </c>
      <c r="B371" s="81">
        <v>290.0</v>
      </c>
      <c r="C371" s="81">
        <v>203.3</v>
      </c>
      <c r="D371" s="81">
        <v>1300.0</v>
      </c>
      <c r="E371" s="81">
        <v>50.0</v>
      </c>
      <c r="F371" s="183">
        <f t="shared" ref="F371:F373" si="183">SUM(B371:E371)</f>
        <v>1843.3</v>
      </c>
      <c r="G371" s="81">
        <v>38.0</v>
      </c>
      <c r="H371" s="81">
        <v>5.0</v>
      </c>
      <c r="I371" s="83">
        <v>50.0</v>
      </c>
    </row>
    <row r="372" ht="12.75" customHeight="1">
      <c r="A372" s="64">
        <f t="shared" ref="A372:A375" si="184">A371+1</f>
        <v>43823</v>
      </c>
      <c r="B372" s="81">
        <v>300.0</v>
      </c>
      <c r="C372" s="81">
        <v>81.32</v>
      </c>
      <c r="D372" s="81">
        <v>510.0</v>
      </c>
      <c r="E372" s="81">
        <v>50.0</v>
      </c>
      <c r="F372" s="183">
        <f t="shared" si="183"/>
        <v>941.32</v>
      </c>
      <c r="G372" s="81">
        <v>18.0</v>
      </c>
      <c r="H372" s="81">
        <v>2.0</v>
      </c>
      <c r="I372" s="83">
        <v>50.0</v>
      </c>
    </row>
    <row r="373" ht="12.75" customHeight="1">
      <c r="A373" s="64">
        <f t="shared" si="184"/>
        <v>43824</v>
      </c>
      <c r="B373" s="84"/>
      <c r="C373" s="84"/>
      <c r="D373" s="84"/>
      <c r="E373" s="84"/>
      <c r="F373" s="85">
        <f t="shared" si="183"/>
        <v>0</v>
      </c>
      <c r="G373" s="84"/>
      <c r="H373" s="84"/>
      <c r="I373" s="86"/>
    </row>
    <row r="374" ht="12.75" customHeight="1">
      <c r="A374" s="64">
        <f t="shared" si="184"/>
        <v>43825</v>
      </c>
      <c r="B374" s="84"/>
      <c r="C374" s="84"/>
      <c r="D374" s="84"/>
      <c r="E374" s="84"/>
      <c r="F374" s="85"/>
      <c r="G374" s="84"/>
      <c r="H374" s="84"/>
      <c r="I374" s="86"/>
    </row>
    <row r="375" ht="12.75" customHeight="1">
      <c r="A375" s="64">
        <f t="shared" si="184"/>
        <v>43826</v>
      </c>
      <c r="B375" s="84"/>
      <c r="C375" s="84"/>
      <c r="D375" s="84"/>
      <c r="E375" s="84"/>
      <c r="F375" s="85">
        <f>SUM(B375:E375)</f>
        <v>0</v>
      </c>
      <c r="G375" s="84"/>
      <c r="H375" s="84"/>
      <c r="I375" s="86"/>
    </row>
    <row r="376" ht="12.75" customHeight="1">
      <c r="A376" s="131"/>
      <c r="B376" s="68">
        <f t="shared" ref="B376:I376" si="185">SUM(B371:B375)</f>
        <v>590</v>
      </c>
      <c r="C376" s="68">
        <f t="shared" si="185"/>
        <v>284.62</v>
      </c>
      <c r="D376" s="68">
        <f t="shared" si="185"/>
        <v>1810</v>
      </c>
      <c r="E376" s="68">
        <f t="shared" si="185"/>
        <v>100</v>
      </c>
      <c r="F376" s="68">
        <f t="shared" si="185"/>
        <v>2784.62</v>
      </c>
      <c r="G376" s="70">
        <f t="shared" si="185"/>
        <v>56</v>
      </c>
      <c r="H376" s="70">
        <f t="shared" si="185"/>
        <v>7</v>
      </c>
      <c r="I376" s="68">
        <f t="shared" si="185"/>
        <v>100</v>
      </c>
    </row>
    <row r="377" ht="12.75" customHeight="1">
      <c r="A377" s="148"/>
      <c r="B377" s="75"/>
      <c r="C377" s="75"/>
      <c r="D377" s="75"/>
      <c r="E377" s="75"/>
      <c r="F377" s="75"/>
      <c r="G377" s="76"/>
      <c r="H377" s="76"/>
      <c r="I377" s="75"/>
    </row>
    <row r="378" ht="12.75" customHeight="1">
      <c r="A378" s="64"/>
      <c r="B378" s="84"/>
      <c r="C378" s="84"/>
      <c r="D378" s="84"/>
      <c r="E378" s="84"/>
      <c r="F378" s="85"/>
      <c r="G378" s="84"/>
      <c r="H378" s="84"/>
      <c r="I378" s="86"/>
    </row>
    <row r="379" ht="12.75" customHeight="1">
      <c r="A379" s="131"/>
      <c r="B379" s="68">
        <f t="shared" ref="B379:I379" si="186">SUM(B378)</f>
        <v>0</v>
      </c>
      <c r="C379" s="68">
        <f t="shared" si="186"/>
        <v>0</v>
      </c>
      <c r="D379" s="68">
        <f t="shared" si="186"/>
        <v>0</v>
      </c>
      <c r="E379" s="68">
        <f t="shared" si="186"/>
        <v>0</v>
      </c>
      <c r="F379" s="68">
        <f t="shared" si="186"/>
        <v>0</v>
      </c>
      <c r="G379" s="70">
        <f t="shared" si="186"/>
        <v>0</v>
      </c>
      <c r="H379" s="70">
        <f t="shared" si="186"/>
        <v>0</v>
      </c>
      <c r="I379" s="68">
        <f t="shared" si="186"/>
        <v>0</v>
      </c>
    </row>
    <row r="380" ht="12.75" customHeight="1">
      <c r="A380" s="148"/>
      <c r="B380" s="75"/>
      <c r="C380" s="75"/>
      <c r="D380" s="75"/>
      <c r="E380" s="75"/>
      <c r="F380" s="75"/>
      <c r="G380" s="76"/>
      <c r="H380" s="76"/>
      <c r="I380" s="75"/>
    </row>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511">
    <mergeCell ref="H28:H29"/>
    <mergeCell ref="I28:I29"/>
    <mergeCell ref="L28:M28"/>
    <mergeCell ref="A28:A29"/>
    <mergeCell ref="B28:B29"/>
    <mergeCell ref="C28:C29"/>
    <mergeCell ref="D28:D29"/>
    <mergeCell ref="E28:E29"/>
    <mergeCell ref="F28:F29"/>
    <mergeCell ref="G28:G29"/>
    <mergeCell ref="H35:H36"/>
    <mergeCell ref="I35:I36"/>
    <mergeCell ref="L37:M37"/>
    <mergeCell ref="A35:A36"/>
    <mergeCell ref="B35:B36"/>
    <mergeCell ref="C35:C36"/>
    <mergeCell ref="D35:D36"/>
    <mergeCell ref="E35:E36"/>
    <mergeCell ref="F35:F36"/>
    <mergeCell ref="G35:G36"/>
    <mergeCell ref="H42:H43"/>
    <mergeCell ref="I42:I43"/>
    <mergeCell ref="L46:M46"/>
    <mergeCell ref="A42:A43"/>
    <mergeCell ref="B42:B43"/>
    <mergeCell ref="C42:C43"/>
    <mergeCell ref="D42:D43"/>
    <mergeCell ref="E42:E43"/>
    <mergeCell ref="F42:F43"/>
    <mergeCell ref="G42:G43"/>
    <mergeCell ref="I49:I50"/>
    <mergeCell ref="L55:M55"/>
    <mergeCell ref="B49:B50"/>
    <mergeCell ref="C49:C50"/>
    <mergeCell ref="D49:D50"/>
    <mergeCell ref="E49:E50"/>
    <mergeCell ref="F49:F50"/>
    <mergeCell ref="G49:G50"/>
    <mergeCell ref="H49:H50"/>
    <mergeCell ref="H7:H8"/>
    <mergeCell ref="I7:I8"/>
    <mergeCell ref="L11:M11"/>
    <mergeCell ref="A7:A8"/>
    <mergeCell ref="B7:B8"/>
    <mergeCell ref="C7:C8"/>
    <mergeCell ref="D7:D8"/>
    <mergeCell ref="E7:E8"/>
    <mergeCell ref="F7:F8"/>
    <mergeCell ref="G7:G8"/>
    <mergeCell ref="H14:H15"/>
    <mergeCell ref="I14:I15"/>
    <mergeCell ref="L20:M20"/>
    <mergeCell ref="A14:A15"/>
    <mergeCell ref="B14:B15"/>
    <mergeCell ref="C14:C15"/>
    <mergeCell ref="D14:D15"/>
    <mergeCell ref="E14:E15"/>
    <mergeCell ref="F14:F15"/>
    <mergeCell ref="G14:G15"/>
    <mergeCell ref="H21:H22"/>
    <mergeCell ref="I21:I22"/>
    <mergeCell ref="A21:A22"/>
    <mergeCell ref="B21:B22"/>
    <mergeCell ref="C21:C22"/>
    <mergeCell ref="D21:D22"/>
    <mergeCell ref="E21:E22"/>
    <mergeCell ref="F21:F22"/>
    <mergeCell ref="G21:G22"/>
    <mergeCell ref="G63:G64"/>
    <mergeCell ref="H63:H64"/>
    <mergeCell ref="L64:M64"/>
    <mergeCell ref="C56:C57"/>
    <mergeCell ref="D56:D57"/>
    <mergeCell ref="E56:E57"/>
    <mergeCell ref="F56:F57"/>
    <mergeCell ref="G56:G57"/>
    <mergeCell ref="H56:H57"/>
    <mergeCell ref="I56:I57"/>
    <mergeCell ref="B56:B57"/>
    <mergeCell ref="B63:B64"/>
    <mergeCell ref="C63:C64"/>
    <mergeCell ref="D63:D64"/>
    <mergeCell ref="E63:E64"/>
    <mergeCell ref="F63:F64"/>
    <mergeCell ref="I63:I64"/>
    <mergeCell ref="G70:G71"/>
    <mergeCell ref="H70:H71"/>
    <mergeCell ref="I70:I71"/>
    <mergeCell ref="L74:M74"/>
    <mergeCell ref="L83:M83"/>
    <mergeCell ref="A63:A64"/>
    <mergeCell ref="A70:A71"/>
    <mergeCell ref="B70:B71"/>
    <mergeCell ref="C70:C71"/>
    <mergeCell ref="D70:D71"/>
    <mergeCell ref="E70:E71"/>
    <mergeCell ref="F70:F71"/>
    <mergeCell ref="C77:C78"/>
    <mergeCell ref="D77:D78"/>
    <mergeCell ref="E77:E78"/>
    <mergeCell ref="F77:F78"/>
    <mergeCell ref="G77:G78"/>
    <mergeCell ref="H77:H78"/>
    <mergeCell ref="I77:I78"/>
    <mergeCell ref="H84:H85"/>
    <mergeCell ref="I84:I85"/>
    <mergeCell ref="B77:B78"/>
    <mergeCell ref="B84:B85"/>
    <mergeCell ref="C84:C85"/>
    <mergeCell ref="D84:D85"/>
    <mergeCell ref="E84:E85"/>
    <mergeCell ref="F84:F85"/>
    <mergeCell ref="G84:G85"/>
    <mergeCell ref="H112:H113"/>
    <mergeCell ref="I112:I113"/>
    <mergeCell ref="A112:A113"/>
    <mergeCell ref="B112:B113"/>
    <mergeCell ref="C112:C113"/>
    <mergeCell ref="D112:D113"/>
    <mergeCell ref="E112:E113"/>
    <mergeCell ref="F112:F113"/>
    <mergeCell ref="G112:G113"/>
    <mergeCell ref="H119:H120"/>
    <mergeCell ref="I119:I120"/>
    <mergeCell ref="A119:A120"/>
    <mergeCell ref="B119:B120"/>
    <mergeCell ref="C119:C120"/>
    <mergeCell ref="D119:D120"/>
    <mergeCell ref="E119:E120"/>
    <mergeCell ref="F119:F120"/>
    <mergeCell ref="G119:G120"/>
    <mergeCell ref="H91:H92"/>
    <mergeCell ref="I91:I92"/>
    <mergeCell ref="L93:M93"/>
    <mergeCell ref="A91:A92"/>
    <mergeCell ref="B91:B92"/>
    <mergeCell ref="C91:C92"/>
    <mergeCell ref="D91:D92"/>
    <mergeCell ref="E91:E92"/>
    <mergeCell ref="F91:F92"/>
    <mergeCell ref="G91:G92"/>
    <mergeCell ref="H98:H99"/>
    <mergeCell ref="I98:I99"/>
    <mergeCell ref="L102:M102"/>
    <mergeCell ref="A98:A99"/>
    <mergeCell ref="B98:B99"/>
    <mergeCell ref="C98:C99"/>
    <mergeCell ref="D98:D99"/>
    <mergeCell ref="E98:E99"/>
    <mergeCell ref="F98:F99"/>
    <mergeCell ref="G98:G99"/>
    <mergeCell ref="H105:H106"/>
    <mergeCell ref="I105:I106"/>
    <mergeCell ref="L111:M111"/>
    <mergeCell ref="A105:A106"/>
    <mergeCell ref="B105:B106"/>
    <mergeCell ref="C105:C106"/>
    <mergeCell ref="D105:D106"/>
    <mergeCell ref="E105:E106"/>
    <mergeCell ref="F105:F106"/>
    <mergeCell ref="G105:G106"/>
    <mergeCell ref="G128:G129"/>
    <mergeCell ref="H128:H129"/>
    <mergeCell ref="H149:H150"/>
    <mergeCell ref="I149:I150"/>
    <mergeCell ref="A149:A150"/>
    <mergeCell ref="B149:B150"/>
    <mergeCell ref="C149:C150"/>
    <mergeCell ref="D149:D150"/>
    <mergeCell ref="E149:E150"/>
    <mergeCell ref="F149:F150"/>
    <mergeCell ref="G149:G150"/>
    <mergeCell ref="H156:H157"/>
    <mergeCell ref="I156:I157"/>
    <mergeCell ref="A156:A157"/>
    <mergeCell ref="B156:B157"/>
    <mergeCell ref="C156:C157"/>
    <mergeCell ref="D156:D157"/>
    <mergeCell ref="E156:E157"/>
    <mergeCell ref="F156:F157"/>
    <mergeCell ref="G156:G157"/>
    <mergeCell ref="H163:H164"/>
    <mergeCell ref="I163:I164"/>
    <mergeCell ref="A163:A164"/>
    <mergeCell ref="B163:B164"/>
    <mergeCell ref="C163:C164"/>
    <mergeCell ref="D163:D164"/>
    <mergeCell ref="E163:E164"/>
    <mergeCell ref="F163:F164"/>
    <mergeCell ref="G163:G164"/>
    <mergeCell ref="H170:H171"/>
    <mergeCell ref="I170:I171"/>
    <mergeCell ref="A170:A171"/>
    <mergeCell ref="B170:B171"/>
    <mergeCell ref="C170:C171"/>
    <mergeCell ref="D170:D171"/>
    <mergeCell ref="E170:E171"/>
    <mergeCell ref="F170:F171"/>
    <mergeCell ref="G170:G171"/>
    <mergeCell ref="H177:H178"/>
    <mergeCell ref="I177:I178"/>
    <mergeCell ref="A177:A178"/>
    <mergeCell ref="B177:B178"/>
    <mergeCell ref="C177:C178"/>
    <mergeCell ref="D177:D178"/>
    <mergeCell ref="E177:E178"/>
    <mergeCell ref="F177:F178"/>
    <mergeCell ref="G177:G178"/>
    <mergeCell ref="H184:H185"/>
    <mergeCell ref="I184:I185"/>
    <mergeCell ref="A184:A185"/>
    <mergeCell ref="B184:B185"/>
    <mergeCell ref="C184:C185"/>
    <mergeCell ref="D184:D185"/>
    <mergeCell ref="E184:E185"/>
    <mergeCell ref="F184:F185"/>
    <mergeCell ref="G184:G185"/>
    <mergeCell ref="H191:H192"/>
    <mergeCell ref="I191:I192"/>
    <mergeCell ref="A191:A192"/>
    <mergeCell ref="B191:B192"/>
    <mergeCell ref="C191:C192"/>
    <mergeCell ref="D191:D192"/>
    <mergeCell ref="E191:E192"/>
    <mergeCell ref="F191:F192"/>
    <mergeCell ref="G191:G192"/>
    <mergeCell ref="H198:H199"/>
    <mergeCell ref="I198:I199"/>
    <mergeCell ref="A198:A199"/>
    <mergeCell ref="B198:B199"/>
    <mergeCell ref="C198:C199"/>
    <mergeCell ref="D198:D199"/>
    <mergeCell ref="E198:E199"/>
    <mergeCell ref="F198:F199"/>
    <mergeCell ref="G198:G199"/>
    <mergeCell ref="H205:H206"/>
    <mergeCell ref="I205:I206"/>
    <mergeCell ref="A205:A206"/>
    <mergeCell ref="B205:B206"/>
    <mergeCell ref="C205:C206"/>
    <mergeCell ref="D205:D206"/>
    <mergeCell ref="E205:E206"/>
    <mergeCell ref="F205:F206"/>
    <mergeCell ref="G205:G206"/>
    <mergeCell ref="H212:H213"/>
    <mergeCell ref="I212:I213"/>
    <mergeCell ref="A212:A213"/>
    <mergeCell ref="B212:B213"/>
    <mergeCell ref="C212:C213"/>
    <mergeCell ref="D212:D213"/>
    <mergeCell ref="E212:E213"/>
    <mergeCell ref="F212:F213"/>
    <mergeCell ref="G212:G213"/>
    <mergeCell ref="H217:H218"/>
    <mergeCell ref="I217:I218"/>
    <mergeCell ref="A217:A218"/>
    <mergeCell ref="B217:B218"/>
    <mergeCell ref="C217:C218"/>
    <mergeCell ref="D217:D218"/>
    <mergeCell ref="E217:E218"/>
    <mergeCell ref="F217:F218"/>
    <mergeCell ref="G217:G218"/>
    <mergeCell ref="H221:H222"/>
    <mergeCell ref="I221:I222"/>
    <mergeCell ref="A221:A222"/>
    <mergeCell ref="B221:B222"/>
    <mergeCell ref="C221:C222"/>
    <mergeCell ref="D221:D222"/>
    <mergeCell ref="E221:E222"/>
    <mergeCell ref="F221:F222"/>
    <mergeCell ref="G221:G222"/>
    <mergeCell ref="H228:H229"/>
    <mergeCell ref="I228:I229"/>
    <mergeCell ref="A228:A229"/>
    <mergeCell ref="B228:B229"/>
    <mergeCell ref="C228:C229"/>
    <mergeCell ref="D228:D229"/>
    <mergeCell ref="E228:E229"/>
    <mergeCell ref="F228:F229"/>
    <mergeCell ref="G228:G229"/>
    <mergeCell ref="H235:H236"/>
    <mergeCell ref="I235:I236"/>
    <mergeCell ref="A235:A236"/>
    <mergeCell ref="B235:B236"/>
    <mergeCell ref="C235:C236"/>
    <mergeCell ref="D235:D236"/>
    <mergeCell ref="E235:E236"/>
    <mergeCell ref="F235:F236"/>
    <mergeCell ref="G235:G236"/>
    <mergeCell ref="H242:H243"/>
    <mergeCell ref="I242:I243"/>
    <mergeCell ref="A242:A243"/>
    <mergeCell ref="B242:B243"/>
    <mergeCell ref="C242:C243"/>
    <mergeCell ref="D242:D243"/>
    <mergeCell ref="E242:E243"/>
    <mergeCell ref="F242:F243"/>
    <mergeCell ref="G242:G243"/>
    <mergeCell ref="H249:H250"/>
    <mergeCell ref="I249:I250"/>
    <mergeCell ref="A249:A250"/>
    <mergeCell ref="B249:B250"/>
    <mergeCell ref="C249:C250"/>
    <mergeCell ref="D249:D250"/>
    <mergeCell ref="E249:E250"/>
    <mergeCell ref="F249:F250"/>
    <mergeCell ref="G249:G250"/>
    <mergeCell ref="H256:H257"/>
    <mergeCell ref="I256:I257"/>
    <mergeCell ref="A256:A257"/>
    <mergeCell ref="B256:B257"/>
    <mergeCell ref="C256:C257"/>
    <mergeCell ref="D256:D257"/>
    <mergeCell ref="E256:E257"/>
    <mergeCell ref="F256:F257"/>
    <mergeCell ref="G256:G257"/>
    <mergeCell ref="H263:H264"/>
    <mergeCell ref="I263:I264"/>
    <mergeCell ref="A263:A264"/>
    <mergeCell ref="B263:B264"/>
    <mergeCell ref="C263:C264"/>
    <mergeCell ref="D263:D264"/>
    <mergeCell ref="E263:E264"/>
    <mergeCell ref="F263:F264"/>
    <mergeCell ref="G263:G264"/>
    <mergeCell ref="H270:H271"/>
    <mergeCell ref="I270:I271"/>
    <mergeCell ref="A270:A271"/>
    <mergeCell ref="B270:B271"/>
    <mergeCell ref="C270:C271"/>
    <mergeCell ref="D270:D271"/>
    <mergeCell ref="E270:E271"/>
    <mergeCell ref="F270:F271"/>
    <mergeCell ref="G270:G271"/>
    <mergeCell ref="H277:H278"/>
    <mergeCell ref="I277:I278"/>
    <mergeCell ref="A277:A278"/>
    <mergeCell ref="B277:B278"/>
    <mergeCell ref="C277:C278"/>
    <mergeCell ref="D277:D278"/>
    <mergeCell ref="E277:E278"/>
    <mergeCell ref="F277:F278"/>
    <mergeCell ref="G277:G278"/>
    <mergeCell ref="H280:H281"/>
    <mergeCell ref="I280:I281"/>
    <mergeCell ref="A280:A281"/>
    <mergeCell ref="B280:B281"/>
    <mergeCell ref="C280:C281"/>
    <mergeCell ref="D280:D281"/>
    <mergeCell ref="E280:E281"/>
    <mergeCell ref="F280:F281"/>
    <mergeCell ref="G280:G281"/>
    <mergeCell ref="H286:H287"/>
    <mergeCell ref="I286:I287"/>
    <mergeCell ref="A286:A287"/>
    <mergeCell ref="B286:B287"/>
    <mergeCell ref="C286:C287"/>
    <mergeCell ref="D286:D287"/>
    <mergeCell ref="E286:E287"/>
    <mergeCell ref="F286:F287"/>
    <mergeCell ref="G286:G287"/>
    <mergeCell ref="H293:H294"/>
    <mergeCell ref="I293:I294"/>
    <mergeCell ref="A293:A294"/>
    <mergeCell ref="B293:B294"/>
    <mergeCell ref="C293:C294"/>
    <mergeCell ref="D293:D294"/>
    <mergeCell ref="E293:E294"/>
    <mergeCell ref="F293:F294"/>
    <mergeCell ref="G293:G294"/>
    <mergeCell ref="H300:H301"/>
    <mergeCell ref="I300:I301"/>
    <mergeCell ref="A300:A301"/>
    <mergeCell ref="B300:B301"/>
    <mergeCell ref="C300:C301"/>
    <mergeCell ref="D300:D301"/>
    <mergeCell ref="E300:E301"/>
    <mergeCell ref="F300:F301"/>
    <mergeCell ref="G300:G301"/>
    <mergeCell ref="H307:H308"/>
    <mergeCell ref="I307:I308"/>
    <mergeCell ref="A307:A308"/>
    <mergeCell ref="B307:B308"/>
    <mergeCell ref="C307:C308"/>
    <mergeCell ref="D307:D308"/>
    <mergeCell ref="E307:E308"/>
    <mergeCell ref="F307:F308"/>
    <mergeCell ref="G307:G308"/>
    <mergeCell ref="H320:H321"/>
    <mergeCell ref="I320:I321"/>
    <mergeCell ref="A320:A321"/>
    <mergeCell ref="B320:B321"/>
    <mergeCell ref="C320:C321"/>
    <mergeCell ref="D320:D321"/>
    <mergeCell ref="E320:E321"/>
    <mergeCell ref="F320:F321"/>
    <mergeCell ref="G320:G321"/>
    <mergeCell ref="H376:H377"/>
    <mergeCell ref="I376:I377"/>
    <mergeCell ref="A376:A377"/>
    <mergeCell ref="B376:B377"/>
    <mergeCell ref="C376:C377"/>
    <mergeCell ref="D376:D377"/>
    <mergeCell ref="E376:E377"/>
    <mergeCell ref="F376:F377"/>
    <mergeCell ref="G376:G377"/>
    <mergeCell ref="C123:C124"/>
    <mergeCell ref="D123:D124"/>
    <mergeCell ref="E123:E124"/>
    <mergeCell ref="F123:F124"/>
    <mergeCell ref="G123:G124"/>
    <mergeCell ref="H123:H124"/>
    <mergeCell ref="I123:I124"/>
    <mergeCell ref="B123:B124"/>
    <mergeCell ref="B128:B129"/>
    <mergeCell ref="C128:C129"/>
    <mergeCell ref="D128:D129"/>
    <mergeCell ref="E128:E129"/>
    <mergeCell ref="F128:F129"/>
    <mergeCell ref="I128:I129"/>
    <mergeCell ref="G135:G136"/>
    <mergeCell ref="H135:H136"/>
    <mergeCell ref="I135:I136"/>
    <mergeCell ref="A128:A129"/>
    <mergeCell ref="A135:A136"/>
    <mergeCell ref="B135:B136"/>
    <mergeCell ref="C135:C136"/>
    <mergeCell ref="D135:D136"/>
    <mergeCell ref="E135:E136"/>
    <mergeCell ref="F135:F136"/>
    <mergeCell ref="H142:H143"/>
    <mergeCell ref="I142:I143"/>
    <mergeCell ref="A142:A143"/>
    <mergeCell ref="B142:B143"/>
    <mergeCell ref="C142:C143"/>
    <mergeCell ref="D142:D143"/>
    <mergeCell ref="E142:E143"/>
    <mergeCell ref="F142:F143"/>
    <mergeCell ref="G142:G143"/>
    <mergeCell ref="H379:H380"/>
    <mergeCell ref="I379:I380"/>
    <mergeCell ref="A379:A380"/>
    <mergeCell ref="B379:B380"/>
    <mergeCell ref="C379:C380"/>
    <mergeCell ref="D379:D380"/>
    <mergeCell ref="E379:E380"/>
    <mergeCell ref="F379:F380"/>
    <mergeCell ref="G379:G380"/>
    <mergeCell ref="H327:H328"/>
    <mergeCell ref="I327:I328"/>
    <mergeCell ref="A327:A328"/>
    <mergeCell ref="B327:B328"/>
    <mergeCell ref="C327:C328"/>
    <mergeCell ref="D327:D328"/>
    <mergeCell ref="E327:E328"/>
    <mergeCell ref="F327:F328"/>
    <mergeCell ref="G327:G328"/>
    <mergeCell ref="H334:H335"/>
    <mergeCell ref="I334:I335"/>
    <mergeCell ref="A334:A335"/>
    <mergeCell ref="B334:B335"/>
    <mergeCell ref="C334:C335"/>
    <mergeCell ref="D334:D335"/>
    <mergeCell ref="E334:E335"/>
    <mergeCell ref="F334:F335"/>
    <mergeCell ref="G334:G335"/>
    <mergeCell ref="H341:H342"/>
    <mergeCell ref="I341:I342"/>
    <mergeCell ref="A341:A342"/>
    <mergeCell ref="B341:B342"/>
    <mergeCell ref="C341:C342"/>
    <mergeCell ref="D341:D342"/>
    <mergeCell ref="E341:E342"/>
    <mergeCell ref="F341:F342"/>
    <mergeCell ref="G341:G342"/>
    <mergeCell ref="H348:H349"/>
    <mergeCell ref="I348:I349"/>
    <mergeCell ref="A348:A349"/>
    <mergeCell ref="B348:B349"/>
    <mergeCell ref="C348:C349"/>
    <mergeCell ref="D348:D349"/>
    <mergeCell ref="E348:E349"/>
    <mergeCell ref="F348:F349"/>
    <mergeCell ref="G348:G349"/>
    <mergeCell ref="H355:H356"/>
    <mergeCell ref="I355:I356"/>
    <mergeCell ref="A355:A356"/>
    <mergeCell ref="B355:B356"/>
    <mergeCell ref="C355:C356"/>
    <mergeCell ref="D355:D356"/>
    <mergeCell ref="E355:E356"/>
    <mergeCell ref="F355:F356"/>
    <mergeCell ref="G355:G356"/>
    <mergeCell ref="H362:H363"/>
    <mergeCell ref="I362:I363"/>
    <mergeCell ref="A362:A363"/>
    <mergeCell ref="B362:B363"/>
    <mergeCell ref="C362:C363"/>
    <mergeCell ref="D362:D363"/>
    <mergeCell ref="E362:E363"/>
    <mergeCell ref="F362:F363"/>
    <mergeCell ref="G362:G363"/>
    <mergeCell ref="H369:H370"/>
    <mergeCell ref="I369:I370"/>
    <mergeCell ref="A369:A370"/>
    <mergeCell ref="B369:B370"/>
    <mergeCell ref="C369:C370"/>
    <mergeCell ref="D369:D370"/>
    <mergeCell ref="E369:E370"/>
    <mergeCell ref="F369:F370"/>
    <mergeCell ref="G369:G370"/>
  </mergeCells>
  <printOptions/>
  <pageMargins bottom="0.75" footer="0.0" header="0.0" left="0.7" right="0.7" top="0.75"/>
  <pageSetup paperSize="9"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2.63" defaultRowHeight="15.0"/>
  <cols>
    <col customWidth="1" min="1" max="1" width="18.63"/>
    <col customWidth="1" min="2" max="3" width="2.38"/>
    <col customWidth="1" min="4" max="4" width="16.63"/>
    <col customWidth="1" min="5" max="6" width="2.38"/>
    <col customWidth="1" min="7" max="7" width="18.38"/>
    <col customWidth="1" min="8" max="9" width="3.0"/>
    <col customWidth="1" min="10" max="10" width="15.88"/>
    <col customWidth="1" min="11" max="11" width="7.38"/>
    <col customWidth="1" min="12" max="12" width="20.13"/>
    <col customWidth="1" min="13" max="13" width="16.0"/>
    <col customWidth="1" min="14" max="26" width="10.63"/>
  </cols>
  <sheetData>
    <row r="1" ht="12.75" customHeight="1">
      <c r="A1" s="14" t="s">
        <v>14</v>
      </c>
    </row>
    <row r="2" ht="12.75" customHeight="1"/>
    <row r="3" ht="12.75" customHeight="1"/>
    <row r="4" ht="12.75" customHeight="1"/>
    <row r="5" ht="12.75" customHeight="1"/>
    <row r="6" ht="12.75" customHeight="1">
      <c r="A6" s="15"/>
      <c r="B6" s="15"/>
      <c r="C6" s="15"/>
      <c r="D6" s="15"/>
      <c r="E6" s="15"/>
      <c r="F6" s="15"/>
      <c r="G6" s="16"/>
      <c r="H6" s="15"/>
      <c r="I6" s="15"/>
      <c r="J6" s="15"/>
      <c r="K6" s="15"/>
      <c r="L6" s="15"/>
      <c r="M6" s="15"/>
      <c r="N6" s="15"/>
      <c r="O6" s="15"/>
      <c r="P6" s="15"/>
      <c r="Q6" s="15"/>
      <c r="R6" s="15"/>
      <c r="S6" s="15"/>
      <c r="T6" s="15"/>
      <c r="U6" s="15"/>
      <c r="V6" s="15"/>
      <c r="W6" s="15"/>
      <c r="X6" s="15"/>
      <c r="Y6" s="15"/>
      <c r="Z6" s="15"/>
    </row>
    <row r="7" ht="12.75" customHeight="1">
      <c r="A7" s="17" t="s">
        <v>15</v>
      </c>
      <c r="B7" s="15"/>
      <c r="C7" s="15"/>
      <c r="D7" s="18" t="s">
        <v>16</v>
      </c>
      <c r="E7" s="16"/>
      <c r="F7" s="16"/>
      <c r="G7" s="16"/>
      <c r="H7" s="16"/>
      <c r="I7" s="16"/>
      <c r="J7" s="16"/>
      <c r="K7" s="16"/>
      <c r="L7" s="16"/>
      <c r="M7" s="16"/>
      <c r="N7" s="16"/>
      <c r="O7" s="16"/>
      <c r="P7" s="16"/>
      <c r="Q7" s="16"/>
      <c r="R7" s="16"/>
      <c r="S7" s="16"/>
      <c r="T7" s="16"/>
      <c r="U7" s="16"/>
      <c r="V7" s="16"/>
      <c r="W7" s="16"/>
      <c r="X7" s="16"/>
      <c r="Y7" s="16"/>
      <c r="Z7" s="16"/>
    </row>
    <row r="8" ht="12.75" customHeight="1">
      <c r="A8" s="19" t="s">
        <v>17</v>
      </c>
      <c r="B8" s="20"/>
      <c r="C8" s="20"/>
      <c r="D8" s="21" t="s">
        <v>18</v>
      </c>
      <c r="E8" s="15"/>
      <c r="F8" s="15"/>
      <c r="G8" s="15"/>
      <c r="H8" s="15"/>
      <c r="I8" s="15"/>
      <c r="J8" s="15"/>
      <c r="K8" s="15"/>
      <c r="L8" s="15"/>
      <c r="M8" s="15"/>
      <c r="N8" s="15"/>
      <c r="O8" s="15"/>
      <c r="P8" s="15"/>
      <c r="Q8" s="15"/>
      <c r="R8" s="15"/>
      <c r="S8" s="15"/>
      <c r="T8" s="15"/>
      <c r="U8" s="15"/>
      <c r="V8" s="15"/>
      <c r="W8" s="15"/>
      <c r="X8" s="15"/>
      <c r="Y8" s="15"/>
      <c r="Z8" s="15"/>
    </row>
    <row r="9" ht="12.75" customHeight="1">
      <c r="A9" s="22" t="s">
        <v>19</v>
      </c>
      <c r="B9" s="15"/>
      <c r="C9" s="15"/>
      <c r="D9" s="23" t="s">
        <v>20</v>
      </c>
      <c r="E9" s="15"/>
      <c r="F9" s="15"/>
      <c r="G9" s="15"/>
      <c r="H9" s="15"/>
      <c r="I9" s="15"/>
      <c r="J9" s="15"/>
      <c r="K9" s="15"/>
      <c r="L9" s="15"/>
      <c r="M9" s="15"/>
      <c r="N9" s="15"/>
      <c r="O9" s="15"/>
      <c r="P9" s="15"/>
      <c r="Q9" s="15"/>
      <c r="R9" s="15"/>
      <c r="S9" s="15"/>
      <c r="T9" s="15"/>
      <c r="U9" s="15"/>
      <c r="V9" s="15"/>
      <c r="W9" s="15"/>
      <c r="X9" s="15"/>
      <c r="Y9" s="15"/>
      <c r="Z9" s="15"/>
    </row>
    <row r="10" ht="12.75" customHeight="1">
      <c r="A10" s="24"/>
      <c r="B10" s="15"/>
      <c r="C10" s="15"/>
      <c r="D10" s="23" t="s">
        <v>21</v>
      </c>
      <c r="E10" s="15"/>
      <c r="F10" s="15"/>
      <c r="G10" s="17" t="s">
        <v>22</v>
      </c>
      <c r="H10" s="15"/>
      <c r="I10" s="15"/>
      <c r="J10" s="25" t="s">
        <v>23</v>
      </c>
      <c r="K10" s="15"/>
      <c r="L10" s="15"/>
      <c r="M10" s="15"/>
      <c r="N10" s="15"/>
      <c r="O10" s="15"/>
      <c r="P10" s="15"/>
      <c r="Q10" s="15"/>
      <c r="R10" s="15"/>
      <c r="S10" s="15"/>
      <c r="T10" s="15"/>
      <c r="U10" s="15"/>
      <c r="V10" s="15"/>
      <c r="W10" s="15"/>
      <c r="X10" s="15"/>
      <c r="Y10" s="15"/>
      <c r="Z10" s="15"/>
    </row>
    <row r="11" ht="20.25" customHeight="1">
      <c r="A11" s="15"/>
      <c r="B11" s="15"/>
      <c r="C11" s="15"/>
      <c r="D11" s="26" t="s">
        <v>24</v>
      </c>
      <c r="E11" s="15"/>
      <c r="F11" s="15"/>
      <c r="G11" s="19" t="s">
        <v>25</v>
      </c>
      <c r="H11" s="15"/>
      <c r="I11" s="15"/>
      <c r="J11" s="19" t="s">
        <v>26</v>
      </c>
      <c r="K11" s="15"/>
      <c r="L11" s="15"/>
      <c r="M11" s="15"/>
      <c r="N11" s="15"/>
      <c r="O11" s="15"/>
      <c r="P11" s="15"/>
      <c r="Q11" s="15"/>
      <c r="R11" s="15"/>
      <c r="S11" s="15"/>
      <c r="T11" s="15"/>
      <c r="U11" s="15"/>
      <c r="V11" s="15"/>
      <c r="W11" s="15"/>
      <c r="X11" s="15"/>
      <c r="Y11" s="15"/>
      <c r="Z11" s="15"/>
    </row>
    <row r="12" ht="12.75" customHeight="1">
      <c r="A12" s="15"/>
      <c r="B12" s="15"/>
      <c r="C12" s="15"/>
      <c r="D12" s="27"/>
      <c r="E12" s="15"/>
      <c r="F12" s="15"/>
      <c r="G12" s="22" t="s">
        <v>27</v>
      </c>
      <c r="H12" s="20"/>
      <c r="I12" s="20"/>
      <c r="J12" s="28" t="s">
        <v>28</v>
      </c>
      <c r="K12" s="15"/>
      <c r="L12" s="15"/>
      <c r="M12" s="15"/>
      <c r="N12" s="15"/>
      <c r="O12" s="15"/>
      <c r="P12" s="15"/>
      <c r="Q12" s="15"/>
      <c r="R12" s="15"/>
      <c r="S12" s="15"/>
      <c r="T12" s="15"/>
      <c r="U12" s="15"/>
      <c r="V12" s="15"/>
      <c r="W12" s="15"/>
      <c r="X12" s="15"/>
      <c r="Y12" s="15"/>
      <c r="Z12" s="15"/>
    </row>
    <row r="13" ht="12.75" customHeight="1">
      <c r="A13" s="17" t="s">
        <v>29</v>
      </c>
      <c r="B13" s="15"/>
      <c r="C13" s="15"/>
      <c r="D13" s="15"/>
      <c r="E13" s="15"/>
      <c r="F13" s="15"/>
      <c r="G13" s="22" t="s">
        <v>30</v>
      </c>
      <c r="H13" s="15"/>
      <c r="I13" s="15"/>
      <c r="J13" s="24"/>
      <c r="K13" s="15"/>
      <c r="L13" s="29"/>
      <c r="M13" s="15"/>
      <c r="N13" s="15"/>
      <c r="O13" s="15"/>
      <c r="P13" s="15"/>
      <c r="Q13" s="15"/>
      <c r="R13" s="15"/>
      <c r="S13" s="15"/>
      <c r="T13" s="15"/>
      <c r="U13" s="15"/>
      <c r="V13" s="15"/>
      <c r="W13" s="15"/>
      <c r="X13" s="15"/>
      <c r="Y13" s="15"/>
      <c r="Z13" s="15"/>
    </row>
    <row r="14" ht="12.75" customHeight="1">
      <c r="A14" s="19" t="s">
        <v>31</v>
      </c>
      <c r="B14" s="15"/>
      <c r="C14" s="15"/>
      <c r="D14" s="15"/>
      <c r="E14" s="15"/>
      <c r="F14" s="15"/>
      <c r="G14" s="22" t="s">
        <v>32</v>
      </c>
      <c r="H14" s="15"/>
      <c r="I14" s="15"/>
      <c r="J14" s="15"/>
      <c r="K14" s="15"/>
      <c r="L14" s="29"/>
      <c r="M14" s="15"/>
      <c r="N14" s="15"/>
      <c r="O14" s="15"/>
      <c r="P14" s="15"/>
      <c r="Q14" s="15"/>
      <c r="R14" s="15"/>
      <c r="S14" s="15"/>
      <c r="T14" s="15"/>
      <c r="U14" s="15"/>
      <c r="V14" s="15"/>
      <c r="W14" s="15"/>
      <c r="X14" s="15"/>
      <c r="Y14" s="15"/>
      <c r="Z14" s="15"/>
    </row>
    <row r="15" ht="12.75" customHeight="1">
      <c r="A15" s="22" t="s">
        <v>33</v>
      </c>
      <c r="B15" s="15"/>
      <c r="C15" s="15"/>
      <c r="D15" s="15"/>
      <c r="E15" s="15"/>
      <c r="F15" s="15"/>
      <c r="G15" s="22" t="s">
        <v>34</v>
      </c>
      <c r="H15" s="15"/>
      <c r="I15" s="15"/>
      <c r="J15" s="15"/>
      <c r="K15" s="15"/>
      <c r="L15" s="30"/>
      <c r="M15" s="15"/>
      <c r="N15" s="15"/>
      <c r="O15" s="15"/>
      <c r="P15" s="15"/>
      <c r="Q15" s="15"/>
      <c r="R15" s="15"/>
      <c r="S15" s="15"/>
      <c r="T15" s="15"/>
      <c r="U15" s="15"/>
      <c r="V15" s="15"/>
      <c r="W15" s="15"/>
      <c r="X15" s="15"/>
      <c r="Y15" s="15"/>
      <c r="Z15" s="15"/>
    </row>
    <row r="16" ht="12.75" customHeight="1">
      <c r="A16" s="24"/>
      <c r="B16" s="15"/>
      <c r="C16" s="15"/>
      <c r="D16" s="15"/>
      <c r="E16" s="15"/>
      <c r="F16" s="15"/>
      <c r="G16" s="24"/>
      <c r="H16" s="15"/>
      <c r="I16" s="15"/>
      <c r="J16" s="29"/>
      <c r="K16" s="15"/>
      <c r="L16" s="15"/>
      <c r="M16" s="15"/>
      <c r="N16" s="15"/>
      <c r="O16" s="15"/>
      <c r="P16" s="15"/>
      <c r="Q16" s="15"/>
      <c r="R16" s="15"/>
      <c r="S16" s="15"/>
      <c r="T16" s="15"/>
      <c r="U16" s="15"/>
      <c r="V16" s="15"/>
      <c r="W16" s="15"/>
      <c r="X16" s="15"/>
      <c r="Y16" s="15"/>
      <c r="Z16" s="15"/>
    </row>
    <row r="17" ht="12.75" customHeight="1">
      <c r="A17" s="15"/>
      <c r="B17" s="15"/>
      <c r="C17" s="15"/>
      <c r="D17" s="18" t="s">
        <v>35</v>
      </c>
      <c r="E17" s="15"/>
      <c r="F17" s="15"/>
      <c r="G17" s="15"/>
      <c r="H17" s="15"/>
      <c r="I17" s="15"/>
      <c r="J17" s="30"/>
      <c r="K17" s="15"/>
      <c r="L17" s="15"/>
      <c r="M17" s="15"/>
      <c r="N17" s="15"/>
      <c r="O17" s="15"/>
      <c r="P17" s="15"/>
      <c r="Q17" s="15"/>
      <c r="R17" s="15"/>
      <c r="S17" s="15"/>
      <c r="T17" s="15"/>
      <c r="U17" s="15"/>
      <c r="V17" s="15"/>
      <c r="W17" s="15"/>
      <c r="X17" s="15"/>
      <c r="Y17" s="15"/>
      <c r="Z17" s="15"/>
    </row>
    <row r="18" ht="12.75" customHeight="1">
      <c r="A18" s="15"/>
      <c r="B18" s="15"/>
      <c r="C18" s="15"/>
      <c r="D18" s="21" t="s">
        <v>18</v>
      </c>
      <c r="E18" s="15"/>
      <c r="F18" s="15"/>
      <c r="G18" s="15"/>
      <c r="H18" s="15"/>
      <c r="I18" s="15"/>
      <c r="J18" s="15"/>
      <c r="K18" s="15"/>
      <c r="L18" s="15"/>
      <c r="M18" s="15"/>
      <c r="N18" s="15"/>
      <c r="O18" s="15"/>
      <c r="P18" s="15"/>
      <c r="Q18" s="15"/>
      <c r="R18" s="15"/>
      <c r="S18" s="15"/>
      <c r="T18" s="15"/>
      <c r="U18" s="15"/>
      <c r="V18" s="15"/>
      <c r="W18" s="15"/>
      <c r="X18" s="15"/>
      <c r="Y18" s="15"/>
      <c r="Z18" s="15"/>
    </row>
    <row r="19" ht="12.75" customHeight="1">
      <c r="A19" s="15"/>
      <c r="B19" s="15"/>
      <c r="C19" s="15"/>
      <c r="D19" s="23" t="s">
        <v>20</v>
      </c>
      <c r="E19" s="15"/>
      <c r="F19" s="15"/>
      <c r="G19" s="15"/>
      <c r="H19" s="15"/>
      <c r="I19" s="15"/>
      <c r="J19" s="15"/>
      <c r="K19" s="15"/>
      <c r="L19" s="15"/>
      <c r="M19" s="15"/>
      <c r="N19" s="15"/>
      <c r="O19" s="15"/>
      <c r="P19" s="15"/>
      <c r="Q19" s="15"/>
      <c r="R19" s="15"/>
      <c r="S19" s="15"/>
      <c r="T19" s="15"/>
      <c r="U19" s="15"/>
      <c r="V19" s="15"/>
      <c r="W19" s="15"/>
      <c r="X19" s="15"/>
      <c r="Y19" s="15"/>
      <c r="Z19" s="15"/>
    </row>
    <row r="20" ht="12.75" customHeight="1">
      <c r="A20" s="15"/>
      <c r="B20" s="15"/>
      <c r="C20" s="16"/>
      <c r="D20" s="23" t="s">
        <v>36</v>
      </c>
      <c r="E20" s="15"/>
      <c r="F20" s="15"/>
      <c r="G20" s="17" t="s">
        <v>37</v>
      </c>
      <c r="H20" s="15"/>
      <c r="I20" s="15"/>
      <c r="J20" s="15"/>
      <c r="K20" s="15"/>
      <c r="L20" s="15"/>
      <c r="M20" s="15"/>
      <c r="N20" s="15"/>
      <c r="O20" s="15"/>
      <c r="P20" s="15"/>
      <c r="Q20" s="15"/>
      <c r="R20" s="15"/>
      <c r="S20" s="15"/>
      <c r="T20" s="15"/>
      <c r="U20" s="15"/>
      <c r="V20" s="15"/>
      <c r="W20" s="15"/>
      <c r="X20" s="15"/>
      <c r="Y20" s="15"/>
      <c r="Z20" s="15"/>
    </row>
    <row r="21" ht="12.75" customHeight="1">
      <c r="A21" s="15"/>
      <c r="B21" s="15"/>
      <c r="C21" s="16"/>
      <c r="D21" s="31" t="s">
        <v>38</v>
      </c>
      <c r="E21" s="15"/>
      <c r="F21" s="15"/>
      <c r="G21" s="32" t="s">
        <v>39</v>
      </c>
      <c r="H21" s="15"/>
      <c r="I21" s="15"/>
      <c r="J21" s="15"/>
      <c r="K21" s="15"/>
      <c r="L21" s="15"/>
      <c r="M21" s="15"/>
      <c r="N21" s="15"/>
      <c r="O21" s="15"/>
      <c r="P21" s="15"/>
      <c r="Q21" s="15"/>
      <c r="R21" s="15"/>
      <c r="S21" s="15"/>
      <c r="T21" s="15"/>
      <c r="U21" s="15"/>
      <c r="V21" s="15"/>
      <c r="W21" s="15"/>
      <c r="X21" s="15"/>
      <c r="Y21" s="15"/>
      <c r="Z21" s="15"/>
    </row>
    <row r="22" ht="12.75" customHeight="1">
      <c r="A22" s="15"/>
      <c r="B22" s="15"/>
      <c r="C22" s="15"/>
      <c r="D22" s="33"/>
      <c r="E22" s="15"/>
      <c r="F22" s="15"/>
      <c r="G22" s="34" t="s">
        <v>40</v>
      </c>
      <c r="H22" s="15"/>
      <c r="I22" s="15"/>
      <c r="J22" s="15"/>
      <c r="K22" s="15"/>
      <c r="L22" s="15"/>
      <c r="M22" s="15"/>
      <c r="N22" s="15"/>
      <c r="O22" s="15"/>
      <c r="P22" s="15"/>
      <c r="Q22" s="15"/>
      <c r="R22" s="15"/>
      <c r="S22" s="15"/>
      <c r="T22" s="15"/>
      <c r="U22" s="15"/>
      <c r="V22" s="15"/>
      <c r="W22" s="15"/>
      <c r="X22" s="15"/>
      <c r="Y22" s="15"/>
      <c r="Z22" s="15"/>
    </row>
    <row r="23" ht="12.75" customHeight="1">
      <c r="A23" s="15"/>
      <c r="B23" s="15"/>
      <c r="C23" s="15"/>
      <c r="D23" s="15"/>
      <c r="E23" s="15"/>
      <c r="F23" s="15"/>
      <c r="G23" s="24"/>
      <c r="H23" s="16"/>
      <c r="I23" s="15"/>
      <c r="J23" s="15"/>
      <c r="K23" s="15"/>
      <c r="L23" s="15"/>
      <c r="M23" s="15"/>
      <c r="N23" s="15"/>
      <c r="O23" s="15"/>
      <c r="P23" s="15"/>
      <c r="Q23" s="15"/>
      <c r="R23" s="15"/>
      <c r="S23" s="15"/>
      <c r="T23" s="15"/>
      <c r="U23" s="15"/>
      <c r="V23" s="15"/>
      <c r="W23" s="15"/>
      <c r="X23" s="15"/>
      <c r="Y23" s="15"/>
      <c r="Z23" s="15"/>
    </row>
    <row r="24" ht="12.75" customHeight="1">
      <c r="A24" s="16"/>
      <c r="B24" s="15"/>
      <c r="C24" s="15"/>
      <c r="D24" s="15"/>
      <c r="E24" s="15"/>
      <c r="F24" s="15"/>
      <c r="G24" s="15"/>
      <c r="H24" s="16"/>
      <c r="I24" s="15"/>
      <c r="J24" s="15"/>
      <c r="K24" s="15"/>
      <c r="L24" s="15"/>
      <c r="M24" s="15"/>
      <c r="N24" s="15"/>
      <c r="O24" s="15"/>
      <c r="P24" s="15"/>
      <c r="Q24" s="15"/>
      <c r="R24" s="15"/>
      <c r="S24" s="15"/>
      <c r="T24" s="15"/>
      <c r="U24" s="15"/>
      <c r="V24" s="15"/>
      <c r="W24" s="15"/>
      <c r="X24" s="15"/>
      <c r="Y24" s="15"/>
      <c r="Z24" s="15"/>
    </row>
    <row r="25" ht="12.75" customHeight="1">
      <c r="A25" s="16"/>
      <c r="B25" s="15"/>
      <c r="C25" s="15"/>
      <c r="D25" s="15"/>
      <c r="E25" s="15"/>
      <c r="F25" s="15"/>
      <c r="G25" s="15"/>
      <c r="H25" s="15"/>
      <c r="I25" s="15"/>
      <c r="J25" s="15"/>
      <c r="K25" s="15"/>
      <c r="L25" s="15"/>
      <c r="M25" s="15"/>
      <c r="N25" s="15"/>
      <c r="O25" s="15"/>
      <c r="P25" s="15"/>
      <c r="Q25" s="15"/>
      <c r="R25" s="15"/>
      <c r="S25" s="15"/>
      <c r="T25" s="15"/>
      <c r="U25" s="15"/>
      <c r="V25" s="15"/>
      <c r="W25" s="15"/>
      <c r="X25" s="15"/>
      <c r="Y25" s="15"/>
      <c r="Z25" s="15"/>
    </row>
    <row r="26" ht="12.75" customHeight="1">
      <c r="A26" s="16"/>
      <c r="B26" s="15"/>
      <c r="C26" s="15"/>
      <c r="D26" s="15"/>
      <c r="E26" s="15"/>
      <c r="F26" s="15"/>
      <c r="G26" s="16"/>
      <c r="H26" s="15"/>
      <c r="I26" s="15"/>
      <c r="J26" s="16"/>
      <c r="K26" s="15"/>
      <c r="L26" s="15"/>
      <c r="M26" s="15"/>
      <c r="N26" s="15"/>
      <c r="O26" s="15"/>
      <c r="P26" s="15"/>
      <c r="Q26" s="15"/>
      <c r="R26" s="15"/>
      <c r="S26" s="15"/>
      <c r="T26" s="15"/>
      <c r="U26" s="15"/>
      <c r="V26" s="15"/>
      <c r="W26" s="15"/>
      <c r="X26" s="15"/>
      <c r="Y26" s="15"/>
      <c r="Z26" s="15"/>
    </row>
    <row r="27" ht="12.75" customHeight="1">
      <c r="B27" s="16"/>
      <c r="C27" s="16"/>
      <c r="D27" s="16"/>
      <c r="E27" s="16"/>
      <c r="F27" s="16"/>
      <c r="G27" s="16"/>
      <c r="H27" s="16"/>
      <c r="I27" s="16"/>
      <c r="J27" s="16"/>
      <c r="K27" s="16"/>
      <c r="L27" s="16"/>
      <c r="M27" s="16"/>
    </row>
    <row r="28" ht="12.75" customHeight="1">
      <c r="B28" s="16"/>
      <c r="C28" s="16"/>
      <c r="D28" s="16"/>
      <c r="E28" s="16"/>
      <c r="F28" s="16"/>
      <c r="G28" s="16"/>
      <c r="H28" s="16"/>
      <c r="I28" s="16"/>
      <c r="J28" s="16"/>
      <c r="K28" s="16"/>
      <c r="L28" s="16"/>
      <c r="M28" s="16"/>
    </row>
    <row r="29" ht="12.75" customHeight="1">
      <c r="B29" s="16"/>
      <c r="C29" s="16"/>
      <c r="D29" s="16"/>
      <c r="E29" s="16"/>
      <c r="F29" s="16"/>
      <c r="H29" s="16"/>
      <c r="I29" s="16"/>
      <c r="K29" s="16"/>
      <c r="L29" s="16"/>
      <c r="M29" s="16"/>
    </row>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mergeCells count="1">
    <mergeCell ref="A1:J5"/>
  </mergeCells>
  <printOptions/>
  <pageMargins bottom="0.75" footer="0.0" header="0.0" left="0.7" right="0.7" top="0.75"/>
  <pageSetup orientation="landscape"/>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26" width="10.63"/>
  </cols>
  <sheetData>
    <row r="1" ht="12.75" customHeight="1">
      <c r="A1" s="35" t="s">
        <v>17</v>
      </c>
      <c r="B1" s="35" t="s">
        <v>19</v>
      </c>
    </row>
    <row r="2" ht="12.75" customHeight="1">
      <c r="A2" s="36">
        <v>1.0</v>
      </c>
      <c r="B2" s="35" t="s">
        <v>41</v>
      </c>
    </row>
    <row r="3" ht="12.75" customHeight="1">
      <c r="A3" s="36">
        <v>2.0</v>
      </c>
      <c r="B3" s="35" t="s">
        <v>42</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875" right="0.7875" top="0.984027777777778"/>
  <pageSetup paperSize="9"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26" width="10.63"/>
  </cols>
  <sheetData>
    <row r="1" ht="12.75" customHeight="1">
      <c r="A1" s="35" t="s">
        <v>31</v>
      </c>
      <c r="B1" s="35" t="s">
        <v>33</v>
      </c>
    </row>
    <row r="2" ht="12.75" customHeight="1">
      <c r="A2" s="36">
        <v>1.0</v>
      </c>
      <c r="B2" s="35" t="s">
        <v>41</v>
      </c>
    </row>
    <row r="3" ht="12.75" customHeight="1">
      <c r="A3" s="36">
        <v>2.0</v>
      </c>
      <c r="B3" s="35" t="s">
        <v>42</v>
      </c>
    </row>
    <row r="4" ht="12.75" customHeight="1"/>
    <row r="5" ht="12.75" customHeight="1"/>
    <row r="6" ht="12.75" customHeight="1"/>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875" right="0.7875" top="0.984027777777778"/>
  <pageSetup paperSize="9" orientation="portrait"/>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1" width="10.63"/>
    <col customWidth="1" min="2" max="2" width="17.13"/>
    <col customWidth="1" min="3" max="25" width="10.63"/>
  </cols>
  <sheetData>
    <row r="1" ht="12.75" customHeight="1">
      <c r="A1" s="37" t="s">
        <v>39</v>
      </c>
      <c r="B1" s="37" t="s">
        <v>40</v>
      </c>
    </row>
    <row r="2" ht="12.75" customHeight="1">
      <c r="A2" s="38">
        <v>1.0</v>
      </c>
      <c r="B2" s="38" t="s">
        <v>43</v>
      </c>
    </row>
    <row r="3" ht="12.75" customHeight="1">
      <c r="A3" s="38">
        <v>2.0</v>
      </c>
      <c r="B3" s="38" t="s">
        <v>44</v>
      </c>
    </row>
    <row r="4" ht="12.75" customHeight="1">
      <c r="A4" s="38">
        <v>3.0</v>
      </c>
      <c r="B4" s="38" t="s">
        <v>45</v>
      </c>
    </row>
    <row r="5" ht="12.75" customHeight="1">
      <c r="A5" s="38">
        <v>4.0</v>
      </c>
      <c r="B5" s="39" t="s">
        <v>46</v>
      </c>
    </row>
    <row r="6" ht="12.75" customHeight="1">
      <c r="A6" s="39">
        <v>5.0</v>
      </c>
      <c r="B6" s="39" t="s">
        <v>47</v>
      </c>
    </row>
    <row r="7" ht="12.75" customHeight="1"/>
    <row r="8" ht="12.75" customHeight="1"/>
    <row r="9" ht="12.75" customHeight="1"/>
    <row r="10" ht="12.75" customHeight="1"/>
    <row r="11" ht="12.75" customHeight="1"/>
    <row r="12" ht="12.75" customHeight="1"/>
    <row r="13" ht="12.75" customHeight="1"/>
    <row r="14" ht="12.75" customHeight="1"/>
    <row r="15" ht="12.75" customHeight="1"/>
    <row r="16" ht="12.75" customHeight="1"/>
    <row r="17" ht="12.75" customHeight="1"/>
    <row r="18" ht="12.75" customHeight="1"/>
    <row r="19" ht="12.75" customHeight="1"/>
    <row r="20" ht="12.75" customHeight="1"/>
    <row r="21" ht="12.75" customHeight="1"/>
    <row r="22" ht="12.75" customHeight="1"/>
    <row r="23" ht="12.75" customHeight="1"/>
    <row r="24" ht="12.75" customHeight="1"/>
    <row r="25" ht="12.75" customHeight="1"/>
    <row r="26" ht="12.75" customHeight="1"/>
    <row r="27" ht="12.75" customHeight="1"/>
    <row r="28" ht="12.75" customHeight="1"/>
    <row r="29" ht="12.75" customHeight="1"/>
    <row r="30" ht="12.75" customHeight="1"/>
    <row r="31" ht="12.75" customHeight="1"/>
    <row r="32" ht="12.75" customHeight="1"/>
    <row r="33" ht="12.75" customHeight="1"/>
    <row r="34" ht="12.75" customHeight="1"/>
    <row r="35" ht="12.75" customHeight="1"/>
    <row r="36" ht="12.75" customHeight="1"/>
    <row r="37" ht="12.75" customHeight="1"/>
    <row r="38" ht="12.75" customHeight="1"/>
    <row r="39" ht="12.75" customHeight="1"/>
    <row r="40" ht="12.75" customHeight="1"/>
    <row r="41" ht="12.75" customHeight="1"/>
    <row r="42" ht="12.75" customHeight="1"/>
    <row r="43" ht="12.75" customHeight="1"/>
    <row r="44" ht="12.75" customHeight="1"/>
    <row r="45" ht="12.75" customHeight="1"/>
    <row r="46" ht="12.75" customHeight="1"/>
    <row r="47" ht="12.75" customHeight="1"/>
    <row r="48" ht="12.75" customHeight="1"/>
    <row r="49" ht="12.75" customHeight="1"/>
    <row r="50" ht="12.75" customHeight="1"/>
    <row r="51" ht="12.75" customHeight="1"/>
    <row r="52" ht="12.75" customHeight="1"/>
    <row r="53" ht="12.75" customHeight="1"/>
    <row r="54" ht="12.75" customHeight="1"/>
    <row r="55" ht="12.75" customHeight="1"/>
    <row r="56" ht="12.75" customHeight="1"/>
    <row r="57" ht="12.75" customHeight="1"/>
    <row r="58" ht="12.75" customHeight="1"/>
    <row r="59" ht="12.75" customHeight="1"/>
    <row r="60" ht="12.75" customHeight="1"/>
    <row r="61" ht="12.75" customHeight="1"/>
    <row r="62" ht="12.75" customHeight="1"/>
    <row r="63" ht="12.75" customHeight="1"/>
    <row r="64" ht="12.75" customHeight="1"/>
    <row r="65" ht="12.75" customHeight="1"/>
    <row r="66" ht="12.75" customHeight="1"/>
    <row r="67" ht="12.75" customHeight="1"/>
    <row r="68" ht="12.75" customHeight="1"/>
    <row r="69" ht="12.75" customHeight="1"/>
    <row r="70" ht="12.75" customHeight="1"/>
    <row r="71" ht="12.75" customHeight="1"/>
    <row r="72" ht="12.75" customHeight="1"/>
    <row r="73" ht="12.75" customHeight="1"/>
    <row r="74" ht="12.75" customHeight="1"/>
    <row r="75" ht="12.75" customHeight="1"/>
    <row r="76" ht="12.75" customHeight="1"/>
    <row r="77" ht="12.75" customHeight="1"/>
    <row r="78" ht="12.75" customHeight="1"/>
    <row r="79" ht="12.75" customHeight="1"/>
    <row r="80" ht="12.75" customHeight="1"/>
    <row r="81" ht="12.75" customHeight="1"/>
    <row r="82" ht="12.75" customHeight="1"/>
    <row r="83" ht="12.75" customHeight="1"/>
    <row r="84" ht="12.75" customHeight="1"/>
    <row r="85" ht="12.75" customHeight="1"/>
    <row r="86" ht="12.75" customHeight="1"/>
    <row r="87" ht="12.75" customHeight="1"/>
    <row r="88" ht="12.75" customHeight="1"/>
    <row r="89" ht="12.75" customHeight="1"/>
    <row r="90" ht="12.75" customHeight="1"/>
    <row r="91" ht="12.75" customHeight="1"/>
    <row r="92" ht="12.75" customHeight="1"/>
    <row r="93" ht="12.75" customHeight="1"/>
    <row r="94" ht="12.75" customHeight="1"/>
    <row r="95" ht="12.75" customHeight="1"/>
    <row r="96" ht="12.75" customHeight="1"/>
    <row r="97" ht="12.75" customHeight="1"/>
    <row r="98" ht="12.75" customHeight="1"/>
    <row r="99" ht="12.75" customHeight="1"/>
    <row r="100" ht="12.75" customHeight="1"/>
    <row r="101" ht="12.75" customHeight="1"/>
    <row r="102" ht="12.75" customHeight="1"/>
    <row r="103" ht="12.75" customHeight="1"/>
    <row r="104" ht="12.75" customHeight="1"/>
    <row r="105" ht="12.75" customHeight="1"/>
    <row r="106" ht="12.75" customHeight="1"/>
    <row r="107" ht="12.75" customHeight="1"/>
    <row r="108" ht="12.75" customHeight="1"/>
    <row r="109" ht="12.75" customHeight="1"/>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875" right="0.7875" top="0.984027777777778"/>
  <pageSetup paperSize="9" orientation="portrait"/>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3" width="10.63"/>
    <col customWidth="1" min="4" max="5" width="15.13"/>
    <col customWidth="1" min="6" max="26" width="10.63"/>
  </cols>
  <sheetData>
    <row r="1" ht="12.75" customHeight="1">
      <c r="A1" s="35" t="s">
        <v>25</v>
      </c>
      <c r="B1" s="35" t="s">
        <v>26</v>
      </c>
      <c r="C1" s="35" t="s">
        <v>30</v>
      </c>
      <c r="D1" s="39" t="s">
        <v>32</v>
      </c>
      <c r="E1" s="39" t="s">
        <v>34</v>
      </c>
    </row>
    <row r="2" ht="12.75" customHeight="1">
      <c r="A2" s="36">
        <v>1.0</v>
      </c>
      <c r="B2" s="39">
        <v>2017.0</v>
      </c>
      <c r="C2" s="36" t="s">
        <v>48</v>
      </c>
      <c r="D2" s="40">
        <f>IFERROR(__xludf.DUMMYFUNCTION(" rows (filter (ZONE (B2, ""A2:I""), month (ZONE (B2, ""A2:A"")) = A2 + (2017 - B2) * 12, ZONE (B2, ""A2:A"") &lt;&gt; """", ZONE (B2, ""F2:F"") &gt; 0))"),20.0)</f>
        <v>20</v>
      </c>
      <c r="E2" s="39">
        <v>0.0</v>
      </c>
    </row>
    <row r="3" ht="12.75" customHeight="1">
      <c r="A3" s="36">
        <f t="shared" ref="A3:A109" si="1"> A2 + 1</f>
        <v>2</v>
      </c>
      <c r="B3" s="39">
        <v>2017.0</v>
      </c>
      <c r="C3" s="36" t="s">
        <v>49</v>
      </c>
      <c r="D3" s="40">
        <f>IFERROR(__xludf.DUMMYFUNCTION(" rows (filter (ZONE (B3, ""A2:I""), month (ZONE (B3, ""A2:A"")) = A3 + (2017 - B3) * 12, ZONE (B3, ""A2:A"") &lt;&gt; """", ZONE (B3, ""F2:F"") &gt; 0))"),20.0)</f>
        <v>20</v>
      </c>
      <c r="E3" s="39">
        <v>0.0</v>
      </c>
    </row>
    <row r="4" ht="12.75" customHeight="1">
      <c r="A4" s="36">
        <f t="shared" si="1"/>
        <v>3</v>
      </c>
      <c r="B4" s="39">
        <v>2017.0</v>
      </c>
      <c r="C4" s="36" t="s">
        <v>50</v>
      </c>
      <c r="D4" s="40">
        <f>IFERROR(__xludf.DUMMYFUNCTION(" rows (filter (ZONE (B4, ""A2:I""), month (ZONE (B4, ""A2:A"")) = A4 + (2017 - B4) * 12, ZONE (B4, ""A2:A"") &lt;&gt; """", ZONE (B4, ""F2:F"") &gt; 0))"),23.0)</f>
        <v>23</v>
      </c>
      <c r="E4" s="39">
        <v>0.0</v>
      </c>
    </row>
    <row r="5" ht="12.75" customHeight="1">
      <c r="A5" s="36">
        <f t="shared" si="1"/>
        <v>4</v>
      </c>
      <c r="B5" s="39">
        <v>2017.0</v>
      </c>
      <c r="C5" s="36" t="s">
        <v>51</v>
      </c>
      <c r="D5" s="40">
        <f>IFERROR(__xludf.DUMMYFUNCTION(" rows (filter (ZONE (B5, ""A2:I""), month (ZONE (B5, ""A2:A"")) = A5 + (2017 - B5) * 12, ZONE (B5, ""A2:A"") &lt;&gt; """", ZONE (B5, ""F2:F"") &gt; 0))"),18.0)</f>
        <v>18</v>
      </c>
      <c r="E5" s="39">
        <v>0.0</v>
      </c>
    </row>
    <row r="6" ht="12.75" customHeight="1">
      <c r="A6" s="36">
        <f t="shared" si="1"/>
        <v>5</v>
      </c>
      <c r="B6" s="39">
        <v>2017.0</v>
      </c>
      <c r="C6" s="36" t="s">
        <v>52</v>
      </c>
      <c r="D6" s="40">
        <f>IFERROR(__xludf.DUMMYFUNCTION(" rows (filter (ZONE (B6, ""A2:I""), month (ZONE (B6, ""A2:A"")) = A6 + (2017 - B6) * 12, ZONE (B6, ""A2:A"") &lt;&gt; """", ZONE (B6, ""F2:F"") &gt; 0))"),20.0)</f>
        <v>20</v>
      </c>
      <c r="E6" s="39">
        <v>0.0</v>
      </c>
    </row>
    <row r="7" ht="12.75" customHeight="1">
      <c r="A7" s="36">
        <f t="shared" si="1"/>
        <v>6</v>
      </c>
      <c r="B7" s="39">
        <v>2017.0</v>
      </c>
      <c r="C7" s="36" t="s">
        <v>53</v>
      </c>
      <c r="D7" s="40">
        <f>IFERROR(__xludf.DUMMYFUNCTION(" rows (filter (ZONE (B7, ""A2:I""), month (ZONE (B7, ""A2:A"")) = A7 + (2017 - B7) * 12, ZONE (B7, ""A2:A"") &lt;&gt; """", ZONE (B7, ""F2:F"") &gt; 0))"),20.0)</f>
        <v>20</v>
      </c>
      <c r="E7" s="39">
        <v>0.0</v>
      </c>
    </row>
    <row r="8" ht="12.75" customHeight="1">
      <c r="A8" s="36">
        <f t="shared" si="1"/>
        <v>7</v>
      </c>
      <c r="B8" s="39">
        <v>2017.0</v>
      </c>
      <c r="C8" s="36" t="s">
        <v>54</v>
      </c>
      <c r="D8" s="40">
        <f>IFERROR(__xludf.DUMMYFUNCTION(" rows (filter (ZONE (B8, ""A2:I""), month (ZONE (B8, ""A2:A"")) = A8 + (2017 - B8) * 12, ZONE (B8, ""A2:A"") &lt;&gt; """", ZONE (B8, ""F2:F"") &gt; 0))"),20.0)</f>
        <v>20</v>
      </c>
      <c r="E8" s="39">
        <v>0.0</v>
      </c>
    </row>
    <row r="9" ht="12.75" customHeight="1">
      <c r="A9" s="36">
        <f t="shared" si="1"/>
        <v>8</v>
      </c>
      <c r="B9" s="39">
        <v>2017.0</v>
      </c>
      <c r="C9" s="35" t="s">
        <v>55</v>
      </c>
      <c r="D9" s="40">
        <f>IFERROR(__xludf.DUMMYFUNCTION(" rows (filter (ZONE (B9, ""A2:I""), month (ZONE (B9, ""A2:A"")) = A9 + (2017 - B9) * 12, ZONE (B9, ""A2:A"") &lt;&gt; """", ZONE (B9, ""F2:F"") &gt; 0))"),15.0)</f>
        <v>15</v>
      </c>
      <c r="E9" s="39">
        <v>0.0</v>
      </c>
    </row>
    <row r="10" ht="12.75" customHeight="1">
      <c r="A10" s="36">
        <f t="shared" si="1"/>
        <v>9</v>
      </c>
      <c r="B10" s="39">
        <v>2017.0</v>
      </c>
      <c r="C10" s="36" t="s">
        <v>56</v>
      </c>
      <c r="D10" s="40">
        <f>IFERROR(__xludf.DUMMYFUNCTION(" rows (filter (ZONE (B10, ""A2:I""), month (ZONE (B10, ""A2:A"")) = A10 + (2017 - B10) * 12, ZONE (B10, ""A2:A"") &lt;&gt; """", ZONE (B10, ""F2:F"") &gt; 0))"),18.0)</f>
        <v>18</v>
      </c>
      <c r="E10" s="39">
        <v>0.0</v>
      </c>
    </row>
    <row r="11" ht="12.75" customHeight="1">
      <c r="A11" s="36">
        <f t="shared" si="1"/>
        <v>10</v>
      </c>
      <c r="B11" s="39">
        <v>2017.0</v>
      </c>
      <c r="C11" s="36" t="s">
        <v>57</v>
      </c>
      <c r="D11" s="40">
        <f>IFERROR(__xludf.DUMMYFUNCTION(" rows (filter (ZONE (B11, ""A2:I""), month (ZONE (B11, ""A2:A"")) = A11 + (2017 - B11) * 12, ZONE (B11, ""A2:A"") &lt;&gt; """", ZONE (B11, ""F2:F"") &gt; 0))"),22.0)</f>
        <v>22</v>
      </c>
      <c r="E11" s="39">
        <v>0.0</v>
      </c>
    </row>
    <row r="12" ht="12.75" customHeight="1">
      <c r="A12" s="36">
        <f t="shared" si="1"/>
        <v>11</v>
      </c>
      <c r="B12" s="39">
        <v>2017.0</v>
      </c>
      <c r="C12" s="36" t="s">
        <v>58</v>
      </c>
      <c r="D12" s="40">
        <f>IFERROR(__xludf.DUMMYFUNCTION(" rows (filter (ZONE (B12, ""A2:I""), month (ZONE (B12, ""A2:A"")) = A12 + (2017 - B12) * 12, ZONE (B12, ""A2:A"") &lt;&gt; """", ZONE (B12, ""F2:F"") &gt; 0))"),16.0)</f>
        <v>16</v>
      </c>
      <c r="E12" s="39">
        <v>0.0</v>
      </c>
    </row>
    <row r="13" ht="12.75" customHeight="1">
      <c r="A13" s="36">
        <f t="shared" si="1"/>
        <v>12</v>
      </c>
      <c r="B13" s="39">
        <v>2017.0</v>
      </c>
      <c r="C13" s="36" t="s">
        <v>59</v>
      </c>
      <c r="D13" s="40">
        <f>IFERROR(__xludf.DUMMYFUNCTION(" rows (filter (ZONE (B13, ""A2:I""), month (ZONE (B13, ""A2:A"")) = A13 + (2017 - B13) * 12, ZONE (B13, ""A2:A"") &lt;&gt; """", ZONE (B13, ""F2:F"") &gt; 0))"),16.0)</f>
        <v>16</v>
      </c>
      <c r="E13" s="39">
        <v>0.0</v>
      </c>
    </row>
    <row r="14" ht="12.75" customHeight="1">
      <c r="A14" s="36">
        <f t="shared" si="1"/>
        <v>13</v>
      </c>
      <c r="B14" s="40">
        <f t="shared" ref="B14:B109" si="2"> B2 + 1</f>
        <v>2018</v>
      </c>
      <c r="C14" s="40" t="str">
        <f t="shared" ref="C14:C109" si="3"> C2</f>
        <v>Janvier</v>
      </c>
      <c r="D14" s="40">
        <f>IFERROR(__xludf.DUMMYFUNCTION(" rows (filter (ZONE (B14, ""A2:I""), month (ZONE (B14, ""A2:A"")) = A14 + (2017 - B14) * 12, ZONE (B14, ""A2:A"") &lt;&gt; """", ZONE (B14, ""F2:F"") &gt; 0))"),17.0)</f>
        <v>17</v>
      </c>
      <c r="E14" s="39">
        <v>0.0</v>
      </c>
    </row>
    <row r="15" ht="12.75" customHeight="1">
      <c r="A15" s="36">
        <f t="shared" si="1"/>
        <v>14</v>
      </c>
      <c r="B15" s="40">
        <f t="shared" si="2"/>
        <v>2018</v>
      </c>
      <c r="C15" s="40" t="str">
        <f t="shared" si="3"/>
        <v>Février</v>
      </c>
      <c r="D15" s="40">
        <f>IFERROR(__xludf.DUMMYFUNCTION(" rows (filter (ZONE (B15, ""A2:I""), month (ZONE (B15, ""A2:A"")) = A15 + (2017 - B15) * 12, ZONE (B15, ""A2:A"") &lt;&gt; """", ZONE (B15, ""F2:F"") &gt; 0))"),20.0)</f>
        <v>20</v>
      </c>
      <c r="E15" s="39">
        <v>0.0</v>
      </c>
    </row>
    <row r="16" ht="12.75" customHeight="1">
      <c r="A16" s="36">
        <f t="shared" si="1"/>
        <v>15</v>
      </c>
      <c r="B16" s="40">
        <f t="shared" si="2"/>
        <v>2018</v>
      </c>
      <c r="C16" s="40" t="str">
        <f t="shared" si="3"/>
        <v>Mars</v>
      </c>
      <c r="D16" s="40">
        <f>IFERROR(__xludf.DUMMYFUNCTION(" rows (filter (ZONE (B16, ""A2:I""), month (ZONE (B16, ""A2:A"")) = A16 + (2017 - B16) * 12, ZONE (B16, ""A2:A"") &lt;&gt; """", ZONE (B16, ""F2:F"") &gt; 0))"),22.0)</f>
        <v>22</v>
      </c>
      <c r="E16" s="39">
        <v>0.0</v>
      </c>
    </row>
    <row r="17" ht="12.75" customHeight="1">
      <c r="A17" s="36">
        <f t="shared" si="1"/>
        <v>16</v>
      </c>
      <c r="B17" s="40">
        <f t="shared" si="2"/>
        <v>2018</v>
      </c>
      <c r="C17" s="40" t="str">
        <f t="shared" si="3"/>
        <v>Avril</v>
      </c>
      <c r="D17" s="40">
        <f>IFERROR(__xludf.DUMMYFUNCTION(" rows (filter (ZONE (B17, ""A2:I""), month (ZONE (B17, ""A2:A"")) = A17 + (2017 - B17) * 12, ZONE (B17, ""A2:A"") &lt;&gt; """", ZONE (B17, ""F2:F"") &gt; 0))"),18.0)</f>
        <v>18</v>
      </c>
      <c r="E17" s="39">
        <v>0.0</v>
      </c>
    </row>
    <row r="18" ht="12.75" customHeight="1">
      <c r="A18" s="36">
        <f t="shared" si="1"/>
        <v>17</v>
      </c>
      <c r="B18" s="40">
        <f t="shared" si="2"/>
        <v>2018</v>
      </c>
      <c r="C18" s="40" t="str">
        <f t="shared" si="3"/>
        <v>Mai</v>
      </c>
      <c r="D18" s="40">
        <f>IFERROR(__xludf.DUMMYFUNCTION(" rows (filter (ZONE (B18, ""A2:I""), month (ZONE (B18, ""A2:A"")) = A18 + (2017 - B18) * 12, ZONE (B18, ""A2:A"") &lt;&gt; """", ZONE (B18, ""F2:F"") &gt; 0))"),13.0)</f>
        <v>13</v>
      </c>
      <c r="E18" s="39">
        <v>0.0</v>
      </c>
    </row>
    <row r="19" ht="12.75" customHeight="1">
      <c r="A19" s="36">
        <f t="shared" si="1"/>
        <v>18</v>
      </c>
      <c r="B19" s="40">
        <f t="shared" si="2"/>
        <v>2018</v>
      </c>
      <c r="C19" s="40" t="str">
        <f t="shared" si="3"/>
        <v>Juin</v>
      </c>
      <c r="D19" s="40">
        <f>IFERROR(__xludf.DUMMYFUNCTION(" rows (filter (ZONE (B19, ""A2:I""), month (ZONE (B19, ""A2:A"")) = A19 + (2017 - B19) * 12, ZONE (B19, ""A2:A"") &lt;&gt; """", ZONE (B19, ""F2:F"") &gt; 0))"),20.0)</f>
        <v>20</v>
      </c>
      <c r="E19" s="39">
        <v>0.0</v>
      </c>
    </row>
    <row r="20" ht="12.75" customHeight="1">
      <c r="A20" s="36">
        <f t="shared" si="1"/>
        <v>19</v>
      </c>
      <c r="B20" s="40">
        <f t="shared" si="2"/>
        <v>2018</v>
      </c>
      <c r="C20" s="40" t="str">
        <f t="shared" si="3"/>
        <v>Juillet</v>
      </c>
      <c r="D20" s="40">
        <f>IFERROR(__xludf.DUMMYFUNCTION(" rows (filter (ZONE (B20, ""A2:I""), month (ZONE (B20, ""A2:A"")) = A20 + (2017 - B20) * 12, ZONE (B20, ""A2:A"") &lt;&gt; """", ZONE (B20, ""F2:F"") &gt; 0))"),13.0)</f>
        <v>13</v>
      </c>
      <c r="E20" s="39">
        <v>0.0</v>
      </c>
    </row>
    <row r="21" ht="12.75" customHeight="1">
      <c r="A21" s="36">
        <f t="shared" si="1"/>
        <v>20</v>
      </c>
      <c r="B21" s="40">
        <f t="shared" si="2"/>
        <v>2018</v>
      </c>
      <c r="C21" s="40" t="str">
        <f t="shared" si="3"/>
        <v>Aout</v>
      </c>
      <c r="D21" s="40">
        <f>IFERROR(__xludf.DUMMYFUNCTION(" rows (filter (ZONE (B21, ""A2:I""), month (ZONE (B21, ""A2:A"")) = A21 + (2017 - B21) * 12, ZONE (B21, ""A2:A"") &lt;&gt; """", ZONE (B21, ""F2:F"") &gt; 0))"),8.0)</f>
        <v>8</v>
      </c>
      <c r="E21" s="39">
        <v>0.0</v>
      </c>
    </row>
    <row r="22" ht="12.75" customHeight="1">
      <c r="A22" s="36">
        <f t="shared" si="1"/>
        <v>21</v>
      </c>
      <c r="B22" s="40">
        <f t="shared" si="2"/>
        <v>2018</v>
      </c>
      <c r="C22" s="40" t="str">
        <f t="shared" si="3"/>
        <v>Septembre</v>
      </c>
      <c r="D22" s="40">
        <f>IFERROR(__xludf.DUMMYFUNCTION(" rows (filter (ZONE (B22, ""A2:I""), month (ZONE (B22, ""A2:A"")) = A22 + (2017 - B22) * 12, ZONE (B22, ""A2:A"") &lt;&gt; """", ZONE (B22, ""F2:F"") &gt; 0))"),20.0)</f>
        <v>20</v>
      </c>
      <c r="E22" s="39">
        <v>0.0</v>
      </c>
    </row>
    <row r="23" ht="12.75" customHeight="1">
      <c r="A23" s="36">
        <f t="shared" si="1"/>
        <v>22</v>
      </c>
      <c r="B23" s="40">
        <f t="shared" si="2"/>
        <v>2018</v>
      </c>
      <c r="C23" s="40" t="str">
        <f t="shared" si="3"/>
        <v>Octobre</v>
      </c>
      <c r="D23" s="40">
        <f>IFERROR(__xludf.DUMMYFUNCTION(" rows (filter (ZONE (B23, ""A2:I""), month (ZONE (B23, ""A2:A"")) = A23 + (2017 - B23) * 12, ZONE (B23, ""A2:A"") &lt;&gt; """", ZONE (B23, ""F2:F"") &gt; 0))"),17.0)</f>
        <v>17</v>
      </c>
      <c r="E23" s="39">
        <v>0.0</v>
      </c>
    </row>
    <row r="24" ht="12.75" customHeight="1">
      <c r="A24" s="36">
        <f t="shared" si="1"/>
        <v>23</v>
      </c>
      <c r="B24" s="40">
        <f t="shared" si="2"/>
        <v>2018</v>
      </c>
      <c r="C24" s="40" t="str">
        <f t="shared" si="3"/>
        <v>Novembre</v>
      </c>
      <c r="D24" s="40">
        <f>IFERROR(__xludf.DUMMYFUNCTION(" rows (filter (ZONE (B24, ""A2:I""), month (ZONE (B24, ""A2:A"")) = A24 + (2017 - B24) * 12, ZONE (B24, ""A2:A"") &lt;&gt; """", ZONE (B24, ""F2:F"") &gt; 0))"),20.0)</f>
        <v>20</v>
      </c>
      <c r="E24" s="39">
        <v>0.0</v>
      </c>
    </row>
    <row r="25" ht="12.75" customHeight="1">
      <c r="A25" s="36">
        <f t="shared" si="1"/>
        <v>24</v>
      </c>
      <c r="B25" s="40">
        <f t="shared" si="2"/>
        <v>2018</v>
      </c>
      <c r="C25" s="40" t="str">
        <f t="shared" si="3"/>
        <v>Décembre</v>
      </c>
      <c r="D25" s="40">
        <f>IFERROR(__xludf.DUMMYFUNCTION(" rows (filter (ZONE (B25, ""A2:I""), month (ZONE (B25, ""A2:A"")) = A25 + (2017 - B25) * 12, ZONE (B25, ""A2:A"") &lt;&gt; """", ZONE (B25, ""F2:F"") &gt; 0))"),15.0)</f>
        <v>15</v>
      </c>
      <c r="E25" s="39">
        <v>0.0</v>
      </c>
    </row>
    <row r="26" ht="12.75" customHeight="1">
      <c r="A26" s="36">
        <f t="shared" si="1"/>
        <v>25</v>
      </c>
      <c r="B26" s="40">
        <f t="shared" si="2"/>
        <v>2019</v>
      </c>
      <c r="C26" s="40" t="str">
        <f t="shared" si="3"/>
        <v>Janvier</v>
      </c>
      <c r="D26" s="40">
        <f>IFERROR(__xludf.DUMMYFUNCTION(" rows (filter (ZONE (B26, ""A2:I""), month (ZONE (B26, ""A2:A"")) = A26 + (2017 - B26) * 12, ZONE (B26, ""A2:A"") &lt;&gt; """", ZONE (B26, ""F2:F"") &gt; 0))"),18.0)</f>
        <v>18</v>
      </c>
      <c r="E26" s="39">
        <v>0.0</v>
      </c>
    </row>
    <row r="27" ht="12.75" customHeight="1">
      <c r="A27" s="36">
        <f t="shared" si="1"/>
        <v>26</v>
      </c>
      <c r="B27" s="40">
        <f t="shared" si="2"/>
        <v>2019</v>
      </c>
      <c r="C27" s="40" t="str">
        <f t="shared" si="3"/>
        <v>Février</v>
      </c>
      <c r="D27" s="40">
        <f>IFERROR(__xludf.DUMMYFUNCTION(" rows (filter (ZONE (B27, ""A2:I""), month (ZONE (B27, ""A2:A"")) = A27 + (2017 - B27) * 12, ZONE (B27, ""A2:A"") &lt;&gt; """", ZONE (B27, ""F2:F"") &gt; 0))"),18.0)</f>
        <v>18</v>
      </c>
      <c r="E27" s="39">
        <v>0.0</v>
      </c>
    </row>
    <row r="28" ht="12.75" customHeight="1">
      <c r="A28" s="36">
        <f t="shared" si="1"/>
        <v>27</v>
      </c>
      <c r="B28" s="40">
        <f t="shared" si="2"/>
        <v>2019</v>
      </c>
      <c r="C28" s="40" t="str">
        <f t="shared" si="3"/>
        <v>Mars</v>
      </c>
      <c r="D28" s="40">
        <f>IFERROR(__xludf.DUMMYFUNCTION(" rows (filter (ZONE (B28, ""A2:I""), month (ZONE (B28, ""A2:A"")) = A28 + (2017 - B28) * 12, ZONE (B28, ""A2:A"") &lt;&gt; """", ZONE (B28, ""F2:F"") &gt; 0))"),14.0)</f>
        <v>14</v>
      </c>
      <c r="E28" s="39">
        <v>21.0</v>
      </c>
    </row>
    <row r="29" ht="12.75" customHeight="1">
      <c r="A29" s="36">
        <f t="shared" si="1"/>
        <v>28</v>
      </c>
      <c r="B29" s="40">
        <f t="shared" si="2"/>
        <v>2019</v>
      </c>
      <c r="C29" s="40" t="str">
        <f t="shared" si="3"/>
        <v>Avril</v>
      </c>
      <c r="D29" s="40">
        <f>IFERROR(__xludf.DUMMYFUNCTION(" rows (filter (ZONE (B29, ""A2:I""), month (ZONE (B29, ""A2:A"")) = A29 + (2017 - B29) * 12, ZONE (B29, ""A2:A"") &lt;&gt; """", ZONE (B29, ""F2:F"") &gt; 0))"),21.0)</f>
        <v>21</v>
      </c>
      <c r="E29" s="39">
        <v>0.0</v>
      </c>
    </row>
    <row r="30" ht="12.75" customHeight="1">
      <c r="A30" s="36">
        <f t="shared" si="1"/>
        <v>29</v>
      </c>
      <c r="B30" s="40">
        <f t="shared" si="2"/>
        <v>2019</v>
      </c>
      <c r="C30" s="40" t="str">
        <f t="shared" si="3"/>
        <v>Mai</v>
      </c>
      <c r="D30" s="40">
        <f>IFERROR(__xludf.DUMMYFUNCTION(" rows (filter (ZONE (B30, ""A2:I""), month (ZONE (B30, ""A2:A"")) = A30 + (2017 - B30) * 12, ZONE (B30, ""A2:A"") &lt;&gt; """", ZONE (B30, ""F2:F"") &gt; 0))"),19.0)</f>
        <v>19</v>
      </c>
      <c r="E30" s="39">
        <v>0.0</v>
      </c>
    </row>
    <row r="31" ht="12.75" customHeight="1">
      <c r="A31" s="36">
        <f t="shared" si="1"/>
        <v>30</v>
      </c>
      <c r="B31" s="40">
        <f t="shared" si="2"/>
        <v>2019</v>
      </c>
      <c r="C31" s="40" t="str">
        <f t="shared" si="3"/>
        <v>Juin</v>
      </c>
      <c r="D31" s="40">
        <f>IFERROR(__xludf.DUMMYFUNCTION(" rows (filter (ZONE (B31, ""A2:I""), month (ZONE (B31, ""A2:A"")) = A31 + (2017 - B31) * 12, ZONE (B31, ""A2:A"") &lt;&gt; """", ZONE (B31, ""F2:F"") &gt; 0))"),12.0)</f>
        <v>12</v>
      </c>
      <c r="E31" s="39">
        <v>0.0</v>
      </c>
    </row>
    <row r="32" ht="12.75" customHeight="1">
      <c r="A32" s="36">
        <f t="shared" si="1"/>
        <v>31</v>
      </c>
      <c r="B32" s="40">
        <f t="shared" si="2"/>
        <v>2019</v>
      </c>
      <c r="C32" s="40" t="str">
        <f t="shared" si="3"/>
        <v>Juillet</v>
      </c>
      <c r="D32" s="40">
        <f>IFERROR(__xludf.DUMMYFUNCTION(" rows (filter (ZONE (B32, ""A2:I""), month (ZONE (B32, ""A2:A"")) = A32 + (2017 - B32) * 12, ZONE (B32, ""A2:A"") &lt;&gt; """", ZONE (B32, ""F2:F"") &gt; 0))"),22.0)</f>
        <v>22</v>
      </c>
      <c r="E32" s="39">
        <v>0.0</v>
      </c>
    </row>
    <row r="33" ht="12.75" customHeight="1">
      <c r="A33" s="36">
        <f t="shared" si="1"/>
        <v>32</v>
      </c>
      <c r="B33" s="40">
        <f t="shared" si="2"/>
        <v>2019</v>
      </c>
      <c r="C33" s="40" t="str">
        <f t="shared" si="3"/>
        <v>Aout</v>
      </c>
      <c r="D33" s="40">
        <f>IFERROR(__xludf.DUMMYFUNCTION(" rows (filter (ZONE (B33, ""A2:I""), month (ZONE (B33, ""A2:A"")) = A33 + (2017 - B33) * 12, ZONE (B33, ""A2:A"") &lt;&gt; """", ZONE (B33, ""F2:F"") &gt; 0))"),7.0)</f>
        <v>7</v>
      </c>
      <c r="E33" s="39">
        <v>0.0</v>
      </c>
    </row>
    <row r="34" ht="12.75" customHeight="1">
      <c r="A34" s="36">
        <f t="shared" si="1"/>
        <v>33</v>
      </c>
      <c r="B34" s="40">
        <f t="shared" si="2"/>
        <v>2019</v>
      </c>
      <c r="C34" s="40" t="str">
        <f t="shared" si="3"/>
        <v>Septembre</v>
      </c>
      <c r="D34" s="40">
        <f>IFERROR(__xludf.DUMMYFUNCTION(" rows (filter (ZONE (B34, ""A2:I""), month (ZONE (B34, ""A2:A"")) = A34 + (2017 - B34) * 12, ZONE (B34, ""A2:A"") &lt;&gt; """", ZONE (B34, ""F2:F"") &gt; 0))"),21.0)</f>
        <v>21</v>
      </c>
      <c r="E34" s="39">
        <v>0.0</v>
      </c>
    </row>
    <row r="35" ht="12.75" customHeight="1">
      <c r="A35" s="36">
        <f t="shared" si="1"/>
        <v>34</v>
      </c>
      <c r="B35" s="40">
        <f t="shared" si="2"/>
        <v>2019</v>
      </c>
      <c r="C35" s="40" t="str">
        <f t="shared" si="3"/>
        <v>Octobre</v>
      </c>
      <c r="D35" s="40">
        <f>IFERROR(__xludf.DUMMYFUNCTION(" rows (filter (ZONE (B35, ""A2:I""), month (ZONE (B35, ""A2:A"")) = A35 + (2017 - B35) * 12, ZONE (B35, ""A2:A"") &lt;&gt; """", ZONE (B35, ""F2:F"") &gt; 0))"),22.0)</f>
        <v>22</v>
      </c>
      <c r="E35" s="39">
        <v>0.0</v>
      </c>
    </row>
    <row r="36" ht="12.75" customHeight="1">
      <c r="A36" s="36">
        <f t="shared" si="1"/>
        <v>35</v>
      </c>
      <c r="B36" s="40">
        <f t="shared" si="2"/>
        <v>2019</v>
      </c>
      <c r="C36" s="40" t="str">
        <f t="shared" si="3"/>
        <v>Novembre</v>
      </c>
      <c r="D36" s="40">
        <f>IFERROR(__xludf.DUMMYFUNCTION(" rows (filter (ZONE (B36, ""A2:I""), month (ZONE (B36, ""A2:A"")) = A36 + (2017 - B36) * 12, ZONE (B36, ""A2:A"") &lt;&gt; """", ZONE (B36, ""F2:F"") &gt; 0))"),18.0)</f>
        <v>18</v>
      </c>
      <c r="E36" s="39">
        <v>0.0</v>
      </c>
    </row>
    <row r="37" ht="12.75" customHeight="1">
      <c r="A37" s="36">
        <f t="shared" si="1"/>
        <v>36</v>
      </c>
      <c r="B37" s="40">
        <f t="shared" si="2"/>
        <v>2019</v>
      </c>
      <c r="C37" s="40" t="str">
        <f t="shared" si="3"/>
        <v>Décembre</v>
      </c>
      <c r="D37" s="40">
        <f>IFERROR(__xludf.DUMMYFUNCTION(" rows (filter (ZONE (B37, ""A2:I""), month (ZONE (B37, ""A2:A"")) = A37 + (2017 - B37) * 12, ZONE (B37, ""A2:A"") &lt;&gt; """", ZONE (B37, ""F2:F"") &gt; 0))"),12.0)</f>
        <v>12</v>
      </c>
      <c r="E37" s="39">
        <v>0.0</v>
      </c>
    </row>
    <row r="38" ht="12.75" customHeight="1">
      <c r="A38" s="36">
        <f t="shared" si="1"/>
        <v>37</v>
      </c>
      <c r="B38" s="40">
        <f t="shared" si="2"/>
        <v>2020</v>
      </c>
      <c r="C38" s="40" t="str">
        <f t="shared" si="3"/>
        <v>Janvier</v>
      </c>
      <c r="D38" s="40">
        <f>IFERROR(__xludf.DUMMYFUNCTION(" rows (filter (ZONE (B38, ""A2:I""), month (ZONE (B38, ""A2:A"")) = A38 + (2017 - B38) * 12, ZONE (B38, ""A2:A"") &lt;&gt; """", ZONE (B38, ""F2:F"") &gt; 0))"),20.0)</f>
        <v>20</v>
      </c>
      <c r="E38" s="39">
        <v>0.0</v>
      </c>
    </row>
    <row r="39" ht="12.75" customHeight="1">
      <c r="A39" s="36">
        <f t="shared" si="1"/>
        <v>38</v>
      </c>
      <c r="B39" s="40">
        <f t="shared" si="2"/>
        <v>2020</v>
      </c>
      <c r="C39" s="40" t="str">
        <f t="shared" si="3"/>
        <v>Février</v>
      </c>
      <c r="D39" s="40">
        <f>IFERROR(__xludf.DUMMYFUNCTION(" rows (filter (ZONE (B39, ""A2:I""), month (ZONE (B39, ""A2:A"")) = A39 + (2017 - B39) * 12, ZONE (B39, ""A2:A"") &lt;&gt; """", ZONE (B39, ""F2:F"") &gt; 0))"),20.0)</f>
        <v>20</v>
      </c>
      <c r="E39" s="39">
        <v>0.0</v>
      </c>
    </row>
    <row r="40" ht="12.75" customHeight="1">
      <c r="A40" s="36">
        <f t="shared" si="1"/>
        <v>39</v>
      </c>
      <c r="B40" s="40">
        <f t="shared" si="2"/>
        <v>2020</v>
      </c>
      <c r="C40" s="40" t="str">
        <f t="shared" si="3"/>
        <v>Mars</v>
      </c>
      <c r="D40" s="40">
        <f>IFERROR(__xludf.DUMMYFUNCTION(" rows (filter (ZONE (B40, ""A2:I""), month (ZONE (B40, ""A2:A"")) = A40 + (2017 - B40) * 12, ZONE (B40, ""A2:A"") &lt;&gt; """", ZONE (B40, ""F2:F"") &gt; 0))"),13.0)</f>
        <v>13</v>
      </c>
      <c r="E40" s="39">
        <v>0.0</v>
      </c>
    </row>
    <row r="41" ht="12.75" customHeight="1">
      <c r="A41" s="36">
        <f t="shared" si="1"/>
        <v>40</v>
      </c>
      <c r="B41" s="40">
        <f t="shared" si="2"/>
        <v>2020</v>
      </c>
      <c r="C41" s="40" t="str">
        <f t="shared" si="3"/>
        <v>Avril</v>
      </c>
      <c r="D41" s="40">
        <f>IFERROR(__xludf.DUMMYFUNCTION(" rows (filter (ZONE (B41, ""A2:I""), month (ZONE (B41, ""A2:A"")) = A41 + (2017 - B41) * 12, ZONE (B41, ""A2:A"") &lt;&gt; """", ZONE (B41, ""F2:F"") &gt; 0))"),14.0)</f>
        <v>14</v>
      </c>
      <c r="E41" s="39">
        <v>0.0</v>
      </c>
    </row>
    <row r="42" ht="12.75" customHeight="1">
      <c r="A42" s="36">
        <f t="shared" si="1"/>
        <v>41</v>
      </c>
      <c r="B42" s="40">
        <f t="shared" si="2"/>
        <v>2020</v>
      </c>
      <c r="C42" s="40" t="str">
        <f t="shared" si="3"/>
        <v>Mai</v>
      </c>
      <c r="D42" s="40">
        <f>IFERROR(__xludf.DUMMYFUNCTION(" rows (filter (ZONE (B42, ""A2:I""), month (ZONE (B42, ""A2:A"")) = A42 + (2017 - B42) * 12, ZONE (B42, ""A2:A"") &lt;&gt; """", ZONE (B42, ""F2:F"") &gt; 0))"),18.0)</f>
        <v>18</v>
      </c>
      <c r="E42" s="39">
        <v>0.0</v>
      </c>
    </row>
    <row r="43" ht="12.75" customHeight="1">
      <c r="A43" s="36">
        <f t="shared" si="1"/>
        <v>42</v>
      </c>
      <c r="B43" s="40">
        <f t="shared" si="2"/>
        <v>2020</v>
      </c>
      <c r="C43" s="40" t="str">
        <f t="shared" si="3"/>
        <v>Juin</v>
      </c>
      <c r="D43" s="40">
        <f>IFERROR(__xludf.DUMMYFUNCTION(" rows (filter (ZONE (B43, ""A2:I""), month (ZONE (B43, ""A2:A"")) = A43 + (2017 - B43) * 12, ZONE (B43, ""A2:A"") &lt;&gt; """", ZONE (B43, ""F2:F"") &gt; 0))"),21.0)</f>
        <v>21</v>
      </c>
      <c r="E43" s="39">
        <v>0.0</v>
      </c>
    </row>
    <row r="44" ht="12.75" customHeight="1">
      <c r="A44" s="36">
        <f t="shared" si="1"/>
        <v>43</v>
      </c>
      <c r="B44" s="40">
        <f t="shared" si="2"/>
        <v>2020</v>
      </c>
      <c r="C44" s="40" t="str">
        <f t="shared" si="3"/>
        <v>Juillet</v>
      </c>
      <c r="D44" s="40">
        <f>IFERROR(__xludf.DUMMYFUNCTION(" rows (filter (ZONE (B44, ""A2:I""), month (ZONE (B44, ""A2:A"")) = A44 + (2017 - B44) * 12, ZONE (B44, ""A2:A"") &lt;&gt; """", ZONE (B44, ""F2:F"") &gt; 0))"),21.0)</f>
        <v>21</v>
      </c>
      <c r="E44" s="39">
        <v>0.0</v>
      </c>
    </row>
    <row r="45" ht="12.75" customHeight="1">
      <c r="A45" s="36">
        <f t="shared" si="1"/>
        <v>44</v>
      </c>
      <c r="B45" s="40">
        <f t="shared" si="2"/>
        <v>2020</v>
      </c>
      <c r="C45" s="40" t="str">
        <f t="shared" si="3"/>
        <v>Aout</v>
      </c>
      <c r="D45" s="40">
        <f>IFERROR(__xludf.DUMMYFUNCTION(" rows (filter (ZONE (B45, ""A2:I""), month (ZONE (B45, ""A2:A"")) = A45 + (2017 - B45) * 12, ZONE (B45, ""A2:A"") &lt;&gt; """", ZONE (B45, ""F2:F"") &gt; 0))"),11.0)</f>
        <v>11</v>
      </c>
      <c r="E45" s="39">
        <v>0.0</v>
      </c>
    </row>
    <row r="46" ht="12.75" customHeight="1">
      <c r="A46" s="36">
        <f t="shared" si="1"/>
        <v>45</v>
      </c>
      <c r="B46" s="40">
        <f t="shared" si="2"/>
        <v>2020</v>
      </c>
      <c r="C46" s="40" t="str">
        <f t="shared" si="3"/>
        <v>Septembre</v>
      </c>
      <c r="D46" s="40">
        <f>IFERROR(__xludf.DUMMYFUNCTION(" rows (filter (ZONE (B46, ""A2:I""), month (ZONE (B46, ""A2:A"")) = A46 + (2017 - B46) * 12, ZONE (B46, ""A2:A"") &lt;&gt; """", ZONE (B46, ""F2:F"") &gt; 0))"),21.0)</f>
        <v>21</v>
      </c>
      <c r="E46" s="39">
        <v>0.0</v>
      </c>
    </row>
    <row r="47" ht="12.75" customHeight="1">
      <c r="A47" s="36">
        <f t="shared" si="1"/>
        <v>46</v>
      </c>
      <c r="B47" s="40">
        <f t="shared" si="2"/>
        <v>2020</v>
      </c>
      <c r="C47" s="40" t="str">
        <f t="shared" si="3"/>
        <v>Octobre</v>
      </c>
      <c r="D47" s="40">
        <f>IFERROR(__xludf.DUMMYFUNCTION(" rows (filter (ZONE (B47, ""A2:I""), month (ZONE (B47, ""A2:A"")) = A47 + (2017 - B47) * 12, ZONE (B47, ""A2:A"") &lt;&gt; """", ZONE (B47, ""F2:F"") &gt; 0))"),19.0)</f>
        <v>19</v>
      </c>
      <c r="E47" s="39">
        <v>0.0</v>
      </c>
    </row>
    <row r="48" ht="12.75" customHeight="1">
      <c r="A48" s="36">
        <f t="shared" si="1"/>
        <v>47</v>
      </c>
      <c r="B48" s="40">
        <f t="shared" si="2"/>
        <v>2020</v>
      </c>
      <c r="C48" s="40" t="str">
        <f t="shared" si="3"/>
        <v>Novembre</v>
      </c>
      <c r="D48" s="40">
        <f>IFERROR(__xludf.DUMMYFUNCTION(" rows (filter (ZONE (B48, ""A2:I""), month (ZONE (B48, ""A2:A"")) = A48 + (2017 - B48) * 12, ZONE (B48, ""A2:A"") &lt;&gt; """", ZONE (B48, ""F2:F"") &gt; 0))"),19.0)</f>
        <v>19</v>
      </c>
      <c r="E48" s="39">
        <v>0.0</v>
      </c>
    </row>
    <row r="49" ht="12.75" customHeight="1">
      <c r="A49" s="36">
        <f t="shared" si="1"/>
        <v>48</v>
      </c>
      <c r="B49" s="40">
        <f t="shared" si="2"/>
        <v>2020</v>
      </c>
      <c r="C49" s="40" t="str">
        <f t="shared" si="3"/>
        <v>Décembre</v>
      </c>
      <c r="D49" s="40">
        <f>IFERROR(__xludf.DUMMYFUNCTION(" rows (filter (ZONE (B49, ""A2:I""), month (ZONE (B49, ""A2:A"")) = A49 + (2017 - B49) * 12, ZONE (B49, ""A2:A"") &lt;&gt; """", ZONE (B49, ""F2:F"") &gt; 0))"),16.0)</f>
        <v>16</v>
      </c>
      <c r="E49" s="39">
        <v>0.0</v>
      </c>
    </row>
    <row r="50" ht="12.75" customHeight="1">
      <c r="A50" s="36">
        <f t="shared" si="1"/>
        <v>49</v>
      </c>
      <c r="B50" s="40">
        <f t="shared" si="2"/>
        <v>2021</v>
      </c>
      <c r="C50" s="40" t="str">
        <f t="shared" si="3"/>
        <v>Janvier</v>
      </c>
      <c r="D50" s="40">
        <f>IFERROR(__xludf.DUMMYFUNCTION(" rows (filter (ZONE (B50, ""A2:I""), month (ZONE (B50, ""A2:A"")) = A50 + (2017 - B50) * 12, ZONE (B50, ""A2:A"") &lt;&gt; """", ZONE (B50, ""F2:F"") &gt; 0))"),20.0)</f>
        <v>20</v>
      </c>
      <c r="E50" s="39">
        <v>0.0</v>
      </c>
    </row>
    <row r="51" ht="12.75" customHeight="1">
      <c r="A51" s="36">
        <f t="shared" si="1"/>
        <v>50</v>
      </c>
      <c r="B51" s="40">
        <f t="shared" si="2"/>
        <v>2021</v>
      </c>
      <c r="C51" s="40" t="str">
        <f t="shared" si="3"/>
        <v>Février</v>
      </c>
      <c r="D51" s="40">
        <f>IFERROR(__xludf.DUMMYFUNCTION(" rows (filter (ZONE (B51, ""A2:I""), month (ZONE (B51, ""A2:A"")) = A51 + (2017 - B51) * 12, ZONE (B51, ""A2:A"") &lt;&gt; """", ZONE (B51, ""F2:F"") &gt; 0))"),20.0)</f>
        <v>20</v>
      </c>
      <c r="E51" s="39">
        <v>0.0</v>
      </c>
    </row>
    <row r="52" ht="12.75" customHeight="1">
      <c r="A52" s="36">
        <f t="shared" si="1"/>
        <v>51</v>
      </c>
      <c r="B52" s="40">
        <f t="shared" si="2"/>
        <v>2021</v>
      </c>
      <c r="C52" s="40" t="str">
        <f t="shared" si="3"/>
        <v>Mars</v>
      </c>
      <c r="D52" s="40">
        <f>IFERROR(__xludf.DUMMYFUNCTION(" rows (filter (ZONE (B52, ""A2:I""), month (ZONE (B52, ""A2:A"")) = A52 + (2017 - B52) * 12, ZONE (B52, ""A2:A"") &lt;&gt; """", ZONE (B52, ""F2:F"") &gt; 0))"),23.0)</f>
        <v>23</v>
      </c>
      <c r="E52" s="39">
        <v>0.0</v>
      </c>
    </row>
    <row r="53" ht="12.75" customHeight="1">
      <c r="A53" s="36">
        <f t="shared" si="1"/>
        <v>52</v>
      </c>
      <c r="B53" s="40">
        <f t="shared" si="2"/>
        <v>2021</v>
      </c>
      <c r="C53" s="40" t="str">
        <f t="shared" si="3"/>
        <v>Avril</v>
      </c>
      <c r="D53" s="40">
        <f>IFERROR(__xludf.DUMMYFUNCTION(" rows (filter (ZONE (B53, ""A2:I""), month (ZONE (B53, ""A2:A"")) = A53 + (2017 - B53) * 12, ZONE (B53, ""A2:A"") &lt;&gt; """", ZONE (B53, ""F2:F"") &gt; 0))"),21.0)</f>
        <v>21</v>
      </c>
      <c r="E53" s="39">
        <v>0.0</v>
      </c>
    </row>
    <row r="54" ht="12.75" customHeight="1">
      <c r="A54" s="36">
        <f t="shared" si="1"/>
        <v>53</v>
      </c>
      <c r="B54" s="40">
        <f t="shared" si="2"/>
        <v>2021</v>
      </c>
      <c r="C54" s="40" t="str">
        <f t="shared" si="3"/>
        <v>Mai</v>
      </c>
      <c r="D54" s="40">
        <f>IFERROR(__xludf.DUMMYFUNCTION(" rows (filter (ZONE (B54, ""A2:I""), month (ZONE (B54, ""A2:A"")) = A54 + (2017 - B54) * 12, ZONE (B54, ""A2:A"") &lt;&gt; """", ZONE (B54, ""F2:F"") &gt; 0))"),18.0)</f>
        <v>18</v>
      </c>
      <c r="E54" s="39">
        <v>0.0</v>
      </c>
    </row>
    <row r="55" ht="12.75" customHeight="1">
      <c r="A55" s="36">
        <f t="shared" si="1"/>
        <v>54</v>
      </c>
      <c r="B55" s="40">
        <f t="shared" si="2"/>
        <v>2021</v>
      </c>
      <c r="C55" s="40" t="str">
        <f t="shared" si="3"/>
        <v>Juin</v>
      </c>
      <c r="D55" s="40">
        <f>IFERROR(__xludf.DUMMYFUNCTION(" rows (filter (ZONE (B55, ""A2:I""), month (ZONE (B55, ""A2:A"")) = A55 + (2017 - B55) * 12, ZONE (B55, ""A2:A"") &lt;&gt; """", ZONE (B55, ""F2:F"") &gt; 0))"),22.0)</f>
        <v>22</v>
      </c>
      <c r="E55" s="39">
        <v>0.0</v>
      </c>
    </row>
    <row r="56" ht="12.75" customHeight="1">
      <c r="A56" s="36">
        <f t="shared" si="1"/>
        <v>55</v>
      </c>
      <c r="B56" s="40">
        <f t="shared" si="2"/>
        <v>2021</v>
      </c>
      <c r="C56" s="40" t="str">
        <f t="shared" si="3"/>
        <v>Juillet</v>
      </c>
      <c r="D56" s="40">
        <f>IFERROR(__xludf.DUMMYFUNCTION(" rows (filter (ZONE (B56, ""A2:I""), month (ZONE (B56, ""A2:A"")) = A56 + (2017 - B56) * 12, ZONE (B56, ""A2:A"") &lt;&gt; """", ZONE (B56, ""F2:F"") &gt; 0))"),18.0)</f>
        <v>18</v>
      </c>
      <c r="E56" s="39">
        <v>0.0</v>
      </c>
    </row>
    <row r="57" ht="12.75" customHeight="1">
      <c r="A57" s="36">
        <f t="shared" si="1"/>
        <v>56</v>
      </c>
      <c r="B57" s="40">
        <f t="shared" si="2"/>
        <v>2021</v>
      </c>
      <c r="C57" s="40" t="str">
        <f t="shared" si="3"/>
        <v>Aout</v>
      </c>
      <c r="D57" s="40">
        <f>IFERROR(__xludf.DUMMYFUNCTION(" rows (filter (ZONE (B57, ""A2:I""), month (ZONE (B57, ""A2:A"")) = A57 + (2017 - B57) * 12, ZONE (B57, ""A2:A"") &lt;&gt; """", ZONE (B57, ""F2:F"") &gt; 0))"),12.0)</f>
        <v>12</v>
      </c>
      <c r="E57" s="39">
        <v>0.0</v>
      </c>
    </row>
    <row r="58" ht="12.75" customHeight="1">
      <c r="A58" s="36">
        <f t="shared" si="1"/>
        <v>57</v>
      </c>
      <c r="B58" s="40">
        <f t="shared" si="2"/>
        <v>2021</v>
      </c>
      <c r="C58" s="40" t="str">
        <f t="shared" si="3"/>
        <v>Septembre</v>
      </c>
      <c r="D58" s="40">
        <f>IFERROR(__xludf.DUMMYFUNCTION(" rows (filter (ZONE (B58, ""A2:I""), month (ZONE (B58, ""A2:A"")) = A58 + (2017 - B58) * 12, ZONE (B58, ""A2:A"") &lt;&gt; """", ZONE (B58, ""F2:F"") &gt; 0))"),21.0)</f>
        <v>21</v>
      </c>
      <c r="E58" s="39">
        <v>0.0</v>
      </c>
    </row>
    <row r="59" ht="12.75" customHeight="1">
      <c r="A59" s="36">
        <f t="shared" si="1"/>
        <v>58</v>
      </c>
      <c r="B59" s="40">
        <f t="shared" si="2"/>
        <v>2021</v>
      </c>
      <c r="C59" s="40" t="str">
        <f t="shared" si="3"/>
        <v>Octobre</v>
      </c>
      <c r="D59" s="40">
        <f>IFERROR(__xludf.DUMMYFUNCTION(" rows (filter (ZONE (B59, ""A2:I""), month (ZONE (B59, ""A2:A"")) = A59 + (2017 - B59) * 12, ZONE (B59, ""A2:A"") &lt;&gt; """", ZONE (B59, ""F2:F"") &gt; 0))"),21.0)</f>
        <v>21</v>
      </c>
      <c r="E59" s="39">
        <v>0.0</v>
      </c>
    </row>
    <row r="60" ht="12.75" customHeight="1">
      <c r="A60" s="36">
        <f t="shared" si="1"/>
        <v>59</v>
      </c>
      <c r="B60" s="40">
        <f t="shared" si="2"/>
        <v>2021</v>
      </c>
      <c r="C60" s="40" t="str">
        <f t="shared" si="3"/>
        <v>Novembre</v>
      </c>
      <c r="D60" s="40">
        <f>IFERROR(__xludf.DUMMYFUNCTION(" rows (filter (ZONE (B60, ""A2:I""), month (ZONE (B60, ""A2:A"")) = A60 + (2017 - B60) * 12, ZONE (B60, ""A2:A"") &lt;&gt; """", ZONE (B60, ""F2:F"") &gt; 0))"),19.0)</f>
        <v>19</v>
      </c>
      <c r="E60" s="39">
        <v>0.0</v>
      </c>
    </row>
    <row r="61" ht="12.75" customHeight="1">
      <c r="A61" s="36">
        <f t="shared" si="1"/>
        <v>60</v>
      </c>
      <c r="B61" s="40">
        <f t="shared" si="2"/>
        <v>2021</v>
      </c>
      <c r="C61" s="40" t="str">
        <f t="shared" si="3"/>
        <v>Décembre</v>
      </c>
      <c r="D61" s="40">
        <f>IFERROR(__xludf.DUMMYFUNCTION(" rows (filter (ZONE (B61, ""A2:I""), month (ZONE (B61, ""A2:A"")) = A61 + (2017 - B61) * 12, ZONE (B61, ""A2:A"") &lt;&gt; """", ZONE (B61, ""F2:F"") &gt; 0))"),13.0)</f>
        <v>13</v>
      </c>
      <c r="E61" s="39">
        <v>0.0</v>
      </c>
    </row>
    <row r="62" ht="12.75" customHeight="1">
      <c r="A62" s="36">
        <f t="shared" si="1"/>
        <v>61</v>
      </c>
      <c r="B62" s="40">
        <f t="shared" si="2"/>
        <v>2022</v>
      </c>
      <c r="C62" s="40" t="str">
        <f t="shared" si="3"/>
        <v>Janvier</v>
      </c>
      <c r="D62" s="40">
        <f>IFERROR(__xludf.DUMMYFUNCTION(" rows (filter (ZONE (B62, ""A2:I""), month (ZONE (B62, ""A2:A"")) = A62 + (2017 - B62) * 12, ZONE (B62, ""A2:A"") &lt;&gt; """", ZONE (B62, ""F2:F"") &gt; 0))"),18.0)</f>
        <v>18</v>
      </c>
      <c r="E62" s="39">
        <v>0.0</v>
      </c>
    </row>
    <row r="63" ht="12.75" customHeight="1">
      <c r="A63" s="36">
        <f t="shared" si="1"/>
        <v>62</v>
      </c>
      <c r="B63" s="40">
        <f t="shared" si="2"/>
        <v>2022</v>
      </c>
      <c r="C63" s="40" t="str">
        <f t="shared" si="3"/>
        <v>Février</v>
      </c>
      <c r="D63" s="40">
        <f>IFERROR(__xludf.DUMMYFUNCTION(" rows (filter (ZONE (B63, ""A2:I""), month (ZONE (B63, ""A2:A"")) = A63 + (2017 - B63) * 12, ZONE (B63, ""A2:A"") &lt;&gt; """", ZONE (B63, ""F2:F"") &gt; 0))"),19.0)</f>
        <v>19</v>
      </c>
      <c r="E63" s="39">
        <v>0.0</v>
      </c>
    </row>
    <row r="64" ht="12.75" customHeight="1">
      <c r="A64" s="36">
        <f t="shared" si="1"/>
        <v>63</v>
      </c>
      <c r="B64" s="40">
        <f t="shared" si="2"/>
        <v>2022</v>
      </c>
      <c r="C64" s="40" t="str">
        <f t="shared" si="3"/>
        <v>Mars</v>
      </c>
      <c r="D64" s="40">
        <f>IFERROR(__xludf.DUMMYFUNCTION(" rows (filter (ZONE (B64, ""A2:I""), month (ZONE (B64, ""A2:A"")) = A64 + (2017 - B64) * 12, ZONE (B64, ""A2:A"") &lt;&gt; """", ZONE (B64, ""F2:F"") &gt; 0))"),19.0)</f>
        <v>19</v>
      </c>
      <c r="E64" s="39">
        <v>0.0</v>
      </c>
    </row>
    <row r="65" ht="12.75" customHeight="1">
      <c r="A65" s="36">
        <f t="shared" si="1"/>
        <v>64</v>
      </c>
      <c r="B65" s="40">
        <f t="shared" si="2"/>
        <v>2022</v>
      </c>
      <c r="C65" s="40" t="str">
        <f t="shared" si="3"/>
        <v>Avril</v>
      </c>
      <c r="D65" s="40">
        <f>IFERROR(__xludf.DUMMYFUNCTION(" rows (filter (ZONE (B65, ""A2:I""), month (ZONE (B65, ""A2:A"")) = A65 + (2017 - B65) * 12, ZONE (B65, ""A2:A"") &lt;&gt; """", ZONE (B65, ""F2:F"") &gt; 0))"),20.0)</f>
        <v>20</v>
      </c>
      <c r="E65" s="39">
        <v>0.0</v>
      </c>
    </row>
    <row r="66" ht="12.75" customHeight="1">
      <c r="A66" s="36">
        <f t="shared" si="1"/>
        <v>65</v>
      </c>
      <c r="B66" s="40">
        <f t="shared" si="2"/>
        <v>2022</v>
      </c>
      <c r="C66" s="40" t="str">
        <f t="shared" si="3"/>
        <v>Mai</v>
      </c>
      <c r="D66" s="40">
        <f>IFERROR(__xludf.DUMMYFUNCTION(" rows (filter (ZONE (B66, ""A2:I""), month (ZONE (B66, ""A2:A"")) = A66 + (2017 - B66) * 12, ZONE (B66, ""A2:A"") &lt;&gt; """", ZONE (B66, ""F2:F"") &gt; 0))"),17.0)</f>
        <v>17</v>
      </c>
      <c r="E66" s="39">
        <v>0.0</v>
      </c>
    </row>
    <row r="67" ht="12.75" customHeight="1">
      <c r="A67" s="36">
        <f t="shared" si="1"/>
        <v>66</v>
      </c>
      <c r="B67" s="40">
        <f t="shared" si="2"/>
        <v>2022</v>
      </c>
      <c r="C67" s="40" t="str">
        <f t="shared" si="3"/>
        <v>Juin</v>
      </c>
      <c r="D67" s="40">
        <f>IFERROR(__xludf.DUMMYFUNCTION(" rows (filter (ZONE (B67, ""A2:I""), month (ZONE (B67, ""A2:A"")) = A67 + (2017 - B67) * 12, ZONE (B67, ""A2:A"") &lt;&gt; """", ZONE (B67, ""F2:F"") &gt; 0))"),17.0)</f>
        <v>17</v>
      </c>
      <c r="E67" s="39">
        <v>0.0</v>
      </c>
    </row>
    <row r="68" ht="12.75" customHeight="1">
      <c r="A68" s="36">
        <f t="shared" si="1"/>
        <v>67</v>
      </c>
      <c r="B68" s="40">
        <f t="shared" si="2"/>
        <v>2022</v>
      </c>
      <c r="C68" s="40" t="str">
        <f t="shared" si="3"/>
        <v>Juillet</v>
      </c>
      <c r="D68" s="40">
        <f>IFERROR(__xludf.DUMMYFUNCTION(" rows (filter (ZONE (B68, ""A2:I""), month (ZONE (B68, ""A2:A"")) = A68 + (2017 - B68) * 12, ZONE (B68, ""A2:A"") &lt;&gt; """", ZONE (B68, ""F2:F"") &gt; 0))"),19.0)</f>
        <v>19</v>
      </c>
      <c r="E68" s="39">
        <v>0.0</v>
      </c>
    </row>
    <row r="69" ht="12.75" customHeight="1">
      <c r="A69" s="36">
        <f t="shared" si="1"/>
        <v>68</v>
      </c>
      <c r="B69" s="40">
        <f t="shared" si="2"/>
        <v>2022</v>
      </c>
      <c r="C69" s="40" t="str">
        <f t="shared" si="3"/>
        <v>Aout</v>
      </c>
      <c r="D69" s="40">
        <f>IFERROR(__xludf.DUMMYFUNCTION(" rows (filter (ZONE (B69, ""A2:I""), month (ZONE (B69, ""A2:A"")) = A69 + (2017 - B69) * 12, ZONE (B69, ""A2:A"") &lt;&gt; """", ZONE (B69, ""F2:F"") &gt; 0))"),7.0)</f>
        <v>7</v>
      </c>
      <c r="E69" s="39">
        <v>0.0</v>
      </c>
    </row>
    <row r="70" ht="12.75" customHeight="1">
      <c r="A70" s="36">
        <f t="shared" si="1"/>
        <v>69</v>
      </c>
      <c r="B70" s="40">
        <f t="shared" si="2"/>
        <v>2022</v>
      </c>
      <c r="C70" s="40" t="str">
        <f t="shared" si="3"/>
        <v>Septembre</v>
      </c>
      <c r="D70" s="40">
        <f>IFERROR(__xludf.DUMMYFUNCTION(" rows (filter (ZONE (B70, ""A2:I""), month (ZONE (B70, ""A2:A"")) = A70 + (2017 - B70) * 12, ZONE (B70, ""A2:A"") &lt;&gt; """", ZONE (B70, ""F2:F"") &gt; 0))"),22.0)</f>
        <v>22</v>
      </c>
      <c r="E70" s="39">
        <v>0.0</v>
      </c>
    </row>
    <row r="71" ht="12.75" customHeight="1">
      <c r="A71" s="36">
        <f t="shared" si="1"/>
        <v>70</v>
      </c>
      <c r="B71" s="40">
        <f t="shared" si="2"/>
        <v>2022</v>
      </c>
      <c r="C71" s="40" t="str">
        <f t="shared" si="3"/>
        <v>Octobre</v>
      </c>
      <c r="D71" s="40">
        <f>IFERROR(__xludf.DUMMYFUNCTION(" rows (filter (ZONE (B71, ""A2:I""), month (ZONE (B71, ""A2:A"")) = A71 + (2017 - B71) * 12, ZONE (B71, ""A2:A"") &lt;&gt; """", ZONE (B71, ""F2:F"") &gt; 0))"),20.0)</f>
        <v>20</v>
      </c>
      <c r="E71" s="39">
        <v>0.0</v>
      </c>
    </row>
    <row r="72" ht="12.75" customHeight="1">
      <c r="A72" s="36">
        <f t="shared" si="1"/>
        <v>71</v>
      </c>
      <c r="B72" s="40">
        <f t="shared" si="2"/>
        <v>2022</v>
      </c>
      <c r="C72" s="40" t="str">
        <f t="shared" si="3"/>
        <v>Novembre</v>
      </c>
      <c r="D72" s="40">
        <f>IFERROR(__xludf.DUMMYFUNCTION(" rows (filter (ZONE (B72, ""A2:I""), month (ZONE (B72, ""A2:A"")) = A72 + (2017 - B72) * 12, ZONE (B72, ""A2:A"") &lt;&gt; """", ZONE (B72, ""F2:F"") &gt; 0))"),20.0)</f>
        <v>20</v>
      </c>
      <c r="E72" s="39">
        <v>0.0</v>
      </c>
    </row>
    <row r="73" ht="12.75" customHeight="1">
      <c r="A73" s="36">
        <f t="shared" si="1"/>
        <v>72</v>
      </c>
      <c r="B73" s="40">
        <f t="shared" si="2"/>
        <v>2022</v>
      </c>
      <c r="C73" s="40" t="str">
        <f t="shared" si="3"/>
        <v>Décembre</v>
      </c>
      <c r="D73" s="40">
        <f>IFERROR(__xludf.DUMMYFUNCTION(" rows (filter (ZONE (B73, ""A2:I""), month (ZONE (B73, ""A2:A"")) = A73 + (2017 - B73) * 12, ZONE (B73, ""A2:A"") &lt;&gt; """", ZONE (B73, ""F2:F"") &gt; 0))"),15.0)</f>
        <v>15</v>
      </c>
      <c r="E73" s="39">
        <v>0.0</v>
      </c>
    </row>
    <row r="74" ht="12.75" customHeight="1">
      <c r="A74" s="36">
        <f t="shared" si="1"/>
        <v>73</v>
      </c>
      <c r="B74" s="40">
        <f t="shared" si="2"/>
        <v>2023</v>
      </c>
      <c r="C74" s="40" t="str">
        <f t="shared" si="3"/>
        <v>Janvier</v>
      </c>
      <c r="D74" s="40">
        <f>IFERROR(__xludf.DUMMYFUNCTION(" rows (filter (ZONE (B74, ""A2:I""), month (ZONE (B74, ""A2:A"")) = A74 + (2017 - B74) * 12, ZONE (B74, ""A2:A"") &lt;&gt; """", ZONE (B74, ""F2:F"") &gt; 0))"),18.0)</f>
        <v>18</v>
      </c>
      <c r="E74" s="39">
        <v>0.0</v>
      </c>
    </row>
    <row r="75" ht="12.75" customHeight="1">
      <c r="A75" s="36">
        <f t="shared" si="1"/>
        <v>74</v>
      </c>
      <c r="B75" s="40">
        <f t="shared" si="2"/>
        <v>2023</v>
      </c>
      <c r="C75" s="40" t="str">
        <f t="shared" si="3"/>
        <v>Février</v>
      </c>
      <c r="D75" s="40">
        <f>IFERROR(__xludf.DUMMYFUNCTION(" rows (filter (ZONE (B75, ""A2:I""), month (ZONE (B75, ""A2:A"")) = A75 + (2017 - B75) * 12, ZONE (B75, ""A2:A"") &lt;&gt; """", ZONE (B75, ""F2:F"") &gt; 0))"),19.0)</f>
        <v>19</v>
      </c>
      <c r="E75" s="39">
        <v>0.0</v>
      </c>
    </row>
    <row r="76" ht="12.75" customHeight="1">
      <c r="A76" s="36">
        <f t="shared" si="1"/>
        <v>75</v>
      </c>
      <c r="B76" s="40">
        <f t="shared" si="2"/>
        <v>2023</v>
      </c>
      <c r="C76" s="40" t="str">
        <f t="shared" si="3"/>
        <v>Mars</v>
      </c>
      <c r="D76" s="40">
        <f>IFERROR(__xludf.DUMMYFUNCTION(" rows (filter (ZONE (B76, ""A2:I""), month (ZONE (B76, ""A2:A"")) = A76 + (2017 - B76) * 12, ZONE (B76, ""A2:A"") &lt;&gt; """", ZONE (B76, ""F2:F"") &gt; 0))"),23.0)</f>
        <v>23</v>
      </c>
      <c r="E76" s="39">
        <v>0.0</v>
      </c>
    </row>
    <row r="77" ht="12.75" customHeight="1">
      <c r="A77" s="36">
        <f t="shared" si="1"/>
        <v>76</v>
      </c>
      <c r="B77" s="40">
        <f t="shared" si="2"/>
        <v>2023</v>
      </c>
      <c r="C77" s="40" t="str">
        <f t="shared" si="3"/>
        <v>Avril</v>
      </c>
      <c r="D77" s="40">
        <f>IFERROR(__xludf.DUMMYFUNCTION(" rows (filter (ZONE (B77, ""A2:I""), month (ZONE (B77, ""A2:A"")) = A77 + (2017 - B77) * 12, ZONE (B77, ""A2:A"") &lt;&gt; """", ZONE (B77, ""F2:F"") &gt; 0))"),17.0)</f>
        <v>17</v>
      </c>
      <c r="E77" s="39">
        <v>0.0</v>
      </c>
    </row>
    <row r="78" ht="12.75" customHeight="1">
      <c r="A78" s="36">
        <f t="shared" si="1"/>
        <v>77</v>
      </c>
      <c r="B78" s="40">
        <f t="shared" si="2"/>
        <v>2023</v>
      </c>
      <c r="C78" s="40" t="str">
        <f t="shared" si="3"/>
        <v>Mai</v>
      </c>
      <c r="D78" s="40">
        <f>IFERROR(__xludf.DUMMYFUNCTION(" rows (filter (ZONE (B78, ""A2:I""), month (ZONE (B78, ""A2:A"")) = A78 + (2017 - B78) * 12, ZONE (B78, ""A2:A"") &lt;&gt; """", ZONE (B78, ""F2:F"") &gt; 0))"),13.0)</f>
        <v>13</v>
      </c>
      <c r="E78" s="39">
        <v>0.0</v>
      </c>
    </row>
    <row r="79" ht="12.75" customHeight="1">
      <c r="A79" s="36">
        <f t="shared" si="1"/>
        <v>78</v>
      </c>
      <c r="B79" s="40">
        <f t="shared" si="2"/>
        <v>2023</v>
      </c>
      <c r="C79" s="40" t="str">
        <f t="shared" si="3"/>
        <v>Juin</v>
      </c>
      <c r="D79" s="40">
        <f>IFERROR(__xludf.DUMMYFUNCTION(" rows (filter (ZONE (B79, ""A2:I""), month (ZONE (B79, ""A2:A"")) = A79 + (2017 - B79) * 12, ZONE (B79, ""A2:A"") &lt;&gt; """", ZONE (B79, ""F2:F"") &gt; 0))"),18.0)</f>
        <v>18</v>
      </c>
      <c r="E79" s="39">
        <v>0.0</v>
      </c>
    </row>
    <row r="80" ht="12.75" customHeight="1">
      <c r="A80" s="36">
        <f t="shared" si="1"/>
        <v>79</v>
      </c>
      <c r="B80" s="40">
        <f t="shared" si="2"/>
        <v>2023</v>
      </c>
      <c r="C80" s="40" t="str">
        <f t="shared" si="3"/>
        <v>Juillet</v>
      </c>
      <c r="D80" s="40">
        <f>IFERROR(__xludf.DUMMYFUNCTION(" rows (filter (ZONE (B80, ""A2:I""), month (ZONE (B80, ""A2:A"")) = A80 + (2017 - B80) * 12, ZONE (B80, ""A2:A"") &lt;&gt; """", ZONE (B80, ""F2:F"") &gt; 0))"),19.0)</f>
        <v>19</v>
      </c>
      <c r="E80" s="39">
        <v>0.0</v>
      </c>
    </row>
    <row r="81" ht="12.75" customHeight="1">
      <c r="A81" s="36">
        <f t="shared" si="1"/>
        <v>80</v>
      </c>
      <c r="B81" s="40">
        <f t="shared" si="2"/>
        <v>2023</v>
      </c>
      <c r="C81" s="40" t="str">
        <f t="shared" si="3"/>
        <v>Aout</v>
      </c>
      <c r="D81" s="40">
        <f>IFERROR(__xludf.DUMMYFUNCTION(" rows (filter (ZONE (B81, ""A2:I""), month (ZONE (B81, ""A2:A"")) = A81 + (2017 - B81) * 12, ZONE (B81, ""A2:A"") &lt;&gt; """", ZONE (B81, ""F2:F"") &gt; 0))"),8.0)</f>
        <v>8</v>
      </c>
      <c r="E81" s="39">
        <v>0.0</v>
      </c>
    </row>
    <row r="82" ht="12.75" customHeight="1">
      <c r="A82" s="36">
        <f t="shared" si="1"/>
        <v>81</v>
      </c>
      <c r="B82" s="40">
        <f t="shared" si="2"/>
        <v>2023</v>
      </c>
      <c r="C82" s="40" t="str">
        <f t="shared" si="3"/>
        <v>Septembre</v>
      </c>
      <c r="D82" s="40">
        <f>IFERROR(__xludf.DUMMYFUNCTION(" rows (filter (ZONE (B82, ""A2:I""), month (ZONE (B82, ""A2:A"")) = A82 + (2017 - B82) * 12, ZONE (B82, ""A2:A"") &lt;&gt; """", ZONE (B82, ""F2:F"") &gt; 0))"),20.0)</f>
        <v>20</v>
      </c>
      <c r="E82" s="39">
        <v>0.0</v>
      </c>
    </row>
    <row r="83" ht="12.75" customHeight="1">
      <c r="A83" s="36">
        <f t="shared" si="1"/>
        <v>82</v>
      </c>
      <c r="B83" s="40">
        <f t="shared" si="2"/>
        <v>2023</v>
      </c>
      <c r="C83" s="40" t="str">
        <f t="shared" si="3"/>
        <v>Octobre</v>
      </c>
      <c r="D83" s="40">
        <f>IFERROR(__xludf.DUMMYFUNCTION(" rows (filter (ZONE (B83, ""A2:I""), month (ZONE (B83, ""A2:A"")) = A83 + (2017 - B83) * 12, ZONE (B83, ""A2:A"") &lt;&gt; """", ZONE (B83, ""F2:F"") &gt; 0))"),14.0)</f>
        <v>14</v>
      </c>
      <c r="E83" s="39">
        <v>0.0</v>
      </c>
    </row>
    <row r="84" ht="12.75" customHeight="1">
      <c r="A84" s="36">
        <f t="shared" si="1"/>
        <v>83</v>
      </c>
      <c r="B84" s="40">
        <f t="shared" si="2"/>
        <v>2023</v>
      </c>
      <c r="C84" s="40" t="str">
        <f t="shared" si="3"/>
        <v>Novembre</v>
      </c>
      <c r="D84" s="40">
        <f>IFERROR(__xludf.DUMMYFUNCTION(" rows (filter (ZONE (B84, ""A2:I""), month (ZONE (B84, ""A2:A"")) = A84 + (2017 - B84) * 12, ZONE (B84, ""A2:A"") &lt;&gt; """", ZONE (B84, ""F2:F"") &gt; 0))"),14.0)</f>
        <v>14</v>
      </c>
      <c r="E84" s="39">
        <v>0.0</v>
      </c>
    </row>
    <row r="85" ht="12.75" customHeight="1">
      <c r="A85" s="36">
        <f t="shared" si="1"/>
        <v>84</v>
      </c>
      <c r="B85" s="40">
        <f t="shared" si="2"/>
        <v>2023</v>
      </c>
      <c r="C85" s="40" t="str">
        <f t="shared" si="3"/>
        <v>Décembre</v>
      </c>
      <c r="D85" s="40">
        <f>IFERROR(__xludf.DUMMYFUNCTION(" rows (filter (ZONE (B85, ""A2:I""), month (ZONE (B85, ""A2:A"")) = A85 + (2017 - B85) * 12, ZONE (B85, ""A2:A"") &lt;&gt; """", ZONE (B85, ""F2:F"") &gt; 0))"),13.0)</f>
        <v>13</v>
      </c>
      <c r="E85" s="39">
        <v>0.0</v>
      </c>
    </row>
    <row r="86" ht="12.75" customHeight="1">
      <c r="A86" s="41">
        <f t="shared" si="1"/>
        <v>85</v>
      </c>
      <c r="B86" s="42">
        <f t="shared" si="2"/>
        <v>2024</v>
      </c>
      <c r="C86" s="42" t="str">
        <f t="shared" si="3"/>
        <v>Janvier</v>
      </c>
      <c r="D86" s="43">
        <v>17.0</v>
      </c>
      <c r="E86" s="43">
        <v>0.0</v>
      </c>
    </row>
    <row r="87" ht="12.75" customHeight="1">
      <c r="A87" s="36">
        <f t="shared" si="1"/>
        <v>86</v>
      </c>
      <c r="B87" s="40">
        <f t="shared" si="2"/>
        <v>2024</v>
      </c>
      <c r="C87" s="40" t="str">
        <f t="shared" si="3"/>
        <v>Février</v>
      </c>
      <c r="D87" s="39">
        <v>17.0</v>
      </c>
      <c r="E87" s="39">
        <v>0.0</v>
      </c>
    </row>
    <row r="88" ht="12.75" customHeight="1">
      <c r="A88" s="36">
        <f t="shared" si="1"/>
        <v>87</v>
      </c>
      <c r="B88" s="40">
        <f t="shared" si="2"/>
        <v>2024</v>
      </c>
      <c r="C88" s="40" t="str">
        <f t="shared" si="3"/>
        <v>Mars</v>
      </c>
      <c r="D88" s="39">
        <v>17.0</v>
      </c>
      <c r="E88" s="39">
        <v>0.0</v>
      </c>
    </row>
    <row r="89" ht="12.75" customHeight="1">
      <c r="A89" s="36">
        <f t="shared" si="1"/>
        <v>88</v>
      </c>
      <c r="B89" s="40">
        <f t="shared" si="2"/>
        <v>2024</v>
      </c>
      <c r="C89" s="40" t="str">
        <f t="shared" si="3"/>
        <v>Avril</v>
      </c>
      <c r="D89" s="39">
        <v>16.0</v>
      </c>
      <c r="E89" s="39">
        <v>0.0</v>
      </c>
    </row>
    <row r="90" ht="12.75" customHeight="1">
      <c r="A90" s="36">
        <f t="shared" si="1"/>
        <v>89</v>
      </c>
      <c r="B90" s="40">
        <f t="shared" si="2"/>
        <v>2024</v>
      </c>
      <c r="C90" s="40" t="str">
        <f t="shared" si="3"/>
        <v>Mai</v>
      </c>
      <c r="D90" s="39">
        <v>16.0</v>
      </c>
      <c r="E90" s="39">
        <v>0.0</v>
      </c>
    </row>
    <row r="91" ht="12.75" customHeight="1">
      <c r="A91" s="36">
        <f t="shared" si="1"/>
        <v>90</v>
      </c>
      <c r="B91" s="40">
        <f t="shared" si="2"/>
        <v>2024</v>
      </c>
      <c r="C91" s="40" t="str">
        <f t="shared" si="3"/>
        <v>Juin</v>
      </c>
      <c r="D91" s="39">
        <v>16.0</v>
      </c>
      <c r="E91" s="39">
        <v>0.0</v>
      </c>
    </row>
    <row r="92" ht="12.75" customHeight="1">
      <c r="A92" s="36">
        <f t="shared" si="1"/>
        <v>91</v>
      </c>
      <c r="B92" s="40">
        <f t="shared" si="2"/>
        <v>2024</v>
      </c>
      <c r="C92" s="40" t="str">
        <f t="shared" si="3"/>
        <v>Juillet</v>
      </c>
      <c r="D92" s="39">
        <v>16.0</v>
      </c>
      <c r="E92" s="39">
        <v>0.0</v>
      </c>
    </row>
    <row r="93" ht="12.75" customHeight="1">
      <c r="A93" s="36">
        <f t="shared" si="1"/>
        <v>92</v>
      </c>
      <c r="B93" s="40">
        <f t="shared" si="2"/>
        <v>2024</v>
      </c>
      <c r="C93" s="40" t="str">
        <f t="shared" si="3"/>
        <v>Aout</v>
      </c>
      <c r="D93" s="39">
        <v>16.0</v>
      </c>
      <c r="E93" s="39">
        <v>0.0</v>
      </c>
    </row>
    <row r="94" ht="12.75" customHeight="1">
      <c r="A94" s="36">
        <f t="shared" si="1"/>
        <v>93</v>
      </c>
      <c r="B94" s="40">
        <f t="shared" si="2"/>
        <v>2024</v>
      </c>
      <c r="C94" s="40" t="str">
        <f t="shared" si="3"/>
        <v>Septembre</v>
      </c>
      <c r="D94" s="39">
        <v>16.0</v>
      </c>
      <c r="E94" s="39">
        <v>0.0</v>
      </c>
    </row>
    <row r="95" ht="12.75" customHeight="1">
      <c r="A95" s="36">
        <f t="shared" si="1"/>
        <v>94</v>
      </c>
      <c r="B95" s="40">
        <f t="shared" si="2"/>
        <v>2024</v>
      </c>
      <c r="C95" s="40" t="str">
        <f t="shared" si="3"/>
        <v>Octobre</v>
      </c>
      <c r="D95" s="39">
        <v>16.0</v>
      </c>
      <c r="E95" s="39">
        <v>0.0</v>
      </c>
    </row>
    <row r="96" ht="12.75" customHeight="1">
      <c r="A96" s="36">
        <f t="shared" si="1"/>
        <v>95</v>
      </c>
      <c r="B96" s="40">
        <f t="shared" si="2"/>
        <v>2024</v>
      </c>
      <c r="C96" s="40" t="str">
        <f t="shared" si="3"/>
        <v>Novembre</v>
      </c>
      <c r="D96" s="39">
        <v>16.0</v>
      </c>
      <c r="E96" s="39">
        <v>0.0</v>
      </c>
    </row>
    <row r="97" ht="12.75" customHeight="1">
      <c r="A97" s="36">
        <f t="shared" si="1"/>
        <v>96</v>
      </c>
      <c r="B97" s="40">
        <f t="shared" si="2"/>
        <v>2024</v>
      </c>
      <c r="C97" s="40" t="str">
        <f t="shared" si="3"/>
        <v>Décembre</v>
      </c>
      <c r="D97" s="39">
        <v>16.0</v>
      </c>
      <c r="E97" s="39">
        <v>0.0</v>
      </c>
    </row>
    <row r="98" ht="12.75" customHeight="1">
      <c r="A98" s="36">
        <f t="shared" si="1"/>
        <v>97</v>
      </c>
      <c r="B98" s="40">
        <f t="shared" si="2"/>
        <v>2025</v>
      </c>
      <c r="C98" s="40" t="str">
        <f t="shared" si="3"/>
        <v>Janvier</v>
      </c>
      <c r="D98" s="39">
        <v>16.0</v>
      </c>
      <c r="E98" s="39">
        <v>0.0</v>
      </c>
    </row>
    <row r="99" ht="12.75" customHeight="1">
      <c r="A99" s="36">
        <f t="shared" si="1"/>
        <v>98</v>
      </c>
      <c r="B99" s="40">
        <f t="shared" si="2"/>
        <v>2025</v>
      </c>
      <c r="C99" s="40" t="str">
        <f t="shared" si="3"/>
        <v>Février</v>
      </c>
      <c r="D99" s="39">
        <v>16.0</v>
      </c>
      <c r="E99" s="39">
        <v>0.0</v>
      </c>
    </row>
    <row r="100" ht="12.75" customHeight="1">
      <c r="A100" s="36">
        <f t="shared" si="1"/>
        <v>99</v>
      </c>
      <c r="B100" s="40">
        <f t="shared" si="2"/>
        <v>2025</v>
      </c>
      <c r="C100" s="40" t="str">
        <f t="shared" si="3"/>
        <v>Mars</v>
      </c>
      <c r="D100" s="39">
        <v>16.0</v>
      </c>
      <c r="E100" s="39">
        <v>0.0</v>
      </c>
    </row>
    <row r="101" ht="12.75" customHeight="1">
      <c r="A101" s="36">
        <f t="shared" si="1"/>
        <v>100</v>
      </c>
      <c r="B101" s="40">
        <f t="shared" si="2"/>
        <v>2025</v>
      </c>
      <c r="C101" s="40" t="str">
        <f t="shared" si="3"/>
        <v>Avril</v>
      </c>
      <c r="D101" s="39">
        <v>16.0</v>
      </c>
      <c r="E101" s="39">
        <v>0.0</v>
      </c>
    </row>
    <row r="102" ht="12.75" customHeight="1">
      <c r="A102" s="36">
        <f t="shared" si="1"/>
        <v>101</v>
      </c>
      <c r="B102" s="40">
        <f t="shared" si="2"/>
        <v>2025</v>
      </c>
      <c r="C102" s="40" t="str">
        <f t="shared" si="3"/>
        <v>Mai</v>
      </c>
      <c r="D102" s="39">
        <v>16.0</v>
      </c>
      <c r="E102" s="39">
        <v>0.0</v>
      </c>
    </row>
    <row r="103" ht="12.75" customHeight="1">
      <c r="A103" s="36">
        <f t="shared" si="1"/>
        <v>102</v>
      </c>
      <c r="B103" s="40">
        <f t="shared" si="2"/>
        <v>2025</v>
      </c>
      <c r="C103" s="40" t="str">
        <f t="shared" si="3"/>
        <v>Juin</v>
      </c>
      <c r="D103" s="39">
        <v>16.0</v>
      </c>
      <c r="E103" s="39">
        <v>0.0</v>
      </c>
    </row>
    <row r="104" ht="12.75" customHeight="1">
      <c r="A104" s="36">
        <f t="shared" si="1"/>
        <v>103</v>
      </c>
      <c r="B104" s="40">
        <f t="shared" si="2"/>
        <v>2025</v>
      </c>
      <c r="C104" s="40" t="str">
        <f t="shared" si="3"/>
        <v>Juillet</v>
      </c>
      <c r="D104" s="39">
        <v>16.0</v>
      </c>
      <c r="E104" s="39">
        <v>0.0</v>
      </c>
    </row>
    <row r="105" ht="12.75" customHeight="1">
      <c r="A105" s="36">
        <f t="shared" si="1"/>
        <v>104</v>
      </c>
      <c r="B105" s="40">
        <f t="shared" si="2"/>
        <v>2025</v>
      </c>
      <c r="C105" s="40" t="str">
        <f t="shared" si="3"/>
        <v>Aout</v>
      </c>
      <c r="D105" s="39">
        <v>16.0</v>
      </c>
      <c r="E105" s="39">
        <v>0.0</v>
      </c>
    </row>
    <row r="106" ht="12.75" customHeight="1">
      <c r="A106" s="36">
        <f t="shared" si="1"/>
        <v>105</v>
      </c>
      <c r="B106" s="40">
        <f t="shared" si="2"/>
        <v>2025</v>
      </c>
      <c r="C106" s="40" t="str">
        <f t="shared" si="3"/>
        <v>Septembre</v>
      </c>
      <c r="D106" s="39">
        <v>16.0</v>
      </c>
      <c r="E106" s="39">
        <v>0.0</v>
      </c>
    </row>
    <row r="107" ht="12.75" customHeight="1">
      <c r="A107" s="36">
        <f t="shared" si="1"/>
        <v>106</v>
      </c>
      <c r="B107" s="40">
        <f t="shared" si="2"/>
        <v>2025</v>
      </c>
      <c r="C107" s="40" t="str">
        <f t="shared" si="3"/>
        <v>Octobre</v>
      </c>
      <c r="D107" s="39">
        <v>16.0</v>
      </c>
      <c r="E107" s="39">
        <v>0.0</v>
      </c>
    </row>
    <row r="108" ht="12.75" customHeight="1">
      <c r="A108" s="36">
        <f t="shared" si="1"/>
        <v>107</v>
      </c>
      <c r="B108" s="40">
        <f t="shared" si="2"/>
        <v>2025</v>
      </c>
      <c r="C108" s="40" t="str">
        <f t="shared" si="3"/>
        <v>Novembre</v>
      </c>
      <c r="D108" s="39">
        <v>16.0</v>
      </c>
      <c r="E108" s="39">
        <v>0.0</v>
      </c>
    </row>
    <row r="109" ht="12.75" customHeight="1">
      <c r="A109" s="36">
        <f t="shared" si="1"/>
        <v>108</v>
      </c>
      <c r="B109" s="40">
        <f t="shared" si="2"/>
        <v>2025</v>
      </c>
      <c r="C109" s="40" t="str">
        <f t="shared" si="3"/>
        <v>Décembre</v>
      </c>
      <c r="D109" s="39">
        <v>16.0</v>
      </c>
      <c r="E109" s="39">
        <v>0.0</v>
      </c>
    </row>
    <row r="110" ht="12.75" customHeight="1"/>
    <row r="111" ht="12.75" customHeight="1"/>
    <row r="112" ht="12.75" customHeight="1"/>
    <row r="113" ht="12.75" customHeight="1"/>
    <row r="114" ht="12.75" customHeight="1"/>
    <row r="115" ht="12.75" customHeight="1"/>
    <row r="116" ht="12.75" customHeight="1"/>
    <row r="117" ht="12.75" customHeight="1"/>
    <row r="118" ht="12.75" customHeight="1"/>
    <row r="119" ht="12.75" customHeight="1"/>
    <row r="120" ht="12.75" customHeight="1"/>
    <row r="121" ht="12.75" customHeight="1"/>
    <row r="122" ht="12.75" customHeight="1"/>
    <row r="123" ht="12.75" customHeight="1"/>
    <row r="124" ht="12.75" customHeight="1"/>
    <row r="125" ht="12.75" customHeight="1"/>
    <row r="126" ht="12.75" customHeight="1"/>
    <row r="127" ht="12.75" customHeight="1"/>
    <row r="128" ht="12.75" customHeight="1"/>
    <row r="129" ht="12.75" customHeight="1"/>
    <row r="130" ht="12.75" customHeight="1"/>
    <row r="131" ht="12.75" customHeight="1"/>
    <row r="132" ht="12.75" customHeight="1"/>
    <row r="133" ht="12.75" customHeight="1"/>
    <row r="134" ht="12.75" customHeight="1"/>
    <row r="135" ht="12.75" customHeight="1"/>
    <row r="136" ht="12.75" customHeight="1"/>
    <row r="137" ht="12.75" customHeight="1"/>
    <row r="138" ht="12.75" customHeight="1"/>
    <row r="139" ht="12.75" customHeight="1"/>
    <row r="140" ht="12.75" customHeight="1"/>
    <row r="141" ht="12.75" customHeight="1"/>
    <row r="142" ht="12.75" customHeight="1"/>
    <row r="143" ht="12.75" customHeight="1"/>
    <row r="144" ht="12.75" customHeight="1"/>
    <row r="145" ht="12.75" customHeight="1"/>
    <row r="146" ht="12.75" customHeight="1"/>
    <row r="147" ht="12.75" customHeight="1"/>
    <row r="148" ht="12.75" customHeight="1"/>
    <row r="149" ht="12.75" customHeight="1"/>
    <row r="150" ht="12.75" customHeight="1"/>
    <row r="151" ht="12.75" customHeight="1"/>
    <row r="152" ht="12.75" customHeight="1"/>
    <row r="153" ht="12.75" customHeight="1"/>
    <row r="154" ht="12.75" customHeight="1"/>
    <row r="155" ht="12.75" customHeight="1"/>
    <row r="156" ht="12.75" customHeight="1"/>
    <row r="157" ht="12.75" customHeight="1"/>
    <row r="158" ht="12.75" customHeight="1"/>
    <row r="159" ht="12.75" customHeight="1"/>
    <row r="160" ht="12.75" customHeight="1"/>
    <row r="161" ht="12.75" customHeight="1"/>
    <row r="162" ht="12.75" customHeight="1"/>
    <row r="163" ht="12.75" customHeight="1"/>
    <row r="164" ht="12.75" customHeight="1"/>
    <row r="165" ht="12.75" customHeight="1"/>
    <row r="166" ht="12.75" customHeight="1"/>
    <row r="167" ht="12.75" customHeight="1"/>
    <row r="168" ht="12.75" customHeight="1"/>
    <row r="169" ht="12.75" customHeight="1"/>
    <row r="170" ht="12.75" customHeight="1"/>
    <row r="171" ht="12.75" customHeight="1"/>
    <row r="172" ht="12.75" customHeight="1"/>
    <row r="173" ht="12.75" customHeight="1"/>
    <row r="174" ht="12.75" customHeight="1"/>
    <row r="175" ht="12.75" customHeight="1"/>
    <row r="176" ht="12.75" customHeight="1"/>
    <row r="177" ht="12.75" customHeight="1"/>
    <row r="178" ht="12.75" customHeight="1"/>
    <row r="179" ht="12.75" customHeight="1"/>
    <row r="180" ht="12.75" customHeight="1"/>
    <row r="181" ht="12.75" customHeight="1"/>
    <row r="182" ht="12.75" customHeight="1"/>
    <row r="183" ht="12.75" customHeight="1"/>
    <row r="184" ht="12.75" customHeight="1"/>
    <row r="185" ht="12.75" customHeight="1"/>
    <row r="186" ht="12.75" customHeight="1"/>
    <row r="187" ht="12.75" customHeight="1"/>
    <row r="188" ht="12.75" customHeight="1"/>
    <row r="189" ht="12.75" customHeight="1"/>
    <row r="190" ht="12.75" customHeight="1"/>
    <row r="191" ht="12.75" customHeight="1"/>
    <row r="192" ht="12.75" customHeight="1"/>
    <row r="193" ht="12.75" customHeight="1"/>
    <row r="194" ht="12.75" customHeight="1"/>
    <row r="195" ht="12.75" customHeight="1"/>
    <row r="196" ht="12.75" customHeight="1"/>
    <row r="197" ht="12.75" customHeight="1"/>
    <row r="198" ht="12.75" customHeight="1"/>
    <row r="199" ht="12.75" customHeight="1"/>
    <row r="200" ht="12.75" customHeight="1"/>
    <row r="201" ht="12.75" customHeight="1"/>
    <row r="202" ht="12.75" customHeight="1"/>
    <row r="203" ht="12.75" customHeight="1"/>
    <row r="204" ht="12.75" customHeight="1"/>
    <row r="205" ht="12.75" customHeight="1"/>
    <row r="206" ht="12.75" customHeight="1"/>
    <row r="207" ht="12.75" customHeight="1"/>
    <row r="208" ht="12.75" customHeight="1"/>
    <row r="209" ht="12.75" customHeight="1"/>
    <row r="210" ht="12.75" customHeight="1"/>
    <row r="211" ht="12.75" customHeight="1"/>
    <row r="212" ht="12.75" customHeight="1"/>
    <row r="213" ht="12.75" customHeight="1"/>
    <row r="214" ht="12.75" customHeight="1"/>
    <row r="215" ht="12.75" customHeight="1"/>
    <row r="216" ht="12.75" customHeight="1"/>
    <row r="217" ht="12.75" customHeight="1"/>
    <row r="218" ht="12.75" customHeight="1"/>
    <row r="219" ht="12.75" customHeight="1"/>
    <row r="220" ht="12.75" customHeight="1"/>
    <row r="221" ht="12.75" customHeight="1"/>
    <row r="222" ht="12.75" customHeight="1"/>
    <row r="223" ht="12.75" customHeight="1"/>
    <row r="224" ht="12.75" customHeight="1"/>
    <row r="225" ht="12.75" customHeight="1"/>
    <row r="226" ht="12.75" customHeight="1"/>
    <row r="227" ht="12.75" customHeight="1"/>
    <row r="228" ht="12.75" customHeight="1"/>
    <row r="229" ht="12.75" customHeight="1"/>
    <row r="230" ht="12.75" customHeight="1"/>
    <row r="231" ht="12.75" customHeight="1"/>
    <row r="232" ht="12.75" customHeight="1"/>
    <row r="233" ht="12.75" customHeight="1"/>
    <row r="234" ht="12.75" customHeight="1"/>
    <row r="235" ht="12.75" customHeight="1"/>
    <row r="236" ht="12.75" customHeight="1"/>
    <row r="237" ht="12.75" customHeight="1"/>
    <row r="238" ht="12.75" customHeight="1"/>
    <row r="239" ht="12.75" customHeight="1"/>
    <row r="240" ht="12.75" customHeight="1"/>
    <row r="241" ht="12.75" customHeight="1"/>
    <row r="242" ht="12.75" customHeight="1"/>
    <row r="243" ht="12.75" customHeight="1"/>
    <row r="244" ht="12.75" customHeight="1"/>
    <row r="245" ht="12.75" customHeight="1"/>
    <row r="246" ht="12.75" customHeight="1"/>
    <row r="247" ht="12.75" customHeight="1"/>
    <row r="248" ht="12.75" customHeight="1"/>
    <row r="249" ht="12.75" customHeight="1"/>
    <row r="250" ht="12.75" customHeight="1"/>
    <row r="251" ht="12.75" customHeight="1"/>
    <row r="252" ht="12.75" customHeight="1"/>
    <row r="253" ht="12.75" customHeight="1"/>
    <row r="254" ht="12.75" customHeight="1"/>
    <row r="255" ht="12.75" customHeight="1"/>
    <row r="256" ht="12.75" customHeight="1"/>
    <row r="257" ht="12.75" customHeight="1"/>
    <row r="258" ht="12.75" customHeight="1"/>
    <row r="259" ht="12.75" customHeight="1"/>
    <row r="260" ht="12.75" customHeight="1"/>
    <row r="261" ht="12.75" customHeight="1"/>
    <row r="262" ht="12.75" customHeight="1"/>
    <row r="263" ht="12.75" customHeight="1"/>
    <row r="264" ht="12.75" customHeight="1"/>
    <row r="265" ht="12.75" customHeight="1"/>
    <row r="266" ht="12.75" customHeight="1"/>
    <row r="267" ht="12.75" customHeight="1"/>
    <row r="268" ht="12.75" customHeight="1"/>
    <row r="269" ht="12.75" customHeight="1"/>
    <row r="270" ht="12.75" customHeight="1"/>
    <row r="271" ht="12.75" customHeight="1"/>
    <row r="272" ht="12.75" customHeight="1"/>
    <row r="273" ht="12.75" customHeight="1"/>
    <row r="274" ht="12.75" customHeight="1"/>
    <row r="275" ht="12.75" customHeight="1"/>
    <row r="276" ht="12.75" customHeight="1"/>
    <row r="277" ht="12.75" customHeight="1"/>
    <row r="278" ht="12.75" customHeight="1"/>
    <row r="279" ht="12.75" customHeight="1"/>
    <row r="280" ht="12.75" customHeight="1"/>
    <row r="281" ht="12.75" customHeight="1"/>
    <row r="282" ht="12.75" customHeight="1"/>
    <row r="283" ht="12.75" customHeight="1"/>
    <row r="284" ht="12.75" customHeight="1"/>
    <row r="285" ht="12.75" customHeight="1"/>
    <row r="286" ht="12.75" customHeight="1"/>
    <row r="287" ht="12.75" customHeight="1"/>
    <row r="288" ht="12.75" customHeight="1"/>
    <row r="289" ht="12.75" customHeight="1"/>
    <row r="290" ht="12.75" customHeight="1"/>
    <row r="291" ht="12.75" customHeight="1"/>
    <row r="292" ht="12.75" customHeight="1"/>
    <row r="293" ht="12.75" customHeight="1"/>
    <row r="294" ht="12.75" customHeight="1"/>
    <row r="295" ht="12.75" customHeight="1"/>
    <row r="296" ht="12.75" customHeight="1"/>
    <row r="297" ht="12.75" customHeight="1"/>
    <row r="298" ht="12.75" customHeight="1"/>
    <row r="299" ht="12.75" customHeight="1"/>
    <row r="300" ht="12.75" customHeight="1"/>
    <row r="301" ht="12.75" customHeight="1"/>
    <row r="302" ht="12.75" customHeight="1"/>
    <row r="303" ht="12.75" customHeight="1"/>
    <row r="304" ht="12.75" customHeight="1"/>
    <row r="305" ht="12.75" customHeight="1"/>
    <row r="306" ht="12.75" customHeight="1"/>
    <row r="307" ht="12.75" customHeight="1"/>
    <row r="308" ht="12.75" customHeight="1"/>
    <row r="309" ht="12.75" customHeight="1"/>
    <row r="310" ht="12.75" customHeight="1"/>
    <row r="311" ht="12.75" customHeight="1"/>
    <row r="312" ht="12.75" customHeight="1"/>
    <row r="313" ht="12.75" customHeight="1"/>
    <row r="314" ht="12.75" customHeight="1"/>
    <row r="315" ht="12.75" customHeight="1"/>
    <row r="316" ht="12.75" customHeight="1"/>
    <row r="317" ht="12.75" customHeight="1"/>
    <row r="318" ht="12.75" customHeight="1"/>
    <row r="319" ht="12.75" customHeight="1"/>
    <row r="320" ht="12.75" customHeight="1"/>
    <row r="321" ht="12.75" customHeight="1"/>
    <row r="322" ht="12.75" customHeight="1"/>
    <row r="323" ht="12.75" customHeight="1"/>
    <row r="324" ht="12.75" customHeight="1"/>
    <row r="325" ht="12.75" customHeight="1"/>
    <row r="326" ht="12.75" customHeight="1"/>
    <row r="327" ht="12.75" customHeight="1"/>
    <row r="328" ht="12.75" customHeight="1"/>
    <row r="329" ht="12.75" customHeight="1"/>
    <row r="330" ht="12.75" customHeight="1"/>
    <row r="331" ht="12.75" customHeight="1"/>
    <row r="332" ht="12.75" customHeight="1"/>
    <row r="333" ht="12.75" customHeight="1"/>
    <row r="334" ht="12.75" customHeight="1"/>
    <row r="335" ht="12.75" customHeight="1"/>
    <row r="336" ht="12.75" customHeight="1"/>
    <row r="337" ht="12.75" customHeight="1"/>
    <row r="338" ht="12.75" customHeight="1"/>
    <row r="339" ht="12.75" customHeight="1"/>
    <row r="340" ht="12.75" customHeight="1"/>
    <row r="341" ht="12.75" customHeight="1"/>
    <row r="342" ht="12.75" customHeight="1"/>
    <row r="343" ht="12.75" customHeight="1"/>
    <row r="344" ht="12.75" customHeight="1"/>
    <row r="345" ht="12.75" customHeight="1"/>
    <row r="346" ht="12.75" customHeight="1"/>
    <row r="347" ht="12.75" customHeight="1"/>
    <row r="348" ht="12.75" customHeight="1"/>
    <row r="349" ht="12.75" customHeight="1"/>
    <row r="350" ht="12.75" customHeight="1"/>
    <row r="351" ht="12.75" customHeight="1"/>
    <row r="352" ht="12.75" customHeight="1"/>
    <row r="353" ht="12.75" customHeight="1"/>
    <row r="354" ht="12.75" customHeight="1"/>
    <row r="355" ht="12.75" customHeight="1"/>
    <row r="356" ht="12.75" customHeight="1"/>
    <row r="357" ht="12.75" customHeight="1"/>
    <row r="358" ht="12.75" customHeight="1"/>
    <row r="359" ht="12.75" customHeight="1"/>
    <row r="360" ht="12.75" customHeight="1"/>
    <row r="361" ht="12.75" customHeight="1"/>
    <row r="362" ht="12.75" customHeight="1"/>
    <row r="363" ht="12.75" customHeight="1"/>
    <row r="364" ht="12.75" customHeight="1"/>
    <row r="365" ht="12.75" customHeight="1"/>
    <row r="366" ht="12.75" customHeight="1"/>
    <row r="367" ht="12.75" customHeight="1"/>
    <row r="368" ht="12.75" customHeight="1"/>
    <row r="369" ht="12.75" customHeight="1"/>
    <row r="370" ht="12.75" customHeight="1"/>
    <row r="371" ht="12.75" customHeight="1"/>
    <row r="372" ht="12.75" customHeight="1"/>
    <row r="373" ht="12.75" customHeight="1"/>
    <row r="374" ht="12.75" customHeight="1"/>
    <row r="375" ht="12.75" customHeight="1"/>
    <row r="376" ht="12.75" customHeight="1"/>
    <row r="377" ht="12.75" customHeight="1"/>
    <row r="378" ht="12.75" customHeight="1"/>
    <row r="379" ht="12.75" customHeight="1"/>
    <row r="380" ht="12.75" customHeight="1"/>
    <row r="381" ht="12.75" customHeight="1"/>
    <row r="382" ht="12.75" customHeight="1"/>
    <row r="383" ht="12.75" customHeight="1"/>
    <row r="384" ht="12.75" customHeight="1"/>
    <row r="385" ht="12.75" customHeight="1"/>
    <row r="386" ht="12.75" customHeight="1"/>
    <row r="387" ht="12.75" customHeight="1"/>
    <row r="388" ht="12.75" customHeight="1"/>
    <row r="389" ht="12.75" customHeight="1"/>
    <row r="390" ht="12.75" customHeight="1"/>
    <row r="391" ht="12.75" customHeight="1"/>
    <row r="392" ht="12.75" customHeight="1"/>
    <row r="393" ht="12.75" customHeight="1"/>
    <row r="394" ht="12.75" customHeight="1"/>
    <row r="395" ht="12.75" customHeight="1"/>
    <row r="396" ht="12.75" customHeight="1"/>
    <row r="397" ht="12.75" customHeight="1"/>
    <row r="398" ht="12.75" customHeight="1"/>
    <row r="399" ht="12.75" customHeight="1"/>
    <row r="400" ht="12.75" customHeight="1"/>
    <row r="401" ht="12.75" customHeight="1"/>
    <row r="402" ht="12.75" customHeight="1"/>
    <row r="403" ht="12.75" customHeight="1"/>
    <row r="404" ht="12.75" customHeight="1"/>
    <row r="405" ht="12.75" customHeight="1"/>
    <row r="406" ht="12.75" customHeight="1"/>
    <row r="407" ht="12.75" customHeight="1"/>
    <row r="408" ht="12.75" customHeight="1"/>
    <row r="409" ht="12.75" customHeight="1"/>
    <row r="410" ht="12.75" customHeight="1"/>
    <row r="411" ht="12.75" customHeight="1"/>
    <row r="412" ht="12.75" customHeight="1"/>
    <row r="413" ht="12.75" customHeight="1"/>
    <row r="414" ht="12.75" customHeight="1"/>
    <row r="415" ht="12.75" customHeight="1"/>
    <row r="416" ht="12.75" customHeight="1"/>
    <row r="417" ht="12.75" customHeight="1"/>
    <row r="418" ht="12.75" customHeight="1"/>
    <row r="419" ht="12.75" customHeight="1"/>
    <row r="420" ht="12.75" customHeight="1"/>
    <row r="421" ht="12.75" customHeight="1"/>
    <row r="422" ht="12.75" customHeight="1"/>
    <row r="423" ht="12.75" customHeight="1"/>
    <row r="424" ht="12.75" customHeight="1"/>
    <row r="425" ht="12.75" customHeight="1"/>
    <row r="426" ht="12.75" customHeight="1"/>
    <row r="427" ht="12.75" customHeight="1"/>
    <row r="428" ht="12.75" customHeight="1"/>
    <row r="429" ht="12.75" customHeight="1"/>
    <row r="430" ht="12.75" customHeight="1"/>
    <row r="431" ht="12.75" customHeight="1"/>
    <row r="432" ht="12.75" customHeight="1"/>
    <row r="433" ht="12.75" customHeight="1"/>
    <row r="434" ht="12.75" customHeight="1"/>
    <row r="435" ht="12.75" customHeight="1"/>
    <row r="436" ht="12.75" customHeight="1"/>
    <row r="437" ht="12.75" customHeight="1"/>
    <row r="438" ht="12.75" customHeight="1"/>
    <row r="439" ht="12.75" customHeight="1"/>
    <row r="440" ht="12.75" customHeight="1"/>
    <row r="441" ht="12.75" customHeight="1"/>
    <row r="442" ht="12.75" customHeight="1"/>
    <row r="443" ht="12.75" customHeight="1"/>
    <row r="444" ht="12.75" customHeight="1"/>
    <row r="445" ht="12.75" customHeight="1"/>
    <row r="446" ht="12.75" customHeight="1"/>
    <row r="447" ht="12.75" customHeight="1"/>
    <row r="448" ht="12.75" customHeight="1"/>
    <row r="449" ht="12.75" customHeight="1"/>
    <row r="450" ht="12.75" customHeight="1"/>
    <row r="451" ht="12.75" customHeight="1"/>
    <row r="452" ht="12.75" customHeight="1"/>
    <row r="453" ht="12.75" customHeight="1"/>
    <row r="454" ht="12.75" customHeight="1"/>
    <row r="455" ht="12.75" customHeight="1"/>
    <row r="456" ht="12.75" customHeight="1"/>
    <row r="457" ht="12.75" customHeight="1"/>
    <row r="458" ht="12.75" customHeight="1"/>
    <row r="459" ht="12.75" customHeight="1"/>
    <row r="460" ht="12.75" customHeight="1"/>
    <row r="461" ht="12.75" customHeight="1"/>
    <row r="462" ht="12.75" customHeight="1"/>
    <row r="463" ht="12.75" customHeight="1"/>
    <row r="464" ht="12.75" customHeight="1"/>
    <row r="465" ht="12.75" customHeight="1"/>
    <row r="466" ht="12.75" customHeight="1"/>
    <row r="467" ht="12.75" customHeight="1"/>
    <row r="468" ht="12.75" customHeight="1"/>
    <row r="469" ht="12.75" customHeight="1"/>
    <row r="470" ht="12.75" customHeight="1"/>
    <row r="471" ht="12.75" customHeight="1"/>
    <row r="472" ht="12.75" customHeight="1"/>
    <row r="473" ht="12.75" customHeight="1"/>
    <row r="474" ht="12.75" customHeight="1"/>
    <row r="475" ht="12.75" customHeight="1"/>
    <row r="476" ht="12.75" customHeight="1"/>
    <row r="477" ht="12.75" customHeight="1"/>
    <row r="478" ht="12.75" customHeight="1"/>
    <row r="479" ht="12.75" customHeight="1"/>
    <row r="480" ht="12.75" customHeight="1"/>
    <row r="481" ht="12.75" customHeight="1"/>
    <row r="482" ht="12.75" customHeight="1"/>
    <row r="483" ht="12.75" customHeight="1"/>
    <row r="484" ht="12.75" customHeight="1"/>
    <row r="485" ht="12.75" customHeight="1"/>
    <row r="486" ht="12.75" customHeight="1"/>
    <row r="487" ht="12.75" customHeight="1"/>
    <row r="488" ht="12.75" customHeight="1"/>
    <row r="489" ht="12.75" customHeight="1"/>
    <row r="490" ht="12.75" customHeight="1"/>
    <row r="491" ht="12.75" customHeight="1"/>
    <row r="492" ht="12.75" customHeight="1"/>
    <row r="493" ht="12.75" customHeight="1"/>
    <row r="494" ht="12.75" customHeight="1"/>
    <row r="495" ht="12.75" customHeight="1"/>
    <row r="496" ht="12.75" customHeight="1"/>
    <row r="497" ht="12.75" customHeight="1"/>
    <row r="498" ht="12.75" customHeight="1"/>
    <row r="499" ht="12.75" customHeight="1"/>
    <row r="500" ht="12.75" customHeight="1"/>
    <row r="501" ht="12.75" customHeight="1"/>
    <row r="502" ht="12.75" customHeight="1"/>
    <row r="503" ht="12.75" customHeight="1"/>
    <row r="504" ht="12.75" customHeight="1"/>
    <row r="505" ht="12.75" customHeight="1"/>
    <row r="506" ht="12.75" customHeight="1"/>
    <row r="507" ht="12.75" customHeight="1"/>
    <row r="508" ht="12.75" customHeight="1"/>
    <row r="509" ht="12.75" customHeight="1"/>
    <row r="510" ht="12.75" customHeight="1"/>
    <row r="511" ht="12.75" customHeight="1"/>
    <row r="512" ht="12.75" customHeight="1"/>
    <row r="513" ht="12.75" customHeight="1"/>
    <row r="514" ht="12.75" customHeight="1"/>
    <row r="515" ht="12.75" customHeight="1"/>
    <row r="516" ht="12.75" customHeight="1"/>
    <row r="517" ht="12.75" customHeight="1"/>
    <row r="518" ht="12.75" customHeight="1"/>
    <row r="519" ht="12.75" customHeight="1"/>
    <row r="520" ht="12.75" customHeight="1"/>
    <row r="521" ht="12.75" customHeight="1"/>
    <row r="522" ht="12.75" customHeight="1"/>
    <row r="523" ht="12.75" customHeight="1"/>
    <row r="524" ht="12.75" customHeight="1"/>
    <row r="525" ht="12.75" customHeight="1"/>
    <row r="526" ht="12.75" customHeight="1"/>
    <row r="527" ht="12.75" customHeight="1"/>
    <row r="528" ht="12.75" customHeight="1"/>
    <row r="529" ht="12.75" customHeight="1"/>
    <row r="530" ht="12.75" customHeight="1"/>
    <row r="531" ht="12.75" customHeight="1"/>
    <row r="532" ht="12.75" customHeight="1"/>
    <row r="533" ht="12.75" customHeight="1"/>
    <row r="534" ht="12.75" customHeight="1"/>
    <row r="535" ht="12.75" customHeight="1"/>
    <row r="536" ht="12.75" customHeight="1"/>
    <row r="537" ht="12.75" customHeight="1"/>
    <row r="538" ht="12.75" customHeight="1"/>
    <row r="539" ht="12.75" customHeight="1"/>
    <row r="540" ht="12.75" customHeight="1"/>
    <row r="541" ht="12.75" customHeight="1"/>
    <row r="542" ht="12.75" customHeight="1"/>
    <row r="543" ht="12.75" customHeight="1"/>
    <row r="544" ht="12.75" customHeight="1"/>
    <row r="545" ht="12.75" customHeight="1"/>
    <row r="546" ht="12.75" customHeight="1"/>
    <row r="547" ht="12.75" customHeight="1"/>
    <row r="548" ht="12.75" customHeight="1"/>
    <row r="549" ht="12.75" customHeight="1"/>
    <row r="550" ht="12.75" customHeight="1"/>
    <row r="551" ht="12.75" customHeight="1"/>
    <row r="552" ht="12.75" customHeight="1"/>
    <row r="553" ht="12.75" customHeight="1"/>
    <row r="554" ht="12.75" customHeight="1"/>
    <row r="555" ht="12.75" customHeight="1"/>
    <row r="556" ht="12.75" customHeight="1"/>
    <row r="557" ht="12.75" customHeight="1"/>
    <row r="558" ht="12.75" customHeight="1"/>
    <row r="559" ht="12.75" customHeight="1"/>
    <row r="560" ht="12.75" customHeight="1"/>
    <row r="561" ht="12.75" customHeight="1"/>
    <row r="562" ht="12.75" customHeight="1"/>
    <row r="563" ht="12.75" customHeight="1"/>
    <row r="564" ht="12.75" customHeight="1"/>
    <row r="565" ht="12.75" customHeight="1"/>
    <row r="566" ht="12.75" customHeight="1"/>
    <row r="567" ht="12.75" customHeight="1"/>
    <row r="568" ht="12.75" customHeight="1"/>
    <row r="569" ht="12.75" customHeight="1"/>
    <row r="570" ht="12.75" customHeight="1"/>
    <row r="571" ht="12.75" customHeight="1"/>
    <row r="572" ht="12.75" customHeight="1"/>
    <row r="573" ht="12.75" customHeight="1"/>
    <row r="574" ht="12.75" customHeight="1"/>
    <row r="575" ht="12.75" customHeight="1"/>
    <row r="576" ht="12.75" customHeight="1"/>
    <row r="577" ht="12.75" customHeight="1"/>
    <row r="578" ht="12.75" customHeight="1"/>
    <row r="579" ht="12.75" customHeight="1"/>
    <row r="580" ht="12.75" customHeight="1"/>
    <row r="581" ht="12.75" customHeight="1"/>
    <row r="582" ht="12.75" customHeight="1"/>
    <row r="583" ht="12.75" customHeight="1"/>
    <row r="584" ht="12.75" customHeight="1"/>
    <row r="585" ht="12.75" customHeight="1"/>
    <row r="586" ht="12.75" customHeight="1"/>
    <row r="587" ht="12.75" customHeight="1"/>
    <row r="588" ht="12.75" customHeight="1"/>
    <row r="589" ht="12.75" customHeight="1"/>
    <row r="590" ht="12.75" customHeight="1"/>
    <row r="591" ht="12.75" customHeight="1"/>
    <row r="592" ht="12.75" customHeight="1"/>
    <row r="593" ht="12.75" customHeight="1"/>
    <row r="594" ht="12.75" customHeight="1"/>
    <row r="595" ht="12.75" customHeight="1"/>
    <row r="596" ht="12.75" customHeight="1"/>
    <row r="597" ht="12.75" customHeight="1"/>
    <row r="598" ht="12.75" customHeight="1"/>
    <row r="599" ht="12.75" customHeight="1"/>
    <row r="600" ht="12.75" customHeight="1"/>
    <row r="601" ht="12.75" customHeight="1"/>
    <row r="602" ht="12.75" customHeight="1"/>
    <row r="603" ht="12.75" customHeight="1"/>
    <row r="604" ht="12.75" customHeight="1"/>
    <row r="605" ht="12.75" customHeight="1"/>
    <row r="606" ht="12.75" customHeight="1"/>
    <row r="607" ht="12.75" customHeight="1"/>
    <row r="608" ht="12.75" customHeight="1"/>
    <row r="609" ht="12.75" customHeight="1"/>
    <row r="610" ht="12.75" customHeight="1"/>
    <row r="611" ht="12.75" customHeight="1"/>
    <row r="612" ht="12.75" customHeight="1"/>
    <row r="613" ht="12.75" customHeight="1"/>
    <row r="614" ht="12.75" customHeight="1"/>
    <row r="615" ht="12.75" customHeight="1"/>
    <row r="616" ht="12.75" customHeight="1"/>
    <row r="617" ht="12.75" customHeight="1"/>
    <row r="618" ht="12.75" customHeight="1"/>
    <row r="619" ht="12.75" customHeight="1"/>
    <row r="620" ht="12.75" customHeight="1"/>
    <row r="621" ht="12.75" customHeight="1"/>
    <row r="622" ht="12.75" customHeight="1"/>
    <row r="623" ht="12.75" customHeight="1"/>
    <row r="624" ht="12.75" customHeight="1"/>
    <row r="625" ht="12.75" customHeight="1"/>
    <row r="626" ht="12.75" customHeight="1"/>
    <row r="627" ht="12.75" customHeight="1"/>
    <row r="628" ht="12.75" customHeight="1"/>
    <row r="629" ht="12.75" customHeight="1"/>
    <row r="630" ht="12.75" customHeight="1"/>
    <row r="631" ht="12.75" customHeight="1"/>
    <row r="632" ht="12.75" customHeight="1"/>
    <row r="633" ht="12.75" customHeight="1"/>
    <row r="634" ht="12.75" customHeight="1"/>
    <row r="635" ht="12.75" customHeight="1"/>
    <row r="636" ht="12.75" customHeight="1"/>
    <row r="637" ht="12.75" customHeight="1"/>
    <row r="638" ht="12.75" customHeight="1"/>
    <row r="639" ht="12.75" customHeight="1"/>
    <row r="640" ht="12.75" customHeight="1"/>
    <row r="641" ht="12.75" customHeight="1"/>
    <row r="642" ht="12.75" customHeight="1"/>
    <row r="643" ht="12.75" customHeight="1"/>
    <row r="644" ht="12.75" customHeight="1"/>
    <row r="645" ht="12.75" customHeight="1"/>
    <row r="646" ht="12.75" customHeight="1"/>
    <row r="647" ht="12.75" customHeight="1"/>
    <row r="648" ht="12.75" customHeight="1"/>
    <row r="649" ht="12.75" customHeight="1"/>
    <row r="650" ht="12.75" customHeight="1"/>
    <row r="651" ht="12.75" customHeight="1"/>
    <row r="652" ht="12.75" customHeight="1"/>
    <row r="653" ht="12.75" customHeight="1"/>
    <row r="654" ht="12.75" customHeight="1"/>
    <row r="655" ht="12.75" customHeight="1"/>
    <row r="656" ht="12.75" customHeight="1"/>
    <row r="657" ht="12.75" customHeight="1"/>
    <row r="658" ht="12.75" customHeight="1"/>
    <row r="659" ht="12.75" customHeight="1"/>
    <row r="660" ht="12.75" customHeight="1"/>
    <row r="661" ht="12.75" customHeight="1"/>
    <row r="662" ht="12.75" customHeight="1"/>
    <row r="663" ht="12.75" customHeight="1"/>
    <row r="664" ht="12.75" customHeight="1"/>
    <row r="665" ht="12.75" customHeight="1"/>
    <row r="666" ht="12.75" customHeight="1"/>
    <row r="667" ht="12.75" customHeight="1"/>
    <row r="668" ht="12.75" customHeight="1"/>
    <row r="669" ht="12.75" customHeight="1"/>
    <row r="670" ht="12.75" customHeight="1"/>
    <row r="671" ht="12.75" customHeight="1"/>
    <row r="672" ht="12.75" customHeight="1"/>
    <row r="673" ht="12.75" customHeight="1"/>
    <row r="674" ht="12.75" customHeight="1"/>
    <row r="675" ht="12.75" customHeight="1"/>
    <row r="676" ht="12.75" customHeight="1"/>
    <row r="677" ht="12.75" customHeight="1"/>
    <row r="678" ht="12.75" customHeight="1"/>
    <row r="679" ht="12.75" customHeight="1"/>
    <row r="680" ht="12.75" customHeight="1"/>
    <row r="681" ht="12.75" customHeight="1"/>
    <row r="682" ht="12.75" customHeight="1"/>
    <row r="683" ht="12.75" customHeight="1"/>
    <row r="684" ht="12.75" customHeight="1"/>
    <row r="685" ht="12.75" customHeight="1"/>
    <row r="686" ht="12.75" customHeight="1"/>
    <row r="687" ht="12.75" customHeight="1"/>
    <row r="688" ht="12.75" customHeight="1"/>
    <row r="689" ht="12.75" customHeight="1"/>
    <row r="690" ht="12.75" customHeight="1"/>
    <row r="691" ht="12.75" customHeight="1"/>
    <row r="692" ht="12.75" customHeight="1"/>
    <row r="693" ht="12.75" customHeight="1"/>
    <row r="694" ht="12.75" customHeight="1"/>
    <row r="695" ht="12.75" customHeight="1"/>
    <row r="696" ht="12.75" customHeight="1"/>
    <row r="697" ht="12.75" customHeight="1"/>
    <row r="698" ht="12.75" customHeight="1"/>
    <row r="699" ht="12.75" customHeight="1"/>
    <row r="700" ht="12.75" customHeight="1"/>
    <row r="701" ht="12.75" customHeight="1"/>
    <row r="702" ht="12.75" customHeight="1"/>
    <row r="703" ht="12.75" customHeight="1"/>
    <row r="704" ht="12.75" customHeight="1"/>
    <row r="705" ht="12.75" customHeight="1"/>
    <row r="706" ht="12.75" customHeight="1"/>
    <row r="707" ht="12.75" customHeight="1"/>
    <row r="708" ht="12.75" customHeight="1"/>
    <row r="709" ht="12.75" customHeight="1"/>
    <row r="710" ht="12.75" customHeight="1"/>
    <row r="711" ht="12.75" customHeight="1"/>
    <row r="712" ht="12.75" customHeight="1"/>
    <row r="713" ht="12.75" customHeight="1"/>
    <row r="714" ht="12.75" customHeight="1"/>
    <row r="715" ht="12.75" customHeight="1"/>
    <row r="716" ht="12.75" customHeight="1"/>
    <row r="717" ht="12.75" customHeight="1"/>
    <row r="718" ht="12.75" customHeight="1"/>
    <row r="719" ht="12.75" customHeight="1"/>
    <row r="720" ht="12.75" customHeight="1"/>
    <row r="721" ht="12.75" customHeight="1"/>
    <row r="722" ht="12.75" customHeight="1"/>
    <row r="723" ht="12.75" customHeight="1"/>
    <row r="724" ht="12.75" customHeight="1"/>
    <row r="725" ht="12.75" customHeight="1"/>
    <row r="726" ht="12.75" customHeight="1"/>
    <row r="727" ht="12.75" customHeight="1"/>
    <row r="728" ht="12.75" customHeight="1"/>
    <row r="729" ht="12.75" customHeight="1"/>
    <row r="730" ht="12.75" customHeight="1"/>
    <row r="731" ht="12.75" customHeight="1"/>
    <row r="732" ht="12.75" customHeight="1"/>
    <row r="733" ht="12.75" customHeight="1"/>
    <row r="734" ht="12.75" customHeight="1"/>
    <row r="735" ht="12.75" customHeight="1"/>
    <row r="736" ht="12.75" customHeight="1"/>
    <row r="737" ht="12.75" customHeight="1"/>
    <row r="738" ht="12.75" customHeight="1"/>
    <row r="739" ht="12.75" customHeight="1"/>
    <row r="740" ht="12.75" customHeight="1"/>
    <row r="741" ht="12.75" customHeight="1"/>
    <row r="742" ht="12.75" customHeight="1"/>
    <row r="743" ht="12.75" customHeight="1"/>
    <row r="744" ht="12.75" customHeight="1"/>
    <row r="745" ht="12.75" customHeight="1"/>
    <row r="746" ht="12.75" customHeight="1"/>
    <row r="747" ht="12.75" customHeight="1"/>
    <row r="748" ht="12.75" customHeight="1"/>
    <row r="749" ht="12.75" customHeight="1"/>
    <row r="750" ht="12.75" customHeight="1"/>
    <row r="751" ht="12.75" customHeight="1"/>
    <row r="752" ht="12.75" customHeight="1"/>
    <row r="753" ht="12.75" customHeight="1"/>
    <row r="754" ht="12.75" customHeight="1"/>
    <row r="755" ht="12.75" customHeight="1"/>
    <row r="756" ht="12.75" customHeight="1"/>
    <row r="757" ht="12.75" customHeight="1"/>
    <row r="758" ht="12.75" customHeight="1"/>
    <row r="759" ht="12.75" customHeight="1"/>
    <row r="760" ht="12.75" customHeight="1"/>
    <row r="761" ht="12.75" customHeight="1"/>
    <row r="762" ht="12.75" customHeight="1"/>
    <row r="763" ht="12.75" customHeight="1"/>
    <row r="764" ht="12.75" customHeight="1"/>
    <row r="765" ht="12.75" customHeight="1"/>
    <row r="766" ht="12.75" customHeight="1"/>
    <row r="767" ht="12.75" customHeight="1"/>
    <row r="768" ht="12.75" customHeight="1"/>
    <row r="769" ht="12.75" customHeight="1"/>
    <row r="770" ht="12.75" customHeight="1"/>
    <row r="771" ht="12.75" customHeight="1"/>
    <row r="772" ht="12.75" customHeight="1"/>
    <row r="773" ht="12.75" customHeight="1"/>
    <row r="774" ht="12.75" customHeight="1"/>
    <row r="775" ht="12.75" customHeight="1"/>
    <row r="776" ht="12.75" customHeight="1"/>
    <row r="777" ht="12.75" customHeight="1"/>
    <row r="778" ht="12.75" customHeight="1"/>
    <row r="779" ht="12.75" customHeight="1"/>
    <row r="780" ht="12.75" customHeight="1"/>
    <row r="781" ht="12.75" customHeight="1"/>
    <row r="782" ht="12.75" customHeight="1"/>
    <row r="783" ht="12.75" customHeight="1"/>
    <row r="784" ht="12.75" customHeight="1"/>
    <row r="785" ht="12.75" customHeight="1"/>
    <row r="786" ht="12.75" customHeight="1"/>
    <row r="787" ht="12.75" customHeight="1"/>
    <row r="788" ht="12.75" customHeight="1"/>
    <row r="789" ht="12.75" customHeight="1"/>
    <row r="790" ht="12.75" customHeight="1"/>
    <row r="791" ht="12.75" customHeight="1"/>
    <row r="792" ht="12.75" customHeight="1"/>
    <row r="793" ht="12.75" customHeight="1"/>
    <row r="794" ht="12.75" customHeight="1"/>
    <row r="795" ht="12.75" customHeight="1"/>
    <row r="796" ht="12.75" customHeight="1"/>
    <row r="797" ht="12.75" customHeight="1"/>
    <row r="798" ht="12.75" customHeight="1"/>
    <row r="799" ht="12.75" customHeight="1"/>
    <row r="800" ht="12.75" customHeight="1"/>
    <row r="801" ht="12.75" customHeight="1"/>
    <row r="802" ht="12.75" customHeight="1"/>
    <row r="803" ht="12.75" customHeight="1"/>
    <row r="804" ht="12.75" customHeight="1"/>
    <row r="805" ht="12.75" customHeight="1"/>
    <row r="806" ht="12.75" customHeight="1"/>
    <row r="807" ht="12.75" customHeight="1"/>
    <row r="808" ht="12.75" customHeight="1"/>
    <row r="809" ht="12.75" customHeight="1"/>
    <row r="810" ht="12.75" customHeight="1"/>
    <row r="811" ht="12.75" customHeight="1"/>
    <row r="812" ht="12.75" customHeight="1"/>
    <row r="813" ht="12.75" customHeight="1"/>
    <row r="814" ht="12.75" customHeight="1"/>
    <row r="815" ht="12.75" customHeight="1"/>
    <row r="816" ht="12.75" customHeight="1"/>
    <row r="817" ht="12.75" customHeight="1"/>
    <row r="818" ht="12.75" customHeight="1"/>
    <row r="819" ht="12.75" customHeight="1"/>
    <row r="820" ht="12.75" customHeight="1"/>
    <row r="821" ht="12.75" customHeight="1"/>
    <row r="822" ht="12.75" customHeight="1"/>
    <row r="823" ht="12.75" customHeight="1"/>
    <row r="824" ht="12.75" customHeight="1"/>
    <row r="825" ht="12.75" customHeight="1"/>
    <row r="826" ht="12.75" customHeight="1"/>
    <row r="827" ht="12.75" customHeight="1"/>
    <row r="828" ht="12.75" customHeight="1"/>
    <row r="829" ht="12.75" customHeight="1"/>
    <row r="830" ht="12.75" customHeight="1"/>
    <row r="831" ht="12.75" customHeight="1"/>
    <row r="832" ht="12.75" customHeight="1"/>
    <row r="833" ht="12.75" customHeight="1"/>
    <row r="834" ht="12.75" customHeight="1"/>
    <row r="835" ht="12.75" customHeight="1"/>
    <row r="836" ht="12.75" customHeight="1"/>
    <row r="837" ht="12.75" customHeight="1"/>
    <row r="838" ht="12.75" customHeight="1"/>
    <row r="839" ht="12.75" customHeight="1"/>
    <row r="840" ht="12.75" customHeight="1"/>
    <row r="841" ht="12.75" customHeight="1"/>
    <row r="842" ht="12.75" customHeight="1"/>
    <row r="843" ht="12.75" customHeight="1"/>
    <row r="844" ht="12.75" customHeight="1"/>
    <row r="845" ht="12.75" customHeight="1"/>
    <row r="846" ht="12.75" customHeight="1"/>
    <row r="847" ht="12.75" customHeight="1"/>
    <row r="848" ht="12.75" customHeight="1"/>
    <row r="849" ht="12.75" customHeight="1"/>
    <row r="850" ht="12.75" customHeight="1"/>
    <row r="851" ht="12.75" customHeight="1"/>
    <row r="852" ht="12.75" customHeight="1"/>
    <row r="853" ht="12.75" customHeight="1"/>
    <row r="854" ht="12.75" customHeight="1"/>
    <row r="855" ht="12.75" customHeight="1"/>
    <row r="856" ht="12.75" customHeight="1"/>
    <row r="857" ht="12.75" customHeight="1"/>
    <row r="858" ht="12.75" customHeight="1"/>
    <row r="859" ht="12.75" customHeight="1"/>
    <row r="860" ht="12.75" customHeight="1"/>
    <row r="861" ht="12.75" customHeight="1"/>
    <row r="862" ht="12.75" customHeight="1"/>
    <row r="863" ht="12.75" customHeight="1"/>
    <row r="864" ht="12.75" customHeight="1"/>
    <row r="865" ht="12.75" customHeight="1"/>
    <row r="866" ht="12.75" customHeight="1"/>
    <row r="867" ht="12.75" customHeight="1"/>
    <row r="868" ht="12.75" customHeight="1"/>
    <row r="869" ht="12.75" customHeight="1"/>
    <row r="870" ht="12.75" customHeight="1"/>
    <row r="871" ht="12.75" customHeight="1"/>
    <row r="872" ht="12.75" customHeight="1"/>
    <row r="873" ht="12.75" customHeight="1"/>
    <row r="874" ht="12.75" customHeight="1"/>
    <row r="875" ht="12.75" customHeight="1"/>
    <row r="876" ht="12.75" customHeight="1"/>
    <row r="877" ht="12.75" customHeight="1"/>
    <row r="878" ht="12.75" customHeight="1"/>
    <row r="879" ht="12.75" customHeight="1"/>
    <row r="880" ht="12.75" customHeight="1"/>
    <row r="881" ht="12.75" customHeight="1"/>
    <row r="882" ht="12.75" customHeight="1"/>
    <row r="883" ht="12.75" customHeight="1"/>
    <row r="884" ht="12.75" customHeight="1"/>
    <row r="885" ht="12.75" customHeight="1"/>
    <row r="886" ht="12.75" customHeight="1"/>
    <row r="887" ht="12.75" customHeight="1"/>
    <row r="888" ht="12.75" customHeight="1"/>
    <row r="889" ht="12.75" customHeight="1"/>
    <row r="890" ht="12.75" customHeight="1"/>
    <row r="891" ht="12.75" customHeight="1"/>
    <row r="892" ht="12.75" customHeight="1"/>
    <row r="893" ht="12.75" customHeight="1"/>
    <row r="894" ht="12.75" customHeight="1"/>
    <row r="895" ht="12.75" customHeight="1"/>
    <row r="896" ht="12.75" customHeight="1"/>
    <row r="897" ht="12.75" customHeight="1"/>
    <row r="898" ht="12.75" customHeight="1"/>
    <row r="899" ht="12.75" customHeight="1"/>
    <row r="900" ht="12.75" customHeight="1"/>
    <row r="901" ht="12.75" customHeight="1"/>
    <row r="902" ht="12.75" customHeight="1"/>
    <row r="903" ht="12.75" customHeight="1"/>
    <row r="904" ht="12.75" customHeight="1"/>
    <row r="905" ht="12.75" customHeight="1"/>
    <row r="906" ht="12.75" customHeight="1"/>
    <row r="907" ht="12.75" customHeight="1"/>
    <row r="908" ht="12.75" customHeight="1"/>
    <row r="909" ht="12.75" customHeight="1"/>
    <row r="910" ht="12.75" customHeight="1"/>
    <row r="911" ht="12.75" customHeight="1"/>
    <row r="912" ht="12.75" customHeight="1"/>
    <row r="913" ht="12.75" customHeight="1"/>
    <row r="914" ht="12.75" customHeight="1"/>
    <row r="915" ht="12.75" customHeight="1"/>
    <row r="916" ht="12.75" customHeight="1"/>
    <row r="917" ht="12.75" customHeight="1"/>
    <row r="918" ht="12.75" customHeight="1"/>
    <row r="919" ht="12.75" customHeight="1"/>
    <row r="920" ht="12.75" customHeight="1"/>
    <row r="921" ht="12.75" customHeight="1"/>
    <row r="922" ht="12.75" customHeight="1"/>
    <row r="923" ht="12.75" customHeight="1"/>
    <row r="924" ht="12.75" customHeight="1"/>
    <row r="925" ht="12.75" customHeight="1"/>
    <row r="926" ht="12.75" customHeight="1"/>
    <row r="927" ht="12.75" customHeight="1"/>
    <row r="928" ht="12.75" customHeight="1"/>
    <row r="929" ht="12.75" customHeight="1"/>
    <row r="930" ht="12.75" customHeight="1"/>
    <row r="931" ht="12.75" customHeight="1"/>
    <row r="932" ht="12.75" customHeight="1"/>
    <row r="933" ht="12.75" customHeight="1"/>
    <row r="934" ht="12.75" customHeight="1"/>
    <row r="935" ht="12.75" customHeight="1"/>
    <row r="936" ht="12.75" customHeight="1"/>
    <row r="937" ht="12.75" customHeight="1"/>
    <row r="938" ht="12.75" customHeight="1"/>
    <row r="939" ht="12.75" customHeight="1"/>
    <row r="940" ht="12.75" customHeight="1"/>
    <row r="941" ht="12.75" customHeight="1"/>
    <row r="942" ht="12.75" customHeight="1"/>
    <row r="943" ht="12.75" customHeight="1"/>
    <row r="944" ht="12.75" customHeight="1"/>
    <row r="945" ht="12.75" customHeight="1"/>
    <row r="946" ht="12.75" customHeight="1"/>
    <row r="947" ht="12.75" customHeight="1"/>
    <row r="948" ht="12.75" customHeight="1"/>
    <row r="949" ht="12.75" customHeight="1"/>
    <row r="950" ht="12.75" customHeight="1"/>
    <row r="951" ht="12.75" customHeight="1"/>
    <row r="952" ht="12.75" customHeight="1"/>
    <row r="953" ht="12.75" customHeight="1"/>
    <row r="954" ht="12.75" customHeight="1"/>
    <row r="955" ht="12.75" customHeight="1"/>
    <row r="956" ht="12.75" customHeight="1"/>
    <row r="957" ht="12.75" customHeight="1"/>
    <row r="958" ht="12.75" customHeight="1"/>
    <row r="959" ht="12.75" customHeight="1"/>
    <row r="960" ht="12.75" customHeight="1"/>
    <row r="961" ht="12.75" customHeight="1"/>
    <row r="962" ht="12.75" customHeight="1"/>
    <row r="963" ht="12.75" customHeight="1"/>
    <row r="964" ht="12.75" customHeight="1"/>
    <row r="965" ht="12.75" customHeight="1"/>
    <row r="966" ht="12.75" customHeight="1"/>
    <row r="967" ht="12.75" customHeight="1"/>
    <row r="968" ht="12.75" customHeight="1"/>
    <row r="969" ht="12.75" customHeight="1"/>
    <row r="970" ht="12.75" customHeight="1"/>
    <row r="971" ht="12.75" customHeight="1"/>
    <row r="972" ht="12.75" customHeight="1"/>
    <row r="973" ht="12.75" customHeight="1"/>
    <row r="974" ht="12.75" customHeight="1"/>
    <row r="975" ht="12.75" customHeight="1"/>
    <row r="976" ht="12.75" customHeight="1"/>
    <row r="977" ht="12.75" customHeight="1"/>
    <row r="978" ht="12.75" customHeight="1"/>
    <row r="979" ht="12.75" customHeight="1"/>
    <row r="980" ht="12.75" customHeight="1"/>
    <row r="981" ht="12.75" customHeight="1"/>
    <row r="982" ht="12.75" customHeight="1"/>
    <row r="983" ht="12.75" customHeight="1"/>
    <row r="984" ht="12.75" customHeight="1"/>
    <row r="985" ht="12.75" customHeight="1"/>
    <row r="986" ht="12.75" customHeight="1"/>
    <row r="987" ht="12.75" customHeight="1"/>
    <row r="988" ht="12.75" customHeight="1"/>
    <row r="989" ht="12.75" customHeight="1"/>
    <row r="990" ht="12.75" customHeight="1"/>
    <row r="991" ht="12.75" customHeight="1"/>
    <row r="992" ht="12.75" customHeight="1"/>
    <row r="993" ht="12.75" customHeight="1"/>
    <row r="994" ht="12.75" customHeight="1"/>
    <row r="995" ht="12.75" customHeight="1"/>
    <row r="996" ht="12.75" customHeight="1"/>
    <row r="997" ht="12.75" customHeight="1"/>
    <row r="998" ht="12.75" customHeight="1"/>
    <row r="999" ht="12.75" customHeight="1"/>
    <row r="1000" ht="12.75" customHeight="1"/>
  </sheetData>
  <printOptions/>
  <pageMargins bottom="0.984027777777778" footer="0.0" header="0.0" left="0.7875" right="0.7875" top="0.984027777777778"/>
  <pageSetup paperSize="9" orientation="portrait"/>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outlinePr summaryBelow="0" summaryRight="0"/>
  </sheetPr>
  <sheetViews>
    <sheetView workbookViewId="0"/>
  </sheetViews>
  <sheetFormatPr customHeight="1" defaultColWidth="12.63" defaultRowHeight="15.0"/>
  <sheetData>
    <row r="1">
      <c r="A1" s="39" t="s">
        <v>26</v>
      </c>
      <c r="B1" s="39" t="s">
        <v>28</v>
      </c>
    </row>
    <row r="2">
      <c r="A2" s="39">
        <v>2017.0</v>
      </c>
      <c r="B2" s="39" t="s">
        <v>41</v>
      </c>
    </row>
    <row r="3">
      <c r="A3" s="40">
        <f t="shared" ref="A3:A10" si="1"> A2 + 1</f>
        <v>2018</v>
      </c>
      <c r="B3" s="39" t="s">
        <v>41</v>
      </c>
    </row>
    <row r="4">
      <c r="A4" s="40">
        <f t="shared" si="1"/>
        <v>2019</v>
      </c>
      <c r="B4" s="39" t="s">
        <v>41</v>
      </c>
    </row>
    <row r="5">
      <c r="A5" s="40">
        <f t="shared" si="1"/>
        <v>2020</v>
      </c>
      <c r="B5" s="39" t="s">
        <v>42</v>
      </c>
    </row>
    <row r="6">
      <c r="A6" s="40">
        <f t="shared" si="1"/>
        <v>2021</v>
      </c>
      <c r="B6" s="39" t="s">
        <v>41</v>
      </c>
    </row>
    <row r="7">
      <c r="A7" s="40">
        <f t="shared" si="1"/>
        <v>2022</v>
      </c>
      <c r="B7" s="39" t="s">
        <v>41</v>
      </c>
    </row>
    <row r="8">
      <c r="A8" s="40">
        <f t="shared" si="1"/>
        <v>2023</v>
      </c>
      <c r="B8" s="39" t="s">
        <v>41</v>
      </c>
    </row>
    <row r="9">
      <c r="A9" s="40">
        <f t="shared" si="1"/>
        <v>2024</v>
      </c>
      <c r="B9" s="39" t="s">
        <v>60</v>
      </c>
    </row>
    <row r="10">
      <c r="A10" s="40">
        <f t="shared" si="1"/>
        <v>2025</v>
      </c>
      <c r="B10" s="39" t="s">
        <v>60</v>
      </c>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3" width="10.63"/>
    <col customWidth="1" min="4" max="5" width="15.13"/>
    <col customWidth="1" min="6" max="104" width="10.63"/>
  </cols>
  <sheetData>
    <row r="1" ht="12.75" customHeight="1">
      <c r="A1" s="35" t="s">
        <v>25</v>
      </c>
      <c r="B1" s="35" t="s">
        <v>31</v>
      </c>
      <c r="C1" s="35" t="s">
        <v>17</v>
      </c>
      <c r="D1" s="44" t="s">
        <v>24</v>
      </c>
    </row>
    <row r="2" ht="12.75" customHeight="1">
      <c r="A2" s="35">
        <v>1.0</v>
      </c>
      <c r="B2" s="39">
        <v>1.0</v>
      </c>
      <c r="C2" s="35">
        <v>1.0</v>
      </c>
      <c r="D2" s="45">
        <f>IFERROR(__xludf.DUMMYFUNCTION(" sum (filter (ZONE (MOIS_VERS_ANNEE (A2), address (2, C2 + 6) &amp; "":"" &amp; address (9999, C2 + 6)), month (ZONE (MOIS_VERS_ANNEE (A2), ""A2:A"")) = mod (A2 - 1, 12) + 1, ZONE (MOIS_VERS_ANNEE (A2), ""A2:A"") &lt;&gt; """")) - D3"),462.0)</f>
        <v>462</v>
      </c>
      <c r="E2" s="46"/>
    </row>
    <row r="3" ht="12.75" customHeight="1">
      <c r="A3" s="35">
        <v>1.0</v>
      </c>
      <c r="B3" s="39">
        <v>1.0</v>
      </c>
      <c r="C3" s="35">
        <v>2.0</v>
      </c>
      <c r="D3" s="45">
        <f>IFERROR(__xludf.DUMMYFUNCTION(" sum (filter (ZONE (MOIS_VERS_ANNEE (A3), address (2, C3 + 6) &amp; "":"" &amp; address (9999, C3 + 6)), month (ZONE (MOIS_VERS_ANNEE (A3), ""A2:A"")) = mod (A3 - 1, 12) + 1, ZONE (MOIS_VERS_ANNEE (A3), ""A2:A"") &lt;&gt; """"))"),91.0)</f>
        <v>91</v>
      </c>
      <c r="E3" s="47"/>
    </row>
    <row r="4" ht="12.75" customHeight="1">
      <c r="A4" s="35">
        <v>1.0</v>
      </c>
      <c r="B4" s="39">
        <v>2.0</v>
      </c>
      <c r="C4" s="36">
        <f t="shared" ref="C4:C433" si="1"> C2</f>
        <v>1</v>
      </c>
      <c r="D4" s="45">
        <f> indirect(address(match("Nbre " &amp; vlookup(A4, Mois!$A$2:$C1000, 3), ZONE(MOIS_VERS_ANNEE(A4), "K:K"), 0) - 1, C4 + 11, 4, true, MOIS_VERS_ANNEE(A4)))</f>
        <v>52</v>
      </c>
      <c r="E4" s="47"/>
    </row>
    <row r="5" ht="12.75" customHeight="1">
      <c r="A5" s="35">
        <v>1.0</v>
      </c>
      <c r="B5" s="39">
        <v>2.0</v>
      </c>
      <c r="C5" s="36">
        <f t="shared" si="1"/>
        <v>2</v>
      </c>
      <c r="D5" s="45">
        <f> indirect(address(match("Nbre " &amp; vlookup(A5, Mois!$A$2:$C1000, 3), ZONE(MOIS_VERS_ANNEE(A5), "K:K"), 0) - 1, C5 + 11, 4, true, MOIS_VERS_ANNEE(A5)))</f>
        <v>2</v>
      </c>
      <c r="E5" s="47"/>
    </row>
    <row r="6" ht="12.75" customHeight="1">
      <c r="A6" s="36">
        <f t="shared" ref="A6:A433" si="2"> A2 + 1</f>
        <v>2</v>
      </c>
      <c r="B6" s="40">
        <f t="shared" ref="B6:B433" si="3"> B2</f>
        <v>1</v>
      </c>
      <c r="C6" s="36">
        <f t="shared" si="1"/>
        <v>1</v>
      </c>
      <c r="D6" s="45">
        <f>IFERROR(__xludf.DUMMYFUNCTION(" sum (filter (ZONE (MOIS_VERS_ANNEE (A6), address (2, C6 + 6) &amp; "":"" &amp; address (9999, C6 + 6)), month (ZONE (MOIS_VERS_ANNEE (A6), ""A2:A"")) = mod (A6 - 1, 12) + 1, ZONE (MOIS_VERS_ANNEE (A6), ""A2:A"") &lt;&gt; """")) - D7"),507.0)</f>
        <v>507</v>
      </c>
      <c r="E6" s="46"/>
    </row>
    <row r="7" ht="12.75" customHeight="1">
      <c r="A7" s="36">
        <f t="shared" si="2"/>
        <v>2</v>
      </c>
      <c r="B7" s="40">
        <f t="shared" si="3"/>
        <v>1</v>
      </c>
      <c r="C7" s="36">
        <f t="shared" si="1"/>
        <v>2</v>
      </c>
      <c r="D7" s="45">
        <f>IFERROR(__xludf.DUMMYFUNCTION(" sum (filter (ZONE (MOIS_VERS_ANNEE (A7), address (2, C7 + 6) &amp; "":"" &amp; address (9999, C7 + 6)), month (ZONE (MOIS_VERS_ANNEE (A7), ""A2:A"")) = mod (A7 - 1, 12) + 1, ZONE (MOIS_VERS_ANNEE (A7), ""A2:A"") &lt;&gt; """"))"),96.0)</f>
        <v>96</v>
      </c>
      <c r="E7" s="47"/>
    </row>
    <row r="8" ht="12.75" customHeight="1">
      <c r="A8" s="36">
        <f t="shared" si="2"/>
        <v>2</v>
      </c>
      <c r="B8" s="40">
        <f t="shared" si="3"/>
        <v>2</v>
      </c>
      <c r="C8" s="36">
        <f t="shared" si="1"/>
        <v>1</v>
      </c>
      <c r="D8" s="45">
        <f> indirect(address(match("Nbre " &amp; vlookup(A8, Mois!$A$2:$C1000, 3), ZONE(MOIS_VERS_ANNEE(A8), "K:K"), 0) - 1, C8 + 11, 4, true, MOIS_VERS_ANNEE(A8)))</f>
        <v>92</v>
      </c>
      <c r="E8" s="47"/>
    </row>
    <row r="9" ht="12.75" customHeight="1">
      <c r="A9" s="36">
        <f t="shared" si="2"/>
        <v>2</v>
      </c>
      <c r="B9" s="40">
        <f t="shared" si="3"/>
        <v>2</v>
      </c>
      <c r="C9" s="36">
        <f t="shared" si="1"/>
        <v>2</v>
      </c>
      <c r="D9" s="45">
        <f> indirect(address(match("Nbre " &amp; vlookup(A9, Mois!$A$2:$C1000, 3), ZONE(MOIS_VERS_ANNEE(A9), "K:K"), 0) - 1, C9 + 11, 4, true, MOIS_VERS_ANNEE(A9)))</f>
        <v>6</v>
      </c>
      <c r="E9" s="47"/>
    </row>
    <row r="10" ht="12.75" customHeight="1">
      <c r="A10" s="36">
        <f t="shared" si="2"/>
        <v>3</v>
      </c>
      <c r="B10" s="40">
        <f t="shared" si="3"/>
        <v>1</v>
      </c>
      <c r="C10" s="36">
        <f t="shared" si="1"/>
        <v>1</v>
      </c>
      <c r="D10" s="45">
        <f>IFERROR(__xludf.DUMMYFUNCTION(" sum (filter (ZONE (MOIS_VERS_ANNEE (A10), address (2, C10 + 6) &amp; "":"" &amp; address (9999, C10 + 6)), month (ZONE (MOIS_VERS_ANNEE (A10), ""A2:A"")) = mod (A10 - 1, 12) + 1, ZONE (MOIS_VERS_ANNEE (A10), ""A2:A"") &lt;&gt; """")) - D11"),518.0)</f>
        <v>518</v>
      </c>
      <c r="E10" s="46"/>
    </row>
    <row r="11" ht="12.75" customHeight="1">
      <c r="A11" s="36">
        <f t="shared" si="2"/>
        <v>3</v>
      </c>
      <c r="B11" s="40">
        <f t="shared" si="3"/>
        <v>1</v>
      </c>
      <c r="C11" s="36">
        <f t="shared" si="1"/>
        <v>2</v>
      </c>
      <c r="D11" s="45">
        <f>IFERROR(__xludf.DUMMYFUNCTION(" sum (filter (ZONE (MOIS_VERS_ANNEE (A11), address (2, C11 + 6) &amp; "":"" &amp; address (9999, C11 + 6)), month (ZONE (MOIS_VERS_ANNEE (A11), ""A2:A"")) = mod (A11 - 1, 12) + 1, ZONE (MOIS_VERS_ANNEE (A11), ""A2:A"") &lt;&gt; """"))"),110.0)</f>
        <v>110</v>
      </c>
      <c r="E11" s="47"/>
    </row>
    <row r="12" ht="12.75" customHeight="1">
      <c r="A12" s="36">
        <f t="shared" si="2"/>
        <v>3</v>
      </c>
      <c r="B12" s="40">
        <f t="shared" si="3"/>
        <v>2</v>
      </c>
      <c r="C12" s="36">
        <f t="shared" si="1"/>
        <v>1</v>
      </c>
      <c r="D12" s="45">
        <f> indirect(address(match("Nbre " &amp; vlookup(A12, Mois!$A$2:$C1000, 3), ZONE(MOIS_VERS_ANNEE(A12), "K:K"), 0) - 1, C12 + 11, 4, true, MOIS_VERS_ANNEE(A12)))</f>
        <v>79</v>
      </c>
      <c r="E12" s="47"/>
    </row>
    <row r="13" ht="12.75" customHeight="1">
      <c r="A13" s="36">
        <f t="shared" si="2"/>
        <v>3</v>
      </c>
      <c r="B13" s="40">
        <f t="shared" si="3"/>
        <v>2</v>
      </c>
      <c r="C13" s="36">
        <f t="shared" si="1"/>
        <v>2</v>
      </c>
      <c r="D13" s="45">
        <f> indirect(address(match("Nbre " &amp; vlookup(A13, Mois!$A$2:$C1000, 3), ZONE(MOIS_VERS_ANNEE(A13), "K:K"), 0) - 1, C13 + 11, 4, true, MOIS_VERS_ANNEE(A13)))</f>
        <v>7</v>
      </c>
      <c r="E13" s="47"/>
    </row>
    <row r="14" ht="12.75" customHeight="1">
      <c r="A14" s="36">
        <f t="shared" si="2"/>
        <v>4</v>
      </c>
      <c r="B14" s="40">
        <f t="shared" si="3"/>
        <v>1</v>
      </c>
      <c r="C14" s="36">
        <f t="shared" si="1"/>
        <v>1</v>
      </c>
      <c r="D14" s="45">
        <f>IFERROR(__xludf.DUMMYFUNCTION(" sum (filter (ZONE (MOIS_VERS_ANNEE (A14), address (2, C14 + 6) &amp; "":"" &amp; address (9999, C14 + 6)), month (ZONE (MOIS_VERS_ANNEE (A14), ""A2:A"")) = mod (A14 - 1, 12) + 1, ZONE (MOIS_VERS_ANNEE (A14), ""A2:A"") &lt;&gt; """")) - D15"),427.0)</f>
        <v>427</v>
      </c>
      <c r="E14" s="46"/>
    </row>
    <row r="15" ht="12.75" customHeight="1">
      <c r="A15" s="36">
        <f t="shared" si="2"/>
        <v>4</v>
      </c>
      <c r="B15" s="40">
        <f t="shared" si="3"/>
        <v>1</v>
      </c>
      <c r="C15" s="36">
        <f t="shared" si="1"/>
        <v>2</v>
      </c>
      <c r="D15" s="45">
        <f>IFERROR(__xludf.DUMMYFUNCTION(" sum (filter (ZONE (MOIS_VERS_ANNEE (A15), address (2, C15 + 6) &amp; "":"" &amp; address (9999, C15 + 6)), month (ZONE (MOIS_VERS_ANNEE (A15), ""A2:A"")) = mod (A15 - 1, 12) + 1, ZONE (MOIS_VERS_ANNEE (A15), ""A2:A"") &lt;&gt; """"))"),90.0)</f>
        <v>90</v>
      </c>
      <c r="E15" s="47"/>
    </row>
    <row r="16" ht="12.75" customHeight="1">
      <c r="A16" s="36">
        <f t="shared" si="2"/>
        <v>4</v>
      </c>
      <c r="B16" s="40">
        <f t="shared" si="3"/>
        <v>2</v>
      </c>
      <c r="C16" s="36">
        <f t="shared" si="1"/>
        <v>1</v>
      </c>
      <c r="D16" s="45">
        <f> indirect(address(match("Nbre " &amp; vlookup(A16, Mois!$A$2:$C1000, 3), ZONE(MOIS_VERS_ANNEE(A16), "K:K"), 0) - 1, C16 + 11, 4, true, MOIS_VERS_ANNEE(A16)))</f>
        <v>72</v>
      </c>
      <c r="E16" s="47"/>
    </row>
    <row r="17" ht="12.75" customHeight="1">
      <c r="A17" s="36">
        <f t="shared" si="2"/>
        <v>4</v>
      </c>
      <c r="B17" s="40">
        <f t="shared" si="3"/>
        <v>2</v>
      </c>
      <c r="C17" s="36">
        <f t="shared" si="1"/>
        <v>2</v>
      </c>
      <c r="D17" s="45">
        <f> indirect(address(match("Nbre " &amp; vlookup(A17, Mois!$A$2:$C1000, 3), ZONE(MOIS_VERS_ANNEE(A17), "K:K"), 0) - 1, C17 + 11, 4, true, MOIS_VERS_ANNEE(A17)))</f>
        <v>10</v>
      </c>
      <c r="E17" s="47"/>
    </row>
    <row r="18" ht="12.75" customHeight="1">
      <c r="A18" s="36">
        <f t="shared" si="2"/>
        <v>5</v>
      </c>
      <c r="B18" s="40">
        <f t="shared" si="3"/>
        <v>1</v>
      </c>
      <c r="C18" s="36">
        <f t="shared" si="1"/>
        <v>1</v>
      </c>
      <c r="D18" s="45">
        <f>IFERROR(__xludf.DUMMYFUNCTION(" sum (filter (ZONE (MOIS_VERS_ANNEE (A18), address (2, C18 + 6) &amp; "":"" &amp; address (9999, C18 + 6)), month (ZONE (MOIS_VERS_ANNEE (A18), ""A2:A"")) = mod (A18 - 1, 12) + 1, ZONE (MOIS_VERS_ANNEE (A18), ""A2:A"") &lt;&gt; """")) - D19"),424.0)</f>
        <v>424</v>
      </c>
      <c r="E18" s="46"/>
    </row>
    <row r="19" ht="12.75" customHeight="1">
      <c r="A19" s="36">
        <f t="shared" si="2"/>
        <v>5</v>
      </c>
      <c r="B19" s="40">
        <f t="shared" si="3"/>
        <v>1</v>
      </c>
      <c r="C19" s="36">
        <f t="shared" si="1"/>
        <v>2</v>
      </c>
      <c r="D19" s="45">
        <f>IFERROR(__xludf.DUMMYFUNCTION(" sum (filter (ZONE (MOIS_VERS_ANNEE (A19), address (2, C19 + 6) &amp; "":"" &amp; address (9999, C19 + 6)), month (ZONE (MOIS_VERS_ANNEE (A19), ""A2:A"")) = mod (A19 - 1, 12) + 1, ZONE (MOIS_VERS_ANNEE (A19), ""A2:A"") &lt;&gt; """"))"),99.0)</f>
        <v>99</v>
      </c>
      <c r="E19" s="47"/>
    </row>
    <row r="20" ht="12.75" customHeight="1">
      <c r="A20" s="36">
        <f t="shared" si="2"/>
        <v>5</v>
      </c>
      <c r="B20" s="40">
        <f t="shared" si="3"/>
        <v>2</v>
      </c>
      <c r="C20" s="36">
        <f t="shared" si="1"/>
        <v>1</v>
      </c>
      <c r="D20" s="45">
        <f> indirect(address(match("Nbre " &amp; vlookup(A20, Mois!$A$2:$C1000, 3), ZONE(MOIS_VERS_ANNEE(A20), "K:K"), 0) - 1, C20 + 11, 4, true, MOIS_VERS_ANNEE(A20)))</f>
        <v>66</v>
      </c>
      <c r="E20" s="47"/>
    </row>
    <row r="21" ht="12.75" customHeight="1">
      <c r="A21" s="36">
        <f t="shared" si="2"/>
        <v>5</v>
      </c>
      <c r="B21" s="40">
        <f t="shared" si="3"/>
        <v>2</v>
      </c>
      <c r="C21" s="36">
        <f t="shared" si="1"/>
        <v>2</v>
      </c>
      <c r="D21" s="45">
        <f> indirect(address(match("Nbre " &amp; vlookup(A21, Mois!$A$2:$C1000, 3), ZONE(MOIS_VERS_ANNEE(A21), "K:K"), 0) - 1, C21 + 11, 4, true, MOIS_VERS_ANNEE(A21)))</f>
        <v>2</v>
      </c>
      <c r="E21" s="47"/>
    </row>
    <row r="22" ht="12.75" customHeight="1">
      <c r="A22" s="36">
        <f t="shared" si="2"/>
        <v>6</v>
      </c>
      <c r="B22" s="40">
        <f t="shared" si="3"/>
        <v>1</v>
      </c>
      <c r="C22" s="36">
        <f t="shared" si="1"/>
        <v>1</v>
      </c>
      <c r="D22" s="45">
        <f>IFERROR(__xludf.DUMMYFUNCTION(" sum (filter (ZONE (MOIS_VERS_ANNEE (A22), address (2, C22 + 6) &amp; "":"" &amp; address (9999, C22 + 6)), month (ZONE (MOIS_VERS_ANNEE (A22), ""A2:A"")) = mod (A22 - 1, 12) + 1, ZONE (MOIS_VERS_ANNEE (A22), ""A2:A"") &lt;&gt; """")) - D23"),433.0)</f>
        <v>433</v>
      </c>
      <c r="E22" s="46"/>
    </row>
    <row r="23" ht="12.75" customHeight="1">
      <c r="A23" s="36">
        <f t="shared" si="2"/>
        <v>6</v>
      </c>
      <c r="B23" s="40">
        <f t="shared" si="3"/>
        <v>1</v>
      </c>
      <c r="C23" s="36">
        <f t="shared" si="1"/>
        <v>2</v>
      </c>
      <c r="D23" s="45">
        <f>IFERROR(__xludf.DUMMYFUNCTION(" sum (filter (ZONE (MOIS_VERS_ANNEE (A23), address (2, C23 + 6) &amp; "":"" &amp; address (9999, C23 + 6)), month (ZONE (MOIS_VERS_ANNEE (A23), ""A2:A"")) = mod (A23 - 1, 12) + 1, ZONE (MOIS_VERS_ANNEE (A23), ""A2:A"") &lt;&gt; """"))"),75.0)</f>
        <v>75</v>
      </c>
      <c r="E23" s="47"/>
    </row>
    <row r="24" ht="12.75" customHeight="1">
      <c r="A24" s="36">
        <f t="shared" si="2"/>
        <v>6</v>
      </c>
      <c r="B24" s="40">
        <f t="shared" si="3"/>
        <v>2</v>
      </c>
      <c r="C24" s="36">
        <f t="shared" si="1"/>
        <v>1</v>
      </c>
      <c r="D24" s="45">
        <f> indirect(address(match("Nbre " &amp; vlookup(A24, Mois!$A$2:$C1000, 3), ZONE(MOIS_VERS_ANNEE(A24), "K:K"), 0) - 1, C24 + 11, 4, true, MOIS_VERS_ANNEE(A24)))</f>
        <v>93</v>
      </c>
      <c r="E24" s="47"/>
    </row>
    <row r="25" ht="12.75" customHeight="1">
      <c r="A25" s="36">
        <f t="shared" si="2"/>
        <v>6</v>
      </c>
      <c r="B25" s="40">
        <f t="shared" si="3"/>
        <v>2</v>
      </c>
      <c r="C25" s="36">
        <f t="shared" si="1"/>
        <v>2</v>
      </c>
      <c r="D25" s="45">
        <f> indirect(address(match("Nbre " &amp; vlookup(A25, Mois!$A$2:$C1000, 3), ZONE(MOIS_VERS_ANNEE(A25), "K:K"), 0) - 1, C25 + 11, 4, true, MOIS_VERS_ANNEE(A25)))</f>
        <v>6</v>
      </c>
      <c r="E25" s="47"/>
    </row>
    <row r="26" ht="12.75" customHeight="1">
      <c r="A26" s="36">
        <f t="shared" si="2"/>
        <v>7</v>
      </c>
      <c r="B26" s="40">
        <f t="shared" si="3"/>
        <v>1</v>
      </c>
      <c r="C26" s="36">
        <f t="shared" si="1"/>
        <v>1</v>
      </c>
      <c r="D26" s="45">
        <f>IFERROR(__xludf.DUMMYFUNCTION(" sum (filter (ZONE (MOIS_VERS_ANNEE (A26), address (2, C26 + 6) &amp; "":"" &amp; address (9999, C26 + 6)), month (ZONE (MOIS_VERS_ANNEE (A26), ""A2:A"")) = mod (A26 - 1, 12) + 1, ZONE (MOIS_VERS_ANNEE (A26), ""A2:A"") &lt;&gt; """")) - D27"),420.0)</f>
        <v>420</v>
      </c>
      <c r="E26" s="46"/>
    </row>
    <row r="27" ht="12.75" customHeight="1">
      <c r="A27" s="36">
        <f t="shared" si="2"/>
        <v>7</v>
      </c>
      <c r="B27" s="40">
        <f t="shared" si="3"/>
        <v>1</v>
      </c>
      <c r="C27" s="36">
        <f t="shared" si="1"/>
        <v>2</v>
      </c>
      <c r="D27" s="45">
        <f>IFERROR(__xludf.DUMMYFUNCTION(" sum (filter (ZONE (MOIS_VERS_ANNEE (A27), address (2, C27 + 6) &amp; "":"" &amp; address (9999, C27 + 6)), month (ZONE (MOIS_VERS_ANNEE (A27), ""A2:A"")) = mod (A27 - 1, 12) + 1, ZONE (MOIS_VERS_ANNEE (A27), ""A2:A"") &lt;&gt; """"))"),71.0)</f>
        <v>71</v>
      </c>
      <c r="E27" s="47"/>
    </row>
    <row r="28" ht="12.75" customHeight="1">
      <c r="A28" s="36">
        <f t="shared" si="2"/>
        <v>7</v>
      </c>
      <c r="B28" s="40">
        <f t="shared" si="3"/>
        <v>2</v>
      </c>
      <c r="C28" s="36">
        <f t="shared" si="1"/>
        <v>1</v>
      </c>
      <c r="D28" s="45">
        <f> indirect(address(match("Nbre " &amp; vlookup(A28, Mois!$A$2:$C1000, 3), ZONE(MOIS_VERS_ANNEE(A28), "K:K"), 0) - 1, C28 + 11, 4, true, MOIS_VERS_ANNEE(A28)))</f>
        <v>71</v>
      </c>
      <c r="E28" s="47"/>
    </row>
    <row r="29" ht="12.75" customHeight="1">
      <c r="A29" s="36">
        <f t="shared" si="2"/>
        <v>7</v>
      </c>
      <c r="B29" s="40">
        <f t="shared" si="3"/>
        <v>2</v>
      </c>
      <c r="C29" s="36">
        <f t="shared" si="1"/>
        <v>2</v>
      </c>
      <c r="D29" s="45">
        <f> indirect(address(match("Nbre " &amp; vlookup(A29, Mois!$A$2:$C1000, 3), ZONE(MOIS_VERS_ANNEE(A29), "K:K"), 0) - 1, C29 + 11, 4, true, MOIS_VERS_ANNEE(A29)))</f>
        <v>5</v>
      </c>
      <c r="E29" s="47"/>
    </row>
    <row r="30" ht="12.75" customHeight="1">
      <c r="A30" s="36">
        <f t="shared" si="2"/>
        <v>8</v>
      </c>
      <c r="B30" s="40">
        <f t="shared" si="3"/>
        <v>1</v>
      </c>
      <c r="C30" s="36">
        <f t="shared" si="1"/>
        <v>1</v>
      </c>
      <c r="D30" s="45">
        <f>IFERROR(__xludf.DUMMYFUNCTION(" sum (filter (ZONE (MOIS_VERS_ANNEE (A30), address (2, C30 + 6) &amp; "":"" &amp; address (9999, C30 + 6)), month (ZONE (MOIS_VERS_ANNEE (A30), ""A2:A"")) = mod (A30 - 1, 12) + 1, ZONE (MOIS_VERS_ANNEE (A30), ""A2:A"") &lt;&gt; """")) - D31"),256.0)</f>
        <v>256</v>
      </c>
      <c r="E30" s="46"/>
    </row>
    <row r="31" ht="12.75" customHeight="1">
      <c r="A31" s="36">
        <f t="shared" si="2"/>
        <v>8</v>
      </c>
      <c r="B31" s="40">
        <f t="shared" si="3"/>
        <v>1</v>
      </c>
      <c r="C31" s="36">
        <f t="shared" si="1"/>
        <v>2</v>
      </c>
      <c r="D31" s="45">
        <f>IFERROR(__xludf.DUMMYFUNCTION(" sum (filter (ZONE (MOIS_VERS_ANNEE (A31), address (2, C31 + 6) &amp; "":"" &amp; address (9999, C31 + 6)), month (ZONE (MOIS_VERS_ANNEE (A31), ""A2:A"")) = mod (A31 - 1, 12) + 1, ZONE (MOIS_VERS_ANNEE (A31), ""A2:A"") &lt;&gt; """"))"),86.0)</f>
        <v>86</v>
      </c>
      <c r="E31" s="47"/>
    </row>
    <row r="32" ht="12.75" customHeight="1">
      <c r="A32" s="36">
        <f t="shared" si="2"/>
        <v>8</v>
      </c>
      <c r="B32" s="40">
        <f t="shared" si="3"/>
        <v>2</v>
      </c>
      <c r="C32" s="36">
        <f t="shared" si="1"/>
        <v>1</v>
      </c>
      <c r="D32" s="45">
        <f> indirect(address(match("Nbre " &amp; vlookup(A32, Mois!$A$2:$C1000, 3), ZONE(MOIS_VERS_ANNEE(A32), "K:K"), 0) - 1, C32 + 11, 4, true, MOIS_VERS_ANNEE(A32)))</f>
        <v>21</v>
      </c>
      <c r="E32" s="47"/>
    </row>
    <row r="33" ht="12.75" customHeight="1">
      <c r="A33" s="36">
        <f t="shared" si="2"/>
        <v>8</v>
      </c>
      <c r="B33" s="40">
        <f t="shared" si="3"/>
        <v>2</v>
      </c>
      <c r="C33" s="36">
        <f t="shared" si="1"/>
        <v>2</v>
      </c>
      <c r="D33" s="45">
        <f> indirect(address(match("Nbre " &amp; vlookup(A33, Mois!$A$2:$C1000, 3), ZONE(MOIS_VERS_ANNEE(A33), "K:K"), 0) - 1, C33 + 11, 4, true, MOIS_VERS_ANNEE(A33)))</f>
        <v>2</v>
      </c>
      <c r="E33" s="47"/>
    </row>
    <row r="34" ht="12.75" customHeight="1">
      <c r="A34" s="36">
        <f t="shared" si="2"/>
        <v>9</v>
      </c>
      <c r="B34" s="40">
        <f t="shared" si="3"/>
        <v>1</v>
      </c>
      <c r="C34" s="36">
        <f t="shared" si="1"/>
        <v>1</v>
      </c>
      <c r="D34" s="45">
        <f>IFERROR(__xludf.DUMMYFUNCTION(" sum (filter (ZONE (MOIS_VERS_ANNEE (A34), address (2, C34 + 6) &amp; "":"" &amp; address (9999, C34 + 6)), month (ZONE (MOIS_VERS_ANNEE (A34), ""A2:A"")) = mod (A34 - 1, 12) + 1, ZONE (MOIS_VERS_ANNEE (A34), ""A2:A"") &lt;&gt; """")) - D35"),342.0)</f>
        <v>342</v>
      </c>
      <c r="E34" s="46"/>
    </row>
    <row r="35" ht="12.75" customHeight="1">
      <c r="A35" s="36">
        <f t="shared" si="2"/>
        <v>9</v>
      </c>
      <c r="B35" s="40">
        <f t="shared" si="3"/>
        <v>1</v>
      </c>
      <c r="C35" s="36">
        <f t="shared" si="1"/>
        <v>2</v>
      </c>
      <c r="D35" s="45">
        <f>IFERROR(__xludf.DUMMYFUNCTION(" sum (filter (ZONE (MOIS_VERS_ANNEE (A35), address (2, C35 + 6) &amp; "":"" &amp; address (9999, C35 + 6)), month (ZONE (MOIS_VERS_ANNEE (A35), ""A2:A"")) = mod (A35 - 1, 12) + 1, ZONE (MOIS_VERS_ANNEE (A35), ""A2:A"") &lt;&gt; """"))"),91.0)</f>
        <v>91</v>
      </c>
      <c r="E35" s="47"/>
    </row>
    <row r="36" ht="12.75" customHeight="1">
      <c r="A36" s="36">
        <f t="shared" si="2"/>
        <v>9</v>
      </c>
      <c r="B36" s="40">
        <f t="shared" si="3"/>
        <v>2</v>
      </c>
      <c r="C36" s="36">
        <f t="shared" si="1"/>
        <v>1</v>
      </c>
      <c r="D36" s="45">
        <f> indirect(address(match("Nbre " &amp; vlookup(A36, Mois!$A$2:$C1000, 3), ZONE(MOIS_VERS_ANNEE(A36), "K:K"), 0) - 1, C36 + 11, 4, true, MOIS_VERS_ANNEE(A36)))</f>
        <v>82</v>
      </c>
      <c r="E36" s="47"/>
    </row>
    <row r="37" ht="12.75" customHeight="1">
      <c r="A37" s="36">
        <f t="shared" si="2"/>
        <v>9</v>
      </c>
      <c r="B37" s="40">
        <f t="shared" si="3"/>
        <v>2</v>
      </c>
      <c r="C37" s="36">
        <f t="shared" si="1"/>
        <v>2</v>
      </c>
      <c r="D37" s="45">
        <f> indirect(address(match("Nbre " &amp; vlookup(A37, Mois!$A$2:$C1000, 3), ZONE(MOIS_VERS_ANNEE(A37), "K:K"), 0) - 1, C37 + 11, 4, true, MOIS_VERS_ANNEE(A37)))</f>
        <v>6</v>
      </c>
      <c r="E37" s="47"/>
    </row>
    <row r="38" ht="12.75" customHeight="1">
      <c r="A38" s="36">
        <f t="shared" si="2"/>
        <v>10</v>
      </c>
      <c r="B38" s="40">
        <f t="shared" si="3"/>
        <v>1</v>
      </c>
      <c r="C38" s="36">
        <f t="shared" si="1"/>
        <v>1</v>
      </c>
      <c r="D38" s="45">
        <f>IFERROR(__xludf.DUMMYFUNCTION(" sum (filter (ZONE (MOIS_VERS_ANNEE (A38), address (2, C38 + 6) &amp; "":"" &amp; address (9999, C38 + 6)), month (ZONE (MOIS_VERS_ANNEE (A38), ""A2:A"")) = mod (A38 - 1, 12) + 1, ZONE (MOIS_VERS_ANNEE (A38), ""A2:A"") &lt;&gt; """")) - D39"),480.0)</f>
        <v>480</v>
      </c>
      <c r="E38" s="46"/>
    </row>
    <row r="39" ht="12.75" customHeight="1">
      <c r="A39" s="36">
        <f t="shared" si="2"/>
        <v>10</v>
      </c>
      <c r="B39" s="40">
        <f t="shared" si="3"/>
        <v>1</v>
      </c>
      <c r="C39" s="36">
        <f t="shared" si="1"/>
        <v>2</v>
      </c>
      <c r="D39" s="45">
        <f>IFERROR(__xludf.DUMMYFUNCTION(" sum (filter (ZONE (MOIS_VERS_ANNEE (A39), address (2, C39 + 6) &amp; "":"" &amp; address (9999, C39 + 6)), month (ZONE (MOIS_VERS_ANNEE (A39), ""A2:A"")) = mod (A39 - 1, 12) + 1, ZONE (MOIS_VERS_ANNEE (A39), ""A2:A"") &lt;&gt; """"))"),105.0)</f>
        <v>105</v>
      </c>
      <c r="E39" s="47"/>
    </row>
    <row r="40" ht="12.75" customHeight="1">
      <c r="A40" s="36">
        <f t="shared" si="2"/>
        <v>10</v>
      </c>
      <c r="B40" s="40">
        <f t="shared" si="3"/>
        <v>2</v>
      </c>
      <c r="C40" s="36">
        <f t="shared" si="1"/>
        <v>1</v>
      </c>
      <c r="D40" s="45">
        <f> indirect(address(match("Nbre " &amp; vlookup(A40, Mois!$A$2:$C1000, 3), ZONE(MOIS_VERS_ANNEE(A40), "K:K"), 0) - 1, C40 + 11, 4, true, MOIS_VERS_ANNEE(A40)))</f>
        <v>101</v>
      </c>
      <c r="E40" s="47"/>
    </row>
    <row r="41" ht="12.75" customHeight="1">
      <c r="A41" s="36">
        <f t="shared" si="2"/>
        <v>10</v>
      </c>
      <c r="B41" s="40">
        <f t="shared" si="3"/>
        <v>2</v>
      </c>
      <c r="C41" s="36">
        <f t="shared" si="1"/>
        <v>2</v>
      </c>
      <c r="D41" s="45">
        <f> indirect(address(match("Nbre " &amp; vlookup(A41, Mois!$A$2:$C1000, 3), ZONE(MOIS_VERS_ANNEE(A41), "K:K"), 0) - 1, C41 + 11, 4, true, MOIS_VERS_ANNEE(A41)))</f>
        <v>6</v>
      </c>
      <c r="E41" s="47"/>
    </row>
    <row r="42" ht="12.75" customHeight="1">
      <c r="A42" s="36">
        <f t="shared" si="2"/>
        <v>11</v>
      </c>
      <c r="B42" s="40">
        <f t="shared" si="3"/>
        <v>1</v>
      </c>
      <c r="C42" s="36">
        <f t="shared" si="1"/>
        <v>1</v>
      </c>
      <c r="D42" s="45">
        <f>IFERROR(__xludf.DUMMYFUNCTION(" sum (filter (ZONE (MOIS_VERS_ANNEE (A42), address (2, C42 + 6) &amp; "":"" &amp; address (9999, C42 + 6)), month (ZONE (MOIS_VERS_ANNEE (A42), ""A2:A"")) = mod (A42 - 1, 12) + 1, ZONE (MOIS_VERS_ANNEE (A42), ""A2:A"") &lt;&gt; """")) - D43"),283.0)</f>
        <v>283</v>
      </c>
      <c r="E42" s="46"/>
    </row>
    <row r="43" ht="12.75" customHeight="1">
      <c r="A43" s="36">
        <f t="shared" si="2"/>
        <v>11</v>
      </c>
      <c r="B43" s="40">
        <f t="shared" si="3"/>
        <v>1</v>
      </c>
      <c r="C43" s="36">
        <f t="shared" si="1"/>
        <v>2</v>
      </c>
      <c r="D43" s="45">
        <f>IFERROR(__xludf.DUMMYFUNCTION(" sum (filter (ZONE (MOIS_VERS_ANNEE (A43), address (2, C43 + 6) &amp; "":"" &amp; address (9999, C43 + 6)), month (ZONE (MOIS_VERS_ANNEE (A43), ""A2:A"")) = mod (A43 - 1, 12) + 1, ZONE (MOIS_VERS_ANNEE (A43), ""A2:A"") &lt;&gt; """"))"),92.0)</f>
        <v>92</v>
      </c>
      <c r="E43" s="47"/>
    </row>
    <row r="44" ht="12.75" customHeight="1">
      <c r="A44" s="36">
        <f t="shared" si="2"/>
        <v>11</v>
      </c>
      <c r="B44" s="40">
        <f t="shared" si="3"/>
        <v>2</v>
      </c>
      <c r="C44" s="36">
        <f t="shared" si="1"/>
        <v>1</v>
      </c>
      <c r="D44" s="45">
        <f> indirect(address(match("Nbre " &amp; vlookup(A44, Mois!$A$2:$C1000, 3), ZONE(MOIS_VERS_ANNEE(A44), "K:K"), 0) - 1, C44 + 11, 4, true, MOIS_VERS_ANNEE(A44)))</f>
        <v>55</v>
      </c>
      <c r="E44" s="47"/>
    </row>
    <row r="45" ht="12.75" customHeight="1">
      <c r="A45" s="36">
        <f t="shared" si="2"/>
        <v>11</v>
      </c>
      <c r="B45" s="40">
        <f t="shared" si="3"/>
        <v>2</v>
      </c>
      <c r="C45" s="36">
        <f t="shared" si="1"/>
        <v>2</v>
      </c>
      <c r="D45" s="45">
        <f> indirect(address(match("Nbre " &amp; vlookup(A45, Mois!$A$2:$C1000, 3), ZONE(MOIS_VERS_ANNEE(A45), "K:K"), 0) - 1, C45 + 11, 4, true, MOIS_VERS_ANNEE(A45)))</f>
        <v>9</v>
      </c>
      <c r="E45" s="47"/>
    </row>
    <row r="46" ht="12.75" customHeight="1">
      <c r="A46" s="36">
        <f t="shared" si="2"/>
        <v>12</v>
      </c>
      <c r="B46" s="40">
        <f t="shared" si="3"/>
        <v>1</v>
      </c>
      <c r="C46" s="36">
        <f t="shared" si="1"/>
        <v>1</v>
      </c>
      <c r="D46" s="45">
        <f>IFERROR(__xludf.DUMMYFUNCTION(" sum (filter (ZONE (MOIS_VERS_ANNEE (A46), address (2, C46 + 6) &amp; "":"" &amp; address (9999, C46 + 6)), month (ZONE (MOIS_VERS_ANNEE (A46), ""A2:A"")) = mod (A46 - 1, 12) + 1, ZONE (MOIS_VERS_ANNEE (A46), ""A2:A"") &lt;&gt; """")) - D47"),264.0)</f>
        <v>264</v>
      </c>
      <c r="E46" s="46"/>
    </row>
    <row r="47" ht="12.75" customHeight="1">
      <c r="A47" s="36">
        <f t="shared" si="2"/>
        <v>12</v>
      </c>
      <c r="B47" s="40">
        <f t="shared" si="3"/>
        <v>1</v>
      </c>
      <c r="C47" s="36">
        <f t="shared" si="1"/>
        <v>2</v>
      </c>
      <c r="D47" s="45">
        <f>IFERROR(__xludf.DUMMYFUNCTION(" sum (filter (ZONE (MOIS_VERS_ANNEE (A47), address (2, C47 + 6) &amp; "":"" &amp; address (9999, C47 + 6)), month (ZONE (MOIS_VERS_ANNEE (A47), ""A2:A"")) = mod (A47 - 1, 12) + 1, ZONE (MOIS_VERS_ANNEE (A47), ""A2:A"") &lt;&gt; """"))"),66.0)</f>
        <v>66</v>
      </c>
      <c r="E47" s="47"/>
    </row>
    <row r="48" ht="12.75" customHeight="1">
      <c r="A48" s="36">
        <f t="shared" si="2"/>
        <v>12</v>
      </c>
      <c r="B48" s="40">
        <f t="shared" si="3"/>
        <v>2</v>
      </c>
      <c r="C48" s="36">
        <f t="shared" si="1"/>
        <v>1</v>
      </c>
      <c r="D48" s="45">
        <f> indirect(address(match("Nbre " &amp; vlookup(A48, Mois!$A$2:$C1000, 3), ZONE(MOIS_VERS_ANNEE(A48), "K:K"), 0) - 1, C48 + 11, 4, true, MOIS_VERS_ANNEE(A48)))</f>
        <v>19</v>
      </c>
      <c r="E48" s="47"/>
    </row>
    <row r="49" ht="12.75" customHeight="1">
      <c r="A49" s="36">
        <f t="shared" si="2"/>
        <v>12</v>
      </c>
      <c r="B49" s="40">
        <f t="shared" si="3"/>
        <v>2</v>
      </c>
      <c r="C49" s="36">
        <f t="shared" si="1"/>
        <v>2</v>
      </c>
      <c r="D49" s="45">
        <f> indirect(address(match("Nbre " &amp; vlookup(A49, Mois!$A$2:$C1000, 3), ZONE(MOIS_VERS_ANNEE(A49), "K:K"), 0) - 1, C49 + 11, 4, true, MOIS_VERS_ANNEE(A49)))</f>
        <v>2</v>
      </c>
      <c r="E49" s="47"/>
    </row>
    <row r="50" ht="12.75" customHeight="1">
      <c r="A50" s="36">
        <f t="shared" si="2"/>
        <v>13</v>
      </c>
      <c r="B50" s="40">
        <f t="shared" si="3"/>
        <v>1</v>
      </c>
      <c r="C50" s="36">
        <f t="shared" si="1"/>
        <v>1</v>
      </c>
      <c r="D50" s="45">
        <f>IFERROR(__xludf.DUMMYFUNCTION(" sum (filter (ZONE (MOIS_VERS_ANNEE (A50), address (2, C50 + 6) &amp; "":"" &amp; address (9999, C50 + 6)), month (ZONE (MOIS_VERS_ANNEE (A50), ""A2:A"")) = mod (A50 - 1, 12) + 1, ZONE (MOIS_VERS_ANNEE (A50), ""A2:A"") &lt;&gt; """")) - D51"),339.0)</f>
        <v>339</v>
      </c>
      <c r="E50" s="46"/>
      <c r="F50" s="48"/>
      <c r="H50" s="48"/>
    </row>
    <row r="51" ht="12.75" customHeight="1">
      <c r="A51" s="36">
        <f t="shared" si="2"/>
        <v>13</v>
      </c>
      <c r="B51" s="40">
        <f t="shared" si="3"/>
        <v>1</v>
      </c>
      <c r="C51" s="36">
        <f t="shared" si="1"/>
        <v>2</v>
      </c>
      <c r="D51" s="45">
        <f>IFERROR(__xludf.DUMMYFUNCTION(" sum (filter (ZONE (MOIS_VERS_ANNEE (A51), address (2, C51 + 6) &amp; "":"" &amp; address (9999, C51 + 6)), month (ZONE (MOIS_VERS_ANNEE (A51), ""A2:A"")) = mod (A51 - 1, 12) + 1, ZONE (MOIS_VERS_ANNEE (A51), ""A2:A"") &lt;&gt; """"))"),98.0)</f>
        <v>98</v>
      </c>
      <c r="E51" s="47"/>
      <c r="F51" s="48"/>
      <c r="H51" s="48"/>
    </row>
    <row r="52" ht="12.75" customHeight="1">
      <c r="A52" s="36">
        <f t="shared" si="2"/>
        <v>13</v>
      </c>
      <c r="B52" s="40">
        <f t="shared" si="3"/>
        <v>2</v>
      </c>
      <c r="C52" s="36">
        <f t="shared" si="1"/>
        <v>1</v>
      </c>
      <c r="D52" s="45">
        <f> indirect(address(match("Nbre " &amp; vlookup(A52, Mois!$A$2:$C1000, 3), ZONE(MOIS_VERS_ANNEE(A52), "K:K"), 0) - 1, C52 + 11, 4, true, MOIS_VERS_ANNEE(A52)))</f>
        <v>68</v>
      </c>
      <c r="E52" s="47"/>
      <c r="F52" s="48"/>
      <c r="H52" s="48"/>
    </row>
    <row r="53" ht="12.75" customHeight="1">
      <c r="A53" s="36">
        <f t="shared" si="2"/>
        <v>13</v>
      </c>
      <c r="B53" s="40">
        <f t="shared" si="3"/>
        <v>2</v>
      </c>
      <c r="C53" s="36">
        <f t="shared" si="1"/>
        <v>2</v>
      </c>
      <c r="D53" s="45">
        <f> indirect(address(match("Nbre " &amp; vlookup(A53, Mois!$A$2:$C1000, 3), ZONE(MOIS_VERS_ANNEE(A53), "K:K"), 0) - 1, C53 + 11, 4, true, MOIS_VERS_ANNEE(A53)))</f>
        <v>11</v>
      </c>
      <c r="E53" s="47"/>
      <c r="F53" s="48"/>
      <c r="H53" s="48"/>
    </row>
    <row r="54" ht="12.75" customHeight="1">
      <c r="A54" s="36">
        <f t="shared" si="2"/>
        <v>14</v>
      </c>
      <c r="B54" s="40">
        <f t="shared" si="3"/>
        <v>1</v>
      </c>
      <c r="C54" s="36">
        <f t="shared" si="1"/>
        <v>1</v>
      </c>
      <c r="D54" s="45">
        <f>IFERROR(__xludf.DUMMYFUNCTION(" sum (filter (ZONE (MOIS_VERS_ANNEE (A54), address (2, C54 + 6) &amp; "":"" &amp; address (9999, C54 + 6)), month (ZONE (MOIS_VERS_ANNEE (A54), ""A2:A"")) = mod (A54 - 1, 12) + 1, ZONE (MOIS_VERS_ANNEE (A54), ""A2:A"") &lt;&gt; """")) - D55"),425.0)</f>
        <v>425</v>
      </c>
      <c r="E54" s="46"/>
    </row>
    <row r="55" ht="12.75" customHeight="1">
      <c r="A55" s="36">
        <f t="shared" si="2"/>
        <v>14</v>
      </c>
      <c r="B55" s="40">
        <f t="shared" si="3"/>
        <v>1</v>
      </c>
      <c r="C55" s="36">
        <f t="shared" si="1"/>
        <v>2</v>
      </c>
      <c r="D55" s="45">
        <f>IFERROR(__xludf.DUMMYFUNCTION(" sum (filter (ZONE (MOIS_VERS_ANNEE (A55), address (2, C55 + 6) &amp; "":"" &amp; address (9999, C55 + 6)), month (ZONE (MOIS_VERS_ANNEE (A55), ""A2:A"")) = mod (A55 - 1, 12) + 1, ZONE (MOIS_VERS_ANNEE (A55), ""A2:A"") &lt;&gt; """"))"),98.0)</f>
        <v>98</v>
      </c>
      <c r="E55" s="47"/>
    </row>
    <row r="56" ht="12.75" customHeight="1">
      <c r="A56" s="36">
        <f t="shared" si="2"/>
        <v>14</v>
      </c>
      <c r="B56" s="40">
        <f t="shared" si="3"/>
        <v>2</v>
      </c>
      <c r="C56" s="36">
        <f t="shared" si="1"/>
        <v>1</v>
      </c>
      <c r="D56" s="45">
        <f> indirect(address(match("Nbre " &amp; vlookup(A56, Mois!$A$2:$C1000, 3), ZONE(MOIS_VERS_ANNEE(A56), "K:K"), 0) - 1, C56 + 11, 4, true, MOIS_VERS_ANNEE(A56)))</f>
        <v>101</v>
      </c>
      <c r="E56" s="47"/>
    </row>
    <row r="57" ht="12.75" customHeight="1">
      <c r="A57" s="36">
        <f t="shared" si="2"/>
        <v>14</v>
      </c>
      <c r="B57" s="40">
        <f t="shared" si="3"/>
        <v>2</v>
      </c>
      <c r="C57" s="36">
        <f t="shared" si="1"/>
        <v>2</v>
      </c>
      <c r="D57" s="45">
        <f> indirect(address(match("Nbre " &amp; vlookup(A57, Mois!$A$2:$C1000, 3), ZONE(MOIS_VERS_ANNEE(A57), "K:K"), 0) - 1, C57 + 11, 4, true, MOIS_VERS_ANNEE(A57)))</f>
        <v>7</v>
      </c>
      <c r="E57" s="47"/>
    </row>
    <row r="58" ht="12.75" customHeight="1">
      <c r="A58" s="36">
        <f t="shared" si="2"/>
        <v>15</v>
      </c>
      <c r="B58" s="40">
        <f t="shared" si="3"/>
        <v>1</v>
      </c>
      <c r="C58" s="36">
        <f t="shared" si="1"/>
        <v>1</v>
      </c>
      <c r="D58" s="45">
        <f>IFERROR(__xludf.DUMMYFUNCTION(" sum (filter (ZONE (MOIS_VERS_ANNEE (A58), address (2, C58 + 6) &amp; "":"" &amp; address (9999, C58 + 6)), month (ZONE (MOIS_VERS_ANNEE (A58), ""A2:A"")) = mod (A58 - 1, 12) + 1, ZONE (MOIS_VERS_ANNEE (A58), ""A2:A"") &lt;&gt; """")) - D59"),427.0)</f>
        <v>427</v>
      </c>
      <c r="E58" s="46"/>
    </row>
    <row r="59" ht="12.75" customHeight="1">
      <c r="A59" s="36">
        <f t="shared" si="2"/>
        <v>15</v>
      </c>
      <c r="B59" s="40">
        <f t="shared" si="3"/>
        <v>1</v>
      </c>
      <c r="C59" s="36">
        <f t="shared" si="1"/>
        <v>2</v>
      </c>
      <c r="D59" s="45">
        <f>IFERROR(__xludf.DUMMYFUNCTION(" sum (filter (ZONE (MOIS_VERS_ANNEE (A59), address (2, C59 + 6) &amp; "":"" &amp; address (9999, C59 + 6)), month (ZONE (MOIS_VERS_ANNEE (A59), ""A2:A"")) = mod (A59 - 1, 12) + 1, ZONE (MOIS_VERS_ANNEE (A59), ""A2:A"") &lt;&gt; """"))"),110.0)</f>
        <v>110</v>
      </c>
      <c r="E59" s="47"/>
    </row>
    <row r="60" ht="12.75" customHeight="1">
      <c r="A60" s="36">
        <f t="shared" si="2"/>
        <v>15</v>
      </c>
      <c r="B60" s="40">
        <f t="shared" si="3"/>
        <v>2</v>
      </c>
      <c r="C60" s="36">
        <f t="shared" si="1"/>
        <v>1</v>
      </c>
      <c r="D60" s="45">
        <f> indirect(address(match("Nbre " &amp; vlookup(A60, Mois!$A$2:$C1000, 3), ZONE(MOIS_VERS_ANNEE(A60), "K:K"), 0) - 1, C60 + 11, 4, true, MOIS_VERS_ANNEE(A60)))</f>
        <v>103</v>
      </c>
      <c r="E60" s="47"/>
    </row>
    <row r="61" ht="12.75" customHeight="1">
      <c r="A61" s="36">
        <f t="shared" si="2"/>
        <v>15</v>
      </c>
      <c r="B61" s="40">
        <f t="shared" si="3"/>
        <v>2</v>
      </c>
      <c r="C61" s="36">
        <f t="shared" si="1"/>
        <v>2</v>
      </c>
      <c r="D61" s="45">
        <f> indirect(address(match("Nbre " &amp; vlookup(A61, Mois!$A$2:$C1000, 3), ZONE(MOIS_VERS_ANNEE(A61), "K:K"), 0) - 1, C61 + 11, 4, true, MOIS_VERS_ANNEE(A61)))</f>
        <v>8</v>
      </c>
      <c r="E61" s="47"/>
    </row>
    <row r="62" ht="12.75" customHeight="1">
      <c r="A62" s="36">
        <f t="shared" si="2"/>
        <v>16</v>
      </c>
      <c r="B62" s="40">
        <f t="shared" si="3"/>
        <v>1</v>
      </c>
      <c r="C62" s="36">
        <f t="shared" si="1"/>
        <v>1</v>
      </c>
      <c r="D62" s="45">
        <f>IFERROR(__xludf.DUMMYFUNCTION(" sum (filter (ZONE (MOIS_VERS_ANNEE (A62), address (2, C62 + 6) &amp; "":"" &amp; address (9999, C62 + 6)), month (ZONE (MOIS_VERS_ANNEE (A62), ""A2:A"")) = mod (A62 - 1, 12) + 1, ZONE (MOIS_VERS_ANNEE (A62), ""A2:A"") &lt;&gt; """")) - D63"),413.0)</f>
        <v>413</v>
      </c>
      <c r="E62" s="46"/>
    </row>
    <row r="63" ht="12.75" customHeight="1">
      <c r="A63" s="36">
        <f t="shared" si="2"/>
        <v>16</v>
      </c>
      <c r="B63" s="40">
        <f t="shared" si="3"/>
        <v>1</v>
      </c>
      <c r="C63" s="36">
        <f t="shared" si="1"/>
        <v>2</v>
      </c>
      <c r="D63" s="45">
        <f>IFERROR(__xludf.DUMMYFUNCTION(" sum (filter (ZONE (MOIS_VERS_ANNEE (A63), address (2, C63 + 6) &amp; "":"" &amp; address (9999, C63 + 6)), month (ZONE (MOIS_VERS_ANNEE (A63), ""A2:A"")) = mod (A63 - 1, 12) + 1, ZONE (MOIS_VERS_ANNEE (A63), ""A2:A"") &lt;&gt; """"))"),85.0)</f>
        <v>85</v>
      </c>
      <c r="E63" s="47"/>
    </row>
    <row r="64" ht="12.75" customHeight="1">
      <c r="A64" s="36">
        <f t="shared" si="2"/>
        <v>16</v>
      </c>
      <c r="B64" s="40">
        <f t="shared" si="3"/>
        <v>2</v>
      </c>
      <c r="C64" s="36">
        <f t="shared" si="1"/>
        <v>1</v>
      </c>
      <c r="D64" s="45">
        <f> indirect(address(match("Nbre " &amp; vlookup(A64, Mois!$A$2:$C1000, 3), ZONE(MOIS_VERS_ANNEE(A64), "K:K"), 0) - 1, C64 + 11, 4, true, MOIS_VERS_ANNEE(A64)))</f>
        <v>81</v>
      </c>
      <c r="E64" s="47"/>
    </row>
    <row r="65" ht="12.75" customHeight="1">
      <c r="A65" s="36">
        <f t="shared" si="2"/>
        <v>16</v>
      </c>
      <c r="B65" s="40">
        <f t="shared" si="3"/>
        <v>2</v>
      </c>
      <c r="C65" s="36">
        <f t="shared" si="1"/>
        <v>2</v>
      </c>
      <c r="D65" s="45">
        <f> indirect(address(match("Nbre " &amp; vlookup(A65, Mois!$A$2:$C1000, 3), ZONE(MOIS_VERS_ANNEE(A65), "K:K"), 0) - 1, C65 + 11, 4, true, MOIS_VERS_ANNEE(A65)))</f>
        <v>10</v>
      </c>
      <c r="E65" s="47"/>
    </row>
    <row r="66" ht="12.75" customHeight="1">
      <c r="A66" s="36">
        <f t="shared" si="2"/>
        <v>17</v>
      </c>
      <c r="B66" s="40">
        <f t="shared" si="3"/>
        <v>1</v>
      </c>
      <c r="C66" s="36">
        <f t="shared" si="1"/>
        <v>1</v>
      </c>
      <c r="D66" s="45">
        <f>IFERROR(__xludf.DUMMYFUNCTION(" sum (filter (ZONE (MOIS_VERS_ANNEE (A66), address (2, C66 + 6) &amp; "":"" &amp; address (9999, C66 + 6)), month (ZONE (MOIS_VERS_ANNEE (A66), ""A2:A"")) = mod (A66 - 1, 12) + 1, ZONE (MOIS_VERS_ANNEE (A66), ""A2:A"") &lt;&gt; """")) - D67"),297.0)</f>
        <v>297</v>
      </c>
      <c r="E66" s="46"/>
    </row>
    <row r="67" ht="12.75" customHeight="1">
      <c r="A67" s="36">
        <f t="shared" si="2"/>
        <v>17</v>
      </c>
      <c r="B67" s="40">
        <f t="shared" si="3"/>
        <v>1</v>
      </c>
      <c r="C67" s="36">
        <f t="shared" si="1"/>
        <v>2</v>
      </c>
      <c r="D67" s="45">
        <f>IFERROR(__xludf.DUMMYFUNCTION(" sum (filter (ZONE (MOIS_VERS_ANNEE (A67), address (2, C67 + 6) &amp; "":"" &amp; address (9999, C67 + 6)), month (ZONE (MOIS_VERS_ANNEE (A67), ""A2:A"")) = mod (A67 - 1, 12) + 1, ZONE (MOIS_VERS_ANNEE (A67), ""A2:A"") &lt;&gt; """"))"),66.0)</f>
        <v>66</v>
      </c>
      <c r="E67" s="47"/>
    </row>
    <row r="68" ht="12.75" customHeight="1">
      <c r="A68" s="36">
        <f t="shared" si="2"/>
        <v>17</v>
      </c>
      <c r="B68" s="40">
        <f t="shared" si="3"/>
        <v>2</v>
      </c>
      <c r="C68" s="36">
        <f t="shared" si="1"/>
        <v>1</v>
      </c>
      <c r="D68" s="45">
        <f> indirect(address(match("Nbre " &amp; vlookup(A68, Mois!$A$2:$C1000, 3), ZONE(MOIS_VERS_ANNEE(A68), "K:K"), 0) - 1, C68 + 11, 4, true, MOIS_VERS_ANNEE(A68)))</f>
        <v>43</v>
      </c>
      <c r="E68" s="47"/>
    </row>
    <row r="69" ht="12.75" customHeight="1">
      <c r="A69" s="36">
        <f t="shared" si="2"/>
        <v>17</v>
      </c>
      <c r="B69" s="40">
        <f t="shared" si="3"/>
        <v>2</v>
      </c>
      <c r="C69" s="36">
        <f t="shared" si="1"/>
        <v>2</v>
      </c>
      <c r="D69" s="45">
        <f> indirect(address(match("Nbre " &amp; vlookup(A69, Mois!$A$2:$C1000, 3), ZONE(MOIS_VERS_ANNEE(A69), "K:K"), 0) - 1, C69 + 11, 4, true, MOIS_VERS_ANNEE(A69)))</f>
        <v>10</v>
      </c>
      <c r="E69" s="47"/>
    </row>
    <row r="70" ht="12.75" customHeight="1">
      <c r="A70" s="36">
        <f t="shared" si="2"/>
        <v>18</v>
      </c>
      <c r="B70" s="40">
        <f t="shared" si="3"/>
        <v>1</v>
      </c>
      <c r="C70" s="36">
        <f t="shared" si="1"/>
        <v>1</v>
      </c>
      <c r="D70" s="45">
        <f>IFERROR(__xludf.DUMMYFUNCTION(" sum (filter (ZONE (MOIS_VERS_ANNEE (A70), address (2, C70 + 6) &amp; "":"" &amp; address (9999, C70 + 6)), month (ZONE (MOIS_VERS_ANNEE (A70), ""A2:A"")) = mod (A70 - 1, 12) + 1, ZONE (MOIS_VERS_ANNEE (A70), ""A2:A"") &lt;&gt; """")) - D71"),391.0)</f>
        <v>391</v>
      </c>
      <c r="E70" s="46"/>
    </row>
    <row r="71" ht="12.75" customHeight="1">
      <c r="A71" s="36">
        <f t="shared" si="2"/>
        <v>18</v>
      </c>
      <c r="B71" s="40">
        <f t="shared" si="3"/>
        <v>1</v>
      </c>
      <c r="C71" s="36">
        <f t="shared" si="1"/>
        <v>2</v>
      </c>
      <c r="D71" s="45">
        <f>IFERROR(__xludf.DUMMYFUNCTION(" sum (filter (ZONE (MOIS_VERS_ANNEE (A71), address (2, C71 + 6) &amp; "":"" &amp; address (9999, C71 + 6)), month (ZONE (MOIS_VERS_ANNEE (A71), ""A2:A"")) = mod (A71 - 1, 12) + 1, ZONE (MOIS_VERS_ANNEE (A71), ""A2:A"") &lt;&gt; """"))"),72.0)</f>
        <v>72</v>
      </c>
      <c r="E71" s="47"/>
    </row>
    <row r="72" ht="12.75" customHeight="1">
      <c r="A72" s="36">
        <f t="shared" si="2"/>
        <v>18</v>
      </c>
      <c r="B72" s="40">
        <f t="shared" si="3"/>
        <v>2</v>
      </c>
      <c r="C72" s="36">
        <f t="shared" si="1"/>
        <v>1</v>
      </c>
      <c r="D72" s="45">
        <f> indirect(address(match("Nbre " &amp; vlookup(A72, Mois!$A$2:$C1000, 3), ZONE(MOIS_VERS_ANNEE(A72), "K:K"), 0) - 1, C72 + 11, 4, true, MOIS_VERS_ANNEE(A72)))</f>
        <v>38</v>
      </c>
      <c r="E72" s="47"/>
    </row>
    <row r="73" ht="12.75" customHeight="1">
      <c r="A73" s="36">
        <f t="shared" si="2"/>
        <v>18</v>
      </c>
      <c r="B73" s="40">
        <f t="shared" si="3"/>
        <v>2</v>
      </c>
      <c r="C73" s="36">
        <f t="shared" si="1"/>
        <v>2</v>
      </c>
      <c r="D73" s="45">
        <f> indirect(address(match("Nbre " &amp; vlookup(A73, Mois!$A$2:$C1000, 3), ZONE(MOIS_VERS_ANNEE(A73), "K:K"), 0) - 1, C73 + 11, 4, true, MOIS_VERS_ANNEE(A73)))</f>
        <v>3</v>
      </c>
      <c r="E73" s="47"/>
    </row>
    <row r="74" ht="12.75" customHeight="1">
      <c r="A74" s="36">
        <f t="shared" si="2"/>
        <v>19</v>
      </c>
      <c r="B74" s="40">
        <f t="shared" si="3"/>
        <v>1</v>
      </c>
      <c r="C74" s="36">
        <f t="shared" si="1"/>
        <v>1</v>
      </c>
      <c r="D74" s="45">
        <f>IFERROR(__xludf.DUMMYFUNCTION(" sum (filter (ZONE (MOIS_VERS_ANNEE (A74), address (2, C74 + 6) &amp; "":"" &amp; address (9999, C74 + 6)), month (ZONE (MOIS_VERS_ANNEE (A74), ""A2:A"")) = mod (A74 - 1, 12) + 1, ZONE (MOIS_VERS_ANNEE (A74), ""A2:A"") &lt;&gt; """")) - D75"),247.0)</f>
        <v>247</v>
      </c>
      <c r="E74" s="46"/>
    </row>
    <row r="75" ht="12.75" customHeight="1">
      <c r="A75" s="36">
        <f t="shared" si="2"/>
        <v>19</v>
      </c>
      <c r="B75" s="40">
        <f t="shared" si="3"/>
        <v>1</v>
      </c>
      <c r="C75" s="36">
        <f t="shared" si="1"/>
        <v>2</v>
      </c>
      <c r="D75" s="45">
        <f>IFERROR(__xludf.DUMMYFUNCTION(" sum (filter (ZONE (MOIS_VERS_ANNEE (A75), address (2, C75 + 6) &amp; "":"" &amp; address (9999, C75 + 6)), month (ZONE (MOIS_VERS_ANNEE (A75), ""A2:A"")) = mod (A75 - 1, 12) + 1, ZONE (MOIS_VERS_ANNEE (A75), ""A2:A"") &lt;&gt; """"))"),68.0)</f>
        <v>68</v>
      </c>
      <c r="E75" s="47"/>
    </row>
    <row r="76" ht="12.75" customHeight="1">
      <c r="A76" s="36">
        <f t="shared" si="2"/>
        <v>19</v>
      </c>
      <c r="B76" s="40">
        <f t="shared" si="3"/>
        <v>2</v>
      </c>
      <c r="C76" s="36">
        <f t="shared" si="1"/>
        <v>1</v>
      </c>
      <c r="D76" s="45">
        <f> indirect(address(match("Nbre " &amp; vlookup(A76, Mois!$A$2:$C1000, 3), ZONE(MOIS_VERS_ANNEE(A76), "K:K"), 0) - 1, C76 + 11, 4, true, MOIS_VERS_ANNEE(A76)))</f>
        <v>25</v>
      </c>
      <c r="E76" s="47"/>
    </row>
    <row r="77" ht="12.75" customHeight="1">
      <c r="A77" s="36">
        <f t="shared" si="2"/>
        <v>19</v>
      </c>
      <c r="B77" s="40">
        <f t="shared" si="3"/>
        <v>2</v>
      </c>
      <c r="C77" s="36">
        <f t="shared" si="1"/>
        <v>2</v>
      </c>
      <c r="D77" s="45">
        <f> indirect(address(match("Nbre " &amp; vlookup(A77, Mois!$A$2:$C1000, 3), ZONE(MOIS_VERS_ANNEE(A77), "K:K"), 0) - 1, C77 + 11, 4, true, MOIS_VERS_ANNEE(A77)))</f>
        <v>4</v>
      </c>
      <c r="E77" s="47"/>
    </row>
    <row r="78" ht="12.75" customHeight="1">
      <c r="A78" s="36">
        <f t="shared" si="2"/>
        <v>20</v>
      </c>
      <c r="B78" s="40">
        <f t="shared" si="3"/>
        <v>1</v>
      </c>
      <c r="C78" s="36">
        <f t="shared" si="1"/>
        <v>1</v>
      </c>
      <c r="D78" s="45">
        <f>IFERROR(__xludf.DUMMYFUNCTION(" sum (filter (ZONE (MOIS_VERS_ANNEE (A78), address (2, C78 + 6) &amp; "":"" &amp; address (9999, C78 + 6)), month (ZONE (MOIS_VERS_ANNEE (A78), ""A2:A"")) = mod (A78 - 1, 12) + 1, ZONE (MOIS_VERS_ANNEE (A78), ""A2:A"") &lt;&gt; """")) - D79"),152.0)</f>
        <v>152</v>
      </c>
      <c r="E78" s="46"/>
    </row>
    <row r="79" ht="12.75" customHeight="1">
      <c r="A79" s="36">
        <f t="shared" si="2"/>
        <v>20</v>
      </c>
      <c r="B79" s="40">
        <f t="shared" si="3"/>
        <v>1</v>
      </c>
      <c r="C79" s="36">
        <f t="shared" si="1"/>
        <v>2</v>
      </c>
      <c r="D79" s="45">
        <f>IFERROR(__xludf.DUMMYFUNCTION(" sum (filter (ZONE (MOIS_VERS_ANNEE (A79), address (2, C79 + 6) &amp; "":"" &amp; address (9999, C79 + 6)), month (ZONE (MOIS_VERS_ANNEE (A79), ""A2:A"")) = mod (A79 - 1, 12) + 1, ZONE (MOIS_VERS_ANNEE (A79), ""A2:A"") &lt;&gt; """"))"),42.0)</f>
        <v>42</v>
      </c>
      <c r="E79" s="47"/>
    </row>
    <row r="80" ht="12.75" customHeight="1">
      <c r="A80" s="36">
        <f t="shared" si="2"/>
        <v>20</v>
      </c>
      <c r="B80" s="40">
        <f t="shared" si="3"/>
        <v>2</v>
      </c>
      <c r="C80" s="36">
        <f t="shared" si="1"/>
        <v>1</v>
      </c>
      <c r="D80" s="44" t="s">
        <v>60</v>
      </c>
      <c r="E80" s="47"/>
    </row>
    <row r="81" ht="12.75" customHeight="1">
      <c r="A81" s="36">
        <f t="shared" si="2"/>
        <v>20</v>
      </c>
      <c r="B81" s="40">
        <f t="shared" si="3"/>
        <v>2</v>
      </c>
      <c r="C81" s="36">
        <f t="shared" si="1"/>
        <v>2</v>
      </c>
      <c r="D81" s="44" t="s">
        <v>60</v>
      </c>
      <c r="E81" s="47"/>
    </row>
    <row r="82" ht="12.75" customHeight="1">
      <c r="A82" s="36">
        <f t="shared" si="2"/>
        <v>21</v>
      </c>
      <c r="B82" s="40">
        <f t="shared" si="3"/>
        <v>1</v>
      </c>
      <c r="C82" s="36">
        <f t="shared" si="1"/>
        <v>1</v>
      </c>
      <c r="D82" s="45">
        <f>IFERROR(__xludf.DUMMYFUNCTION(" sum (filter (ZONE (MOIS_VERS_ANNEE (A82), address (2, C82 + 6) &amp; "":"" &amp; address (9999, C82 + 6)), month (ZONE (MOIS_VERS_ANNEE (A82), ""A2:A"")) = mod (A82 - 1, 12) + 1, ZONE (MOIS_VERS_ANNEE (A82), ""A2:A"") &lt;&gt; """")) - D83"),368.0)</f>
        <v>368</v>
      </c>
      <c r="E82" s="46"/>
    </row>
    <row r="83" ht="12.75" customHeight="1">
      <c r="A83" s="36">
        <f t="shared" si="2"/>
        <v>21</v>
      </c>
      <c r="B83" s="40">
        <f t="shared" si="3"/>
        <v>1</v>
      </c>
      <c r="C83" s="36">
        <f t="shared" si="1"/>
        <v>2</v>
      </c>
      <c r="D83" s="45">
        <f>IFERROR(__xludf.DUMMYFUNCTION(" sum (filter (ZONE (MOIS_VERS_ANNEE (A83), address (2, C83 + 6) &amp; "":"" &amp; address (9999, C83 + 6)), month (ZONE (MOIS_VERS_ANNEE (A83), ""A2:A"")) = mod (A83 - 1, 12) + 1, ZONE (MOIS_VERS_ANNEE (A83), ""A2:A"") &lt;&gt; """"))"),98.0)</f>
        <v>98</v>
      </c>
      <c r="E83" s="47"/>
    </row>
    <row r="84" ht="12.75" customHeight="1">
      <c r="A84" s="36">
        <f t="shared" si="2"/>
        <v>21</v>
      </c>
      <c r="B84" s="40">
        <f t="shared" si="3"/>
        <v>2</v>
      </c>
      <c r="C84" s="36">
        <f t="shared" si="1"/>
        <v>1</v>
      </c>
      <c r="D84" s="44" t="s">
        <v>60</v>
      </c>
      <c r="E84" s="47"/>
    </row>
    <row r="85" ht="12.75" customHeight="1">
      <c r="A85" s="36">
        <f t="shared" si="2"/>
        <v>21</v>
      </c>
      <c r="B85" s="40">
        <f t="shared" si="3"/>
        <v>2</v>
      </c>
      <c r="C85" s="36">
        <f t="shared" si="1"/>
        <v>2</v>
      </c>
      <c r="D85" s="44" t="s">
        <v>60</v>
      </c>
      <c r="E85" s="47"/>
    </row>
    <row r="86" ht="12.75" customHeight="1">
      <c r="A86" s="36">
        <f t="shared" si="2"/>
        <v>22</v>
      </c>
      <c r="B86" s="40">
        <f t="shared" si="3"/>
        <v>1</v>
      </c>
      <c r="C86" s="36">
        <f t="shared" si="1"/>
        <v>1</v>
      </c>
      <c r="D86" s="45">
        <f>IFERROR(__xludf.DUMMYFUNCTION(" sum (filter (ZONE (MOIS_VERS_ANNEE (A86), address (2, C86 + 6) &amp; "":"" &amp; address (9999, C86 + 6)), month (ZONE (MOIS_VERS_ANNEE (A86), ""A2:A"")) = mod (A86 - 1, 12) + 1, ZONE (MOIS_VERS_ANNEE (A86), ""A2:A"") &lt;&gt; """")) - D87"),352.0)</f>
        <v>352</v>
      </c>
      <c r="E86" s="46"/>
    </row>
    <row r="87" ht="12.75" customHeight="1">
      <c r="A87" s="36">
        <f t="shared" si="2"/>
        <v>22</v>
      </c>
      <c r="B87" s="40">
        <f t="shared" si="3"/>
        <v>1</v>
      </c>
      <c r="C87" s="36">
        <f t="shared" si="1"/>
        <v>2</v>
      </c>
      <c r="D87" s="45">
        <f>IFERROR(__xludf.DUMMYFUNCTION(" sum (filter (ZONE (MOIS_VERS_ANNEE (A87), address (2, C87 + 6) &amp; "":"" &amp; address (9999, C87 + 6)), month (ZONE (MOIS_VERS_ANNEE (A87), ""A2:A"")) = mod (A87 - 1, 12) + 1, ZONE (MOIS_VERS_ANNEE (A87), ""A2:A"") &lt;&gt; """"))"),107.0)</f>
        <v>107</v>
      </c>
      <c r="E87" s="47"/>
    </row>
    <row r="88" ht="12.75" customHeight="1">
      <c r="A88" s="36">
        <f t="shared" si="2"/>
        <v>22</v>
      </c>
      <c r="B88" s="40">
        <f t="shared" si="3"/>
        <v>2</v>
      </c>
      <c r="C88" s="36">
        <f t="shared" si="1"/>
        <v>1</v>
      </c>
      <c r="D88" s="45">
        <f> indirect(address(match("Nbre " &amp; vlookup(A88, Mois!$A$2:$C1000, 3), ZONE(MOIS_VERS_ANNEE(A88), "K:K"), 0) - 1, C88 + 11, 4, true, MOIS_VERS_ANNEE(A88)))</f>
        <v>53</v>
      </c>
      <c r="E88" s="47"/>
    </row>
    <row r="89" ht="12.75" customHeight="1">
      <c r="A89" s="36">
        <f t="shared" si="2"/>
        <v>22</v>
      </c>
      <c r="B89" s="40">
        <f t="shared" si="3"/>
        <v>2</v>
      </c>
      <c r="C89" s="36">
        <f t="shared" si="1"/>
        <v>2</v>
      </c>
      <c r="D89" s="45">
        <f> indirect(address(match("Nbre " &amp; vlookup(A89, Mois!$A$2:$C1000, 3), ZONE(MOIS_VERS_ANNEE(A89), "K:K"), 0) - 1, C89 + 11, 4, true, MOIS_VERS_ANNEE(A89)))</f>
        <v>0</v>
      </c>
      <c r="E89" s="47"/>
    </row>
    <row r="90" ht="12.75" customHeight="1">
      <c r="A90" s="36">
        <f t="shared" si="2"/>
        <v>23</v>
      </c>
      <c r="B90" s="40">
        <f t="shared" si="3"/>
        <v>1</v>
      </c>
      <c r="C90" s="36">
        <f t="shared" si="1"/>
        <v>1</v>
      </c>
      <c r="D90" s="45">
        <f>IFERROR(__xludf.DUMMYFUNCTION(" sum (filter (ZONE (MOIS_VERS_ANNEE (A90), address (2, C90 + 6) &amp; "":"" &amp; address (9999, C90 + 6)), month (ZONE (MOIS_VERS_ANNEE (A90), ""A2:A"")) = mod (A90 - 1, 12) + 1, ZONE (MOIS_VERS_ANNEE (A90), ""A2:A"") &lt;&gt; """")) - D91"),385.0)</f>
        <v>385</v>
      </c>
      <c r="E90" s="46"/>
    </row>
    <row r="91" ht="12.75" customHeight="1">
      <c r="A91" s="36">
        <f t="shared" si="2"/>
        <v>23</v>
      </c>
      <c r="B91" s="40">
        <f t="shared" si="3"/>
        <v>1</v>
      </c>
      <c r="C91" s="36">
        <f t="shared" si="1"/>
        <v>2</v>
      </c>
      <c r="D91" s="45">
        <f>IFERROR(__xludf.DUMMYFUNCTION(" sum (filter (ZONE (MOIS_VERS_ANNEE (A91), address (2, C91 + 6) &amp; "":"" &amp; address (9999, C91 + 6)), month (ZONE (MOIS_VERS_ANNEE (A91), ""A2:A"")) = mod (A91 - 1, 12) + 1, ZONE (MOIS_VERS_ANNEE (A91), ""A2:A"") &lt;&gt; """"))"),110.0)</f>
        <v>110</v>
      </c>
      <c r="E91" s="47"/>
    </row>
    <row r="92" ht="12.75" customHeight="1">
      <c r="A92" s="36">
        <f t="shared" si="2"/>
        <v>23</v>
      </c>
      <c r="B92" s="40">
        <f t="shared" si="3"/>
        <v>2</v>
      </c>
      <c r="C92" s="36">
        <f t="shared" si="1"/>
        <v>1</v>
      </c>
      <c r="D92" s="45">
        <f> indirect(address(match("Nbre " &amp; vlookup(A92, Mois!$A$2:$C1000, 3), ZONE(MOIS_VERS_ANNEE(A92), "K:K"), 0) - 1, C92 + 11, 4, true, MOIS_VERS_ANNEE(A92)))</f>
        <v>46</v>
      </c>
      <c r="E92" s="47"/>
    </row>
    <row r="93" ht="12.75" customHeight="1">
      <c r="A93" s="36">
        <f t="shared" si="2"/>
        <v>23</v>
      </c>
      <c r="B93" s="40">
        <f t="shared" si="3"/>
        <v>2</v>
      </c>
      <c r="C93" s="36">
        <f t="shared" si="1"/>
        <v>2</v>
      </c>
      <c r="D93" s="45">
        <f> indirect(address(match("Nbre " &amp; vlookup(A93, Mois!$A$2:$C1000, 3), ZONE(MOIS_VERS_ANNEE(A93), "K:K"), 0) - 1, C93 + 11, 4, true, MOIS_VERS_ANNEE(A93)))</f>
        <v>0</v>
      </c>
      <c r="E93" s="47"/>
    </row>
    <row r="94" ht="12.75" customHeight="1">
      <c r="A94" s="36">
        <f t="shared" si="2"/>
        <v>24</v>
      </c>
      <c r="B94" s="40">
        <f t="shared" si="3"/>
        <v>1</v>
      </c>
      <c r="C94" s="36">
        <f t="shared" si="1"/>
        <v>1</v>
      </c>
      <c r="D94" s="45">
        <f>IFERROR(__xludf.DUMMYFUNCTION(" sum (filter (ZONE (MOIS_VERS_ANNEE (A94), address (2, C94 + 6) &amp; "":"" &amp; address (9999, C94 + 6)), month (ZONE (MOIS_VERS_ANNEE (A94), ""A2:A"")) = mod (A94 - 1, 12) + 1, ZONE (MOIS_VERS_ANNEE (A94), ""A2:A"") &lt;&gt; """")) - D95"),289.0)</f>
        <v>289</v>
      </c>
      <c r="E94" s="46"/>
    </row>
    <row r="95" ht="12.75" customHeight="1">
      <c r="A95" s="36">
        <f t="shared" si="2"/>
        <v>24</v>
      </c>
      <c r="B95" s="40">
        <f t="shared" si="3"/>
        <v>1</v>
      </c>
      <c r="C95" s="36">
        <f t="shared" si="1"/>
        <v>2</v>
      </c>
      <c r="D95" s="45">
        <f>IFERROR(__xludf.DUMMYFUNCTION(" sum (filter (ZONE (MOIS_VERS_ANNEE (A95), address (2, C95 + 6) &amp; "":"" &amp; address (9999, C95 + 6)), month (ZONE (MOIS_VERS_ANNEE (A95), ""A2:A"")) = mod (A95 - 1, 12) + 1, ZONE (MOIS_VERS_ANNEE (A95), ""A2:A"") &lt;&gt; """"))"),67.0)</f>
        <v>67</v>
      </c>
      <c r="E95" s="47"/>
    </row>
    <row r="96" ht="12.75" customHeight="1">
      <c r="A96" s="36">
        <f t="shared" si="2"/>
        <v>24</v>
      </c>
      <c r="B96" s="40">
        <f t="shared" si="3"/>
        <v>2</v>
      </c>
      <c r="C96" s="36">
        <f t="shared" si="1"/>
        <v>1</v>
      </c>
      <c r="D96" s="45">
        <f> indirect(address(match("Nbre " &amp; vlookup(A96, Mois!$A$2:$C1000, 3), ZONE(MOIS_VERS_ANNEE(A96), "K:K"), 0) - 1, C96 + 11, 4, true, MOIS_VERS_ANNEE(A96)))</f>
        <v>48</v>
      </c>
      <c r="E96" s="47"/>
    </row>
    <row r="97" ht="12.75" customHeight="1">
      <c r="A97" s="36">
        <f t="shared" si="2"/>
        <v>24</v>
      </c>
      <c r="B97" s="40">
        <f t="shared" si="3"/>
        <v>2</v>
      </c>
      <c r="C97" s="36">
        <f t="shared" si="1"/>
        <v>2</v>
      </c>
      <c r="D97" s="45">
        <f> indirect(address(match("Nbre " &amp; vlookup(A97, Mois!$A$2:$C1000, 3), ZONE(MOIS_VERS_ANNEE(A97), "K:K"), 0) - 1, C97 + 11, 4, true, MOIS_VERS_ANNEE(A97)))</f>
        <v>0</v>
      </c>
      <c r="E97" s="47"/>
    </row>
    <row r="98" ht="12.75" customHeight="1">
      <c r="A98" s="36">
        <f t="shared" si="2"/>
        <v>25</v>
      </c>
      <c r="B98" s="40">
        <f t="shared" si="3"/>
        <v>1</v>
      </c>
      <c r="C98" s="36">
        <f t="shared" si="1"/>
        <v>1</v>
      </c>
      <c r="D98" s="45">
        <f>IFERROR(__xludf.DUMMYFUNCTION(" sum (filter (ZONE (MOIS_VERS_ANNEE (A98), address (2, C98 + 6) &amp; "":"" &amp; address (9999, C98 + 6)), month (ZONE (MOIS_VERS_ANNEE (A98), ""A2:A"")) = mod (A98 - 1, 12) + 1, ZONE (MOIS_VERS_ANNEE (A98), ""A2:A"") &lt;&gt; """")) - D99"),390.0)</f>
        <v>390</v>
      </c>
      <c r="E98" s="46"/>
    </row>
    <row r="99" ht="12.75" customHeight="1">
      <c r="A99" s="36">
        <f t="shared" si="2"/>
        <v>25</v>
      </c>
      <c r="B99" s="40">
        <f t="shared" si="3"/>
        <v>1</v>
      </c>
      <c r="C99" s="36">
        <f t="shared" si="1"/>
        <v>2</v>
      </c>
      <c r="D99" s="45">
        <f>IFERROR(__xludf.DUMMYFUNCTION(" sum (filter (ZONE (MOIS_VERS_ANNEE (A99), address (2, C99 + 6) &amp; "":"" &amp; address (9999, C99 + 6)), month (ZONE (MOIS_VERS_ANNEE (A99), ""A2:A"")) = mod (A99 - 1, 12) + 1, ZONE (MOIS_VERS_ANNEE (A99), ""A2:A"") &lt;&gt; """"))"),70.0)</f>
        <v>70</v>
      </c>
      <c r="E99" s="47"/>
    </row>
    <row r="100" ht="12.75" customHeight="1">
      <c r="A100" s="36">
        <f t="shared" si="2"/>
        <v>25</v>
      </c>
      <c r="B100" s="40">
        <f t="shared" si="3"/>
        <v>2</v>
      </c>
      <c r="C100" s="36">
        <f t="shared" si="1"/>
        <v>1</v>
      </c>
      <c r="D100" s="45">
        <f> indirect(address(match("Nbre " &amp; vlookup(A100, Mois!$A$2:$C1000, 3), ZONE(MOIS_VERS_ANNEE(A100), "K:K"), 0) - 1, C100 + 11, 4, true, MOIS_VERS_ANNEE(A100)))</f>
        <v>94</v>
      </c>
      <c r="E100" s="47"/>
    </row>
    <row r="101" ht="12.75" customHeight="1">
      <c r="A101" s="36">
        <f t="shared" si="2"/>
        <v>25</v>
      </c>
      <c r="B101" s="40">
        <f t="shared" si="3"/>
        <v>2</v>
      </c>
      <c r="C101" s="36">
        <f t="shared" si="1"/>
        <v>2</v>
      </c>
      <c r="D101" s="45">
        <f> indirect(address(match("Nbre " &amp; vlookup(A101, Mois!$A$2:$C1000, 3), ZONE(MOIS_VERS_ANNEE(A101), "K:K"), 0) - 1, C101 + 11, 4, true, MOIS_VERS_ANNEE(A101)))</f>
        <v>2</v>
      </c>
      <c r="E101" s="47"/>
    </row>
    <row r="102" ht="12.75" customHeight="1">
      <c r="A102" s="36">
        <f t="shared" si="2"/>
        <v>26</v>
      </c>
      <c r="B102" s="40">
        <f t="shared" si="3"/>
        <v>1</v>
      </c>
      <c r="C102" s="36">
        <f t="shared" si="1"/>
        <v>1</v>
      </c>
      <c r="D102" s="45">
        <f>IFERROR(__xludf.DUMMYFUNCTION(" sum (filter (ZONE (MOIS_VERS_ANNEE (A102), address (2, C102 + 6) &amp; "":"" &amp; address (9999, C102 + 6)), month (ZONE (MOIS_VERS_ANNEE (A102), ""A2:A"")) = mod (A102 - 1, 12) + 1, ZONE (MOIS_VERS_ANNEE (A102), ""A2:A"") &lt;&gt; """")) - D103"),407.0)</f>
        <v>407</v>
      </c>
      <c r="E102" s="46"/>
    </row>
    <row r="103" ht="12.75" customHeight="1">
      <c r="A103" s="36">
        <f t="shared" si="2"/>
        <v>26</v>
      </c>
      <c r="B103" s="40">
        <f t="shared" si="3"/>
        <v>1</v>
      </c>
      <c r="C103" s="36">
        <f t="shared" si="1"/>
        <v>2</v>
      </c>
      <c r="D103" s="45">
        <f>IFERROR(__xludf.DUMMYFUNCTION(" sum (filter (ZONE (MOIS_VERS_ANNEE (A103), address (2, C103 + 6) &amp; "":"" &amp; address (9999, C103 + 6)), month (ZONE (MOIS_VERS_ANNEE (A103), ""A2:A"")) = mod (A103 - 1, 12) + 1, ZONE (MOIS_VERS_ANNEE (A103), ""A2:A"") &lt;&gt; """"))"),103.0)</f>
        <v>103</v>
      </c>
      <c r="E103" s="47"/>
    </row>
    <row r="104" ht="12.75" customHeight="1">
      <c r="A104" s="36">
        <f t="shared" si="2"/>
        <v>26</v>
      </c>
      <c r="B104" s="40">
        <f t="shared" si="3"/>
        <v>2</v>
      </c>
      <c r="C104" s="36">
        <f t="shared" si="1"/>
        <v>1</v>
      </c>
      <c r="D104" s="45">
        <f> indirect(address(match("Nbre " &amp; vlookup(A104, Mois!$A$2:$C1000, 3), ZONE(MOIS_VERS_ANNEE(A104), "K:K"), 0) - 1, C104 + 11, 4, true, MOIS_VERS_ANNEE(A104)))</f>
        <v>56</v>
      </c>
      <c r="E104" s="47"/>
    </row>
    <row r="105" ht="12.75" customHeight="1">
      <c r="A105" s="36">
        <f t="shared" si="2"/>
        <v>26</v>
      </c>
      <c r="B105" s="40">
        <f t="shared" si="3"/>
        <v>2</v>
      </c>
      <c r="C105" s="36">
        <f t="shared" si="1"/>
        <v>2</v>
      </c>
      <c r="D105" s="45">
        <f> indirect(address(match("Nbre " &amp; vlookup(A105, Mois!$A$2:$C1000, 3), ZONE(MOIS_VERS_ANNEE(A105), "K:K"), 0) - 1, C105 + 11, 4, true, MOIS_VERS_ANNEE(A105)))</f>
        <v>4</v>
      </c>
      <c r="E105" s="47"/>
    </row>
    <row r="106" ht="12.75" customHeight="1">
      <c r="A106" s="36">
        <f t="shared" si="2"/>
        <v>27</v>
      </c>
      <c r="B106" s="40">
        <f t="shared" si="3"/>
        <v>1</v>
      </c>
      <c r="C106" s="36">
        <f t="shared" si="1"/>
        <v>1</v>
      </c>
      <c r="D106" s="45">
        <f>IFERROR(__xludf.DUMMYFUNCTION(" sum (filter (ZONE (MOIS_VERS_ANNEE (A106), address (2, C106 + 6) &amp; "":"" &amp; address (9999, C106 + 6)), month (ZONE (MOIS_VERS_ANNEE (A106), ""A2:A"")) = mod (A106 - 1, 12) + 1, ZONE (MOIS_VERS_ANNEE (A106), ""A2:A"") &lt;&gt; """")) - D107"),170.0)</f>
        <v>170</v>
      </c>
      <c r="E106" s="46"/>
    </row>
    <row r="107" ht="12.75" customHeight="1">
      <c r="A107" s="36">
        <f t="shared" si="2"/>
        <v>27</v>
      </c>
      <c r="B107" s="40">
        <f t="shared" si="3"/>
        <v>1</v>
      </c>
      <c r="C107" s="36">
        <f t="shared" si="1"/>
        <v>2</v>
      </c>
      <c r="D107" s="45">
        <f>IFERROR(__xludf.DUMMYFUNCTION(" sum (filter (ZONE (MOIS_VERS_ANNEE (A107), address (2, C107 + 6) &amp; "":"" &amp; address (9999, C107 + 6)), month (ZONE (MOIS_VERS_ANNEE (A107), ""A2:A"")) = mod (A107 - 1, 12) + 1, ZONE (MOIS_VERS_ANNEE (A107), ""A2:A"") &lt;&gt; """"))"),54.0)</f>
        <v>54</v>
      </c>
      <c r="E107" s="47"/>
    </row>
    <row r="108" ht="12.75" customHeight="1">
      <c r="A108" s="36">
        <f t="shared" si="2"/>
        <v>27</v>
      </c>
      <c r="B108" s="40">
        <f t="shared" si="3"/>
        <v>2</v>
      </c>
      <c r="C108" s="36">
        <f t="shared" si="1"/>
        <v>1</v>
      </c>
      <c r="D108" s="45">
        <f> indirect(address(match("Nbre " &amp; vlookup(A108, Mois!$A$2:$C1000, 3), ZONE(MOIS_VERS_ANNEE(A108), "K:K"), 0) - 1, C108 + 11, 4, true, MOIS_VERS_ANNEE(A108)))</f>
        <v>65</v>
      </c>
      <c r="E108" s="47"/>
    </row>
    <row r="109" ht="12.75" customHeight="1">
      <c r="A109" s="36">
        <f t="shared" si="2"/>
        <v>27</v>
      </c>
      <c r="B109" s="40">
        <f t="shared" si="3"/>
        <v>2</v>
      </c>
      <c r="C109" s="36">
        <f t="shared" si="1"/>
        <v>2</v>
      </c>
      <c r="D109" s="45">
        <f> indirect(address(match("Nbre " &amp; vlookup(A109, Mois!$A$2:$C1000, 3), ZONE(MOIS_VERS_ANNEE(A109), "K:K"), 0) - 1, C109 + 11, 4, true, MOIS_VERS_ANNEE(A109)))</f>
        <v>7</v>
      </c>
      <c r="E109" s="47"/>
    </row>
    <row r="110" ht="12.75" customHeight="1">
      <c r="A110" s="36">
        <f t="shared" si="2"/>
        <v>28</v>
      </c>
      <c r="B110" s="40">
        <f t="shared" si="3"/>
        <v>1</v>
      </c>
      <c r="C110" s="36">
        <f t="shared" si="1"/>
        <v>1</v>
      </c>
      <c r="D110" s="45">
        <f>IFERROR(__xludf.DUMMYFUNCTION(" sum (filter (ZONE (MOIS_VERS_ANNEE (A110), address (2, C110 + 6) &amp; "":"" &amp; address (9999, C110 + 6)), month (ZONE (MOIS_VERS_ANNEE (A110), ""A2:A"")) = mod (A110 - 1, 12) + 1, ZONE (MOIS_VERS_ANNEE (A110), ""A2:A"") &lt;&gt; """")) - D111"),456.0)</f>
        <v>456</v>
      </c>
      <c r="E110" s="46"/>
    </row>
    <row r="111" ht="12.75" customHeight="1">
      <c r="A111" s="36">
        <f t="shared" si="2"/>
        <v>28</v>
      </c>
      <c r="B111" s="40">
        <f t="shared" si="3"/>
        <v>1</v>
      </c>
      <c r="C111" s="36">
        <f t="shared" si="1"/>
        <v>2</v>
      </c>
      <c r="D111" s="45">
        <f>IFERROR(__xludf.DUMMYFUNCTION(" sum (filter (ZONE (MOIS_VERS_ANNEE (A111), address (2, C111 + 6) &amp; "":"" &amp; address (9999, C111 + 6)), month (ZONE (MOIS_VERS_ANNEE (A111), ""A2:A"")) = mod (A111 - 1, 12) + 1, ZONE (MOIS_VERS_ANNEE (A111), ""A2:A"") &lt;&gt; """"))"),114.0)</f>
        <v>114</v>
      </c>
      <c r="E111" s="47"/>
    </row>
    <row r="112" ht="12.75" customHeight="1">
      <c r="A112" s="36">
        <f t="shared" si="2"/>
        <v>28</v>
      </c>
      <c r="B112" s="40">
        <f t="shared" si="3"/>
        <v>2</v>
      </c>
      <c r="C112" s="36">
        <f t="shared" si="1"/>
        <v>1</v>
      </c>
      <c r="D112" s="45">
        <f> indirect(address(match("Nbre " &amp; vlookup(A112, Mois!$A$2:$C1000, 3), ZONE(MOIS_VERS_ANNEE(A112), "K:K"), 0) - 1, C112 + 11, 4, true, MOIS_VERS_ANNEE(A112)))</f>
        <v>85</v>
      </c>
      <c r="E112" s="47"/>
    </row>
    <row r="113" ht="12.75" customHeight="1">
      <c r="A113" s="36">
        <f t="shared" si="2"/>
        <v>28</v>
      </c>
      <c r="B113" s="40">
        <f t="shared" si="3"/>
        <v>2</v>
      </c>
      <c r="C113" s="36">
        <f t="shared" si="1"/>
        <v>2</v>
      </c>
      <c r="D113" s="45">
        <f> indirect(address(match("Nbre " &amp; vlookup(A113, Mois!$A$2:$C1000, 3), ZONE(MOIS_VERS_ANNEE(A113), "K:K"), 0) - 1, C113 + 11, 4, true, MOIS_VERS_ANNEE(A113)))</f>
        <v>21</v>
      </c>
      <c r="E113" s="47"/>
    </row>
    <row r="114" ht="12.75" customHeight="1">
      <c r="A114" s="36">
        <f t="shared" si="2"/>
        <v>29</v>
      </c>
      <c r="B114" s="40">
        <f t="shared" si="3"/>
        <v>1</v>
      </c>
      <c r="C114" s="36">
        <f t="shared" si="1"/>
        <v>1</v>
      </c>
      <c r="D114" s="45">
        <f>IFERROR(__xludf.DUMMYFUNCTION(" sum (filter (ZONE (MOIS_VERS_ANNEE (A114), address (2, C114 + 6) &amp; "":"" &amp; address (9999, C114 + 6)), month (ZONE (MOIS_VERS_ANNEE (A114), ""A2:A"")) = mod (A114 - 1, 12) + 1, ZONE (MOIS_VERS_ANNEE (A114), ""A2:A"") &lt;&gt; """")) - D115"),406.0)</f>
        <v>406</v>
      </c>
      <c r="E114" s="46"/>
    </row>
    <row r="115" ht="12.75" customHeight="1">
      <c r="A115" s="36">
        <f t="shared" si="2"/>
        <v>29</v>
      </c>
      <c r="B115" s="40">
        <f t="shared" si="3"/>
        <v>1</v>
      </c>
      <c r="C115" s="36">
        <f t="shared" si="1"/>
        <v>2</v>
      </c>
      <c r="D115" s="45">
        <f>IFERROR(__xludf.DUMMYFUNCTION(" sum (filter (ZONE (MOIS_VERS_ANNEE (A115), address (2, C115 + 6) &amp; "":"" &amp; address (9999, C115 + 6)), month (ZONE (MOIS_VERS_ANNEE (A115), ""A2:A"")) = mod (A115 - 1, 12) + 1, ZONE (MOIS_VERS_ANNEE (A115), ""A2:A"") &lt;&gt; """"))"),95.0)</f>
        <v>95</v>
      </c>
      <c r="E115" s="47"/>
    </row>
    <row r="116" ht="12.75" customHeight="1">
      <c r="A116" s="36">
        <f t="shared" si="2"/>
        <v>29</v>
      </c>
      <c r="B116" s="40">
        <f t="shared" si="3"/>
        <v>2</v>
      </c>
      <c r="C116" s="36">
        <f t="shared" si="1"/>
        <v>1</v>
      </c>
      <c r="D116" s="45">
        <f> indirect(address(match("Nbre " &amp; vlookup(A116, Mois!$A$2:$C1000, 3), ZONE(MOIS_VERS_ANNEE(A116), "K:K"), 0) - 1, C116 + 11, 4, true, MOIS_VERS_ANNEE(A116)))</f>
        <v>68</v>
      </c>
      <c r="E116" s="47"/>
    </row>
    <row r="117" ht="12.75" customHeight="1">
      <c r="A117" s="36">
        <f t="shared" si="2"/>
        <v>29</v>
      </c>
      <c r="B117" s="40">
        <f t="shared" si="3"/>
        <v>2</v>
      </c>
      <c r="C117" s="36">
        <f t="shared" si="1"/>
        <v>2</v>
      </c>
      <c r="D117" s="45">
        <f> indirect(address(match("Nbre " &amp; vlookup(A117, Mois!$A$2:$C1000, 3), ZONE(MOIS_VERS_ANNEE(A117), "K:K"), 0) - 1, C117 + 11, 4, true, MOIS_VERS_ANNEE(A117)))</f>
        <v>8</v>
      </c>
      <c r="E117" s="47"/>
    </row>
    <row r="118" ht="12.75" customHeight="1">
      <c r="A118" s="36">
        <f t="shared" si="2"/>
        <v>30</v>
      </c>
      <c r="B118" s="40">
        <f t="shared" si="3"/>
        <v>1</v>
      </c>
      <c r="C118" s="36">
        <f t="shared" si="1"/>
        <v>1</v>
      </c>
      <c r="D118" s="45">
        <f>IFERROR(__xludf.DUMMYFUNCTION(" sum (filter (ZONE (MOIS_VERS_ANNEE (A118), address (2, C118 + 6) &amp; "":"" &amp; address (9999, C118 + 6)), month (ZONE (MOIS_VERS_ANNEE (A118), ""A2:A"")) = mod (A118 - 1, 12) + 1, ZONE (MOIS_VERS_ANNEE (A118), ""A2:A"") &lt;&gt; """")) - D119"),261.0)</f>
        <v>261</v>
      </c>
      <c r="E118" s="46"/>
    </row>
    <row r="119" ht="12.75" customHeight="1">
      <c r="A119" s="36">
        <f t="shared" si="2"/>
        <v>30</v>
      </c>
      <c r="B119" s="40">
        <f t="shared" si="3"/>
        <v>1</v>
      </c>
      <c r="C119" s="36">
        <f t="shared" si="1"/>
        <v>2</v>
      </c>
      <c r="D119" s="45">
        <f>IFERROR(__xludf.DUMMYFUNCTION(" sum (filter (ZONE (MOIS_VERS_ANNEE (A119), address (2, C119 + 6) &amp; "":"" &amp; address (9999, C119 + 6)), month (ZONE (MOIS_VERS_ANNEE (A119), ""A2:A"")) = mod (A119 - 1, 12) + 1, ZONE (MOIS_VERS_ANNEE (A119), ""A2:A"") &lt;&gt; """"))"),52.0)</f>
        <v>52</v>
      </c>
      <c r="E119" s="47"/>
    </row>
    <row r="120" ht="12.75" customHeight="1">
      <c r="A120" s="36">
        <f t="shared" si="2"/>
        <v>30</v>
      </c>
      <c r="B120" s="40">
        <f t="shared" si="3"/>
        <v>2</v>
      </c>
      <c r="C120" s="36">
        <f t="shared" si="1"/>
        <v>1</v>
      </c>
      <c r="D120" s="45">
        <f> indirect(address(match("Nbre " &amp; vlookup(A120, Mois!$A$2:$C1000, 3), ZONE(MOIS_VERS_ANNEE(A120), "K:K"), 0) - 1, C120 + 11, 4, true, MOIS_VERS_ANNEE(A120)))</f>
        <v>44</v>
      </c>
      <c r="E120" s="47"/>
    </row>
    <row r="121" ht="12.75" customHeight="1">
      <c r="A121" s="36">
        <f t="shared" si="2"/>
        <v>30</v>
      </c>
      <c r="B121" s="40">
        <f t="shared" si="3"/>
        <v>2</v>
      </c>
      <c r="C121" s="36">
        <f t="shared" si="1"/>
        <v>2</v>
      </c>
      <c r="D121" s="45">
        <f> indirect(address(match("Nbre " &amp; vlookup(A121, Mois!$A$2:$C1000, 3), ZONE(MOIS_VERS_ANNEE(A121), "K:K"), 0) - 1, C121 + 11, 4, true, MOIS_VERS_ANNEE(A121)))</f>
        <v>6</v>
      </c>
      <c r="E121" s="47"/>
    </row>
    <row r="122" ht="12.75" customHeight="1">
      <c r="A122" s="36">
        <f t="shared" si="2"/>
        <v>31</v>
      </c>
      <c r="B122" s="40">
        <f t="shared" si="3"/>
        <v>1</v>
      </c>
      <c r="C122" s="36">
        <f t="shared" si="1"/>
        <v>1</v>
      </c>
      <c r="D122" s="45">
        <f>IFERROR(__xludf.DUMMYFUNCTION(" sum (filter (ZONE (MOIS_VERS_ANNEE (A122), address (2, C122 + 6) &amp; "":"" &amp; address (9999, C122 + 6)), month (ZONE (MOIS_VERS_ANNEE (A122), ""A2:A"")) = mod (A122 - 1, 12) + 1, ZONE (MOIS_VERS_ANNEE (A122), ""A2:A"") &lt;&gt; """")) - D123"),455.0)</f>
        <v>455</v>
      </c>
      <c r="E122" s="46"/>
    </row>
    <row r="123" ht="12.75" customHeight="1">
      <c r="A123" s="36">
        <f t="shared" si="2"/>
        <v>31</v>
      </c>
      <c r="B123" s="40">
        <f t="shared" si="3"/>
        <v>1</v>
      </c>
      <c r="C123" s="36">
        <f t="shared" si="1"/>
        <v>2</v>
      </c>
      <c r="D123" s="45">
        <f>IFERROR(__xludf.DUMMYFUNCTION(" sum (filter (ZONE (MOIS_VERS_ANNEE (A123), address (2, C123 + 6) &amp; "":"" &amp; address (9999, C123 + 6)), month (ZONE (MOIS_VERS_ANNEE (A123), ""A2:A"")) = mod (A123 - 1, 12) + 1, ZONE (MOIS_VERS_ANNEE (A123), ""A2:A"") &lt;&gt; """"))"),85.0)</f>
        <v>85</v>
      </c>
      <c r="E123" s="47"/>
    </row>
    <row r="124" ht="12.75" customHeight="1">
      <c r="A124" s="36">
        <f t="shared" si="2"/>
        <v>31</v>
      </c>
      <c r="B124" s="40">
        <f t="shared" si="3"/>
        <v>2</v>
      </c>
      <c r="C124" s="36">
        <f t="shared" si="1"/>
        <v>1</v>
      </c>
      <c r="D124" s="45">
        <f> indirect(address(match("Nbre " &amp; vlookup(A124, Mois!$A$2:$C1000, 3), ZONE(MOIS_VERS_ANNEE(A124), "K:K"), 0) - 1, C124 + 11, 4, true, MOIS_VERS_ANNEE(A124)))</f>
        <v>72</v>
      </c>
      <c r="E124" s="47"/>
    </row>
    <row r="125" ht="12.75" customHeight="1">
      <c r="A125" s="36">
        <f t="shared" si="2"/>
        <v>31</v>
      </c>
      <c r="B125" s="40">
        <f t="shared" si="3"/>
        <v>2</v>
      </c>
      <c r="C125" s="36">
        <f t="shared" si="1"/>
        <v>2</v>
      </c>
      <c r="D125" s="45">
        <f> indirect(address(match("Nbre " &amp; vlookup(A125, Mois!$A$2:$C1000, 3), ZONE(MOIS_VERS_ANNEE(A125), "K:K"), 0) - 1, C125 + 11, 4, true, MOIS_VERS_ANNEE(A125)))</f>
        <v>7</v>
      </c>
      <c r="E125" s="47"/>
    </row>
    <row r="126" ht="12.75" customHeight="1">
      <c r="A126" s="36">
        <f t="shared" si="2"/>
        <v>32</v>
      </c>
      <c r="B126" s="40">
        <f t="shared" si="3"/>
        <v>1</v>
      </c>
      <c r="C126" s="36">
        <f t="shared" si="1"/>
        <v>1</v>
      </c>
      <c r="D126" s="45">
        <f>IFERROR(__xludf.DUMMYFUNCTION(" sum (filter (ZONE (MOIS_VERS_ANNEE (A126), address (2, C126 + 6) &amp; "":"" &amp; address (9999, C126 + 6)), month (ZONE (MOIS_VERS_ANNEE (A126), ""A2:A"")) = mod (A126 - 1, 12) + 1, ZONE (MOIS_VERS_ANNEE (A126), ""A2:A"") &lt;&gt; """")) - D127"),147.0)</f>
        <v>147</v>
      </c>
      <c r="E126" s="46"/>
    </row>
    <row r="127" ht="12.75" customHeight="1">
      <c r="A127" s="36">
        <f t="shared" si="2"/>
        <v>32</v>
      </c>
      <c r="B127" s="40">
        <f t="shared" si="3"/>
        <v>1</v>
      </c>
      <c r="C127" s="36">
        <f t="shared" si="1"/>
        <v>2</v>
      </c>
      <c r="D127" s="45">
        <f>IFERROR(__xludf.DUMMYFUNCTION(" sum (filter (ZONE (MOIS_VERS_ANNEE (A127), address (2, C127 + 6) &amp; "":"" &amp; address (9999, C127 + 6)), month (ZONE (MOIS_VERS_ANNEE (A127), ""A2:A"")) = mod (A127 - 1, 12) + 1, ZONE (MOIS_VERS_ANNEE (A127), ""A2:A"") &lt;&gt; """"))"),21.0)</f>
        <v>21</v>
      </c>
      <c r="E127" s="47"/>
    </row>
    <row r="128" ht="12.75" customHeight="1">
      <c r="A128" s="36">
        <f t="shared" si="2"/>
        <v>32</v>
      </c>
      <c r="B128" s="40">
        <f t="shared" si="3"/>
        <v>2</v>
      </c>
      <c r="C128" s="36">
        <f t="shared" si="1"/>
        <v>1</v>
      </c>
      <c r="D128" s="45">
        <f> indirect(address(match("Nbre " &amp; vlookup(A128, Mois!$A$2:$C1000, 3), ZONE(MOIS_VERS_ANNEE(A128), "K:K"), 0) - 1, C128 + 11, 4, true, MOIS_VERS_ANNEE(A128)))</f>
        <v>9</v>
      </c>
      <c r="E128" s="47"/>
    </row>
    <row r="129" ht="12.75" customHeight="1">
      <c r="A129" s="36">
        <f t="shared" si="2"/>
        <v>32</v>
      </c>
      <c r="B129" s="40">
        <f t="shared" si="3"/>
        <v>2</v>
      </c>
      <c r="C129" s="36">
        <f t="shared" si="1"/>
        <v>2</v>
      </c>
      <c r="D129" s="45">
        <f> indirect(address(match("Nbre " &amp; vlookup(A129, Mois!$A$2:$C1000, 3), ZONE(MOIS_VERS_ANNEE(A129), "K:K"), 0) - 1, C129 + 11, 4, true, MOIS_VERS_ANNEE(A129)))</f>
        <v>1</v>
      </c>
      <c r="E129" s="47"/>
    </row>
    <row r="130" ht="12.75" customHeight="1">
      <c r="A130" s="36">
        <f t="shared" si="2"/>
        <v>33</v>
      </c>
      <c r="B130" s="40">
        <f t="shared" si="3"/>
        <v>1</v>
      </c>
      <c r="C130" s="36">
        <f t="shared" si="1"/>
        <v>1</v>
      </c>
      <c r="D130" s="45">
        <f>IFERROR(__xludf.DUMMYFUNCTION(" sum (filter (ZONE (MOIS_VERS_ANNEE (A130), address (2, C130 + 6) &amp; "":"" &amp; address (9999, C130 + 6)), month (ZONE (MOIS_VERS_ANNEE (A130), ""A2:A"")) = mod (A130 - 1, 12) + 1, ZONE (MOIS_VERS_ANNEE (A130), ""A2:A"") &lt;&gt; """")) - D131"),433.0)</f>
        <v>433</v>
      </c>
      <c r="E130" s="46"/>
    </row>
    <row r="131" ht="12.75" customHeight="1">
      <c r="A131" s="36">
        <f t="shared" si="2"/>
        <v>33</v>
      </c>
      <c r="B131" s="40">
        <f t="shared" si="3"/>
        <v>1</v>
      </c>
      <c r="C131" s="36">
        <f t="shared" si="1"/>
        <v>2</v>
      </c>
      <c r="D131" s="45">
        <f>IFERROR(__xludf.DUMMYFUNCTION(" sum (filter (ZONE (MOIS_VERS_ANNEE (A131), address (2, C131 + 6) &amp; "":"" &amp; address (9999, C131 + 6)), month (ZONE (MOIS_VERS_ANNEE (A131), ""A2:A"")) = mod (A131 - 1, 12) + 1, ZONE (MOIS_VERS_ANNEE (A131), ""A2:A"") &lt;&gt; """"))"),101.0)</f>
        <v>101</v>
      </c>
      <c r="E131" s="47"/>
    </row>
    <row r="132" ht="12.75" customHeight="1">
      <c r="A132" s="36">
        <f t="shared" si="2"/>
        <v>33</v>
      </c>
      <c r="B132" s="40">
        <f t="shared" si="3"/>
        <v>2</v>
      </c>
      <c r="C132" s="36">
        <f t="shared" si="1"/>
        <v>1</v>
      </c>
      <c r="D132" s="45">
        <f> indirect(address(match("Nbre " &amp; vlookup(A132, Mois!$A$2:$C1000, 3), ZONE(MOIS_VERS_ANNEE(A132), "K:K"), 0) - 1, C132 + 11, 4, true, MOIS_VERS_ANNEE(A132)))</f>
        <v>85</v>
      </c>
      <c r="E132" s="47"/>
    </row>
    <row r="133" ht="12.75" customHeight="1">
      <c r="A133" s="36">
        <f t="shared" si="2"/>
        <v>33</v>
      </c>
      <c r="B133" s="40">
        <f t="shared" si="3"/>
        <v>2</v>
      </c>
      <c r="C133" s="36">
        <f t="shared" si="1"/>
        <v>2</v>
      </c>
      <c r="D133" s="45">
        <f> indirect(address(match("Nbre " &amp; vlookup(A133, Mois!$A$2:$C1000, 3), ZONE(MOIS_VERS_ANNEE(A133), "K:K"), 0) - 1, C133 + 11, 4, true, MOIS_VERS_ANNEE(A133)))</f>
        <v>3</v>
      </c>
      <c r="E133" s="47"/>
    </row>
    <row r="134" ht="12.75" customHeight="1">
      <c r="A134" s="36">
        <f t="shared" si="2"/>
        <v>34</v>
      </c>
      <c r="B134" s="40">
        <f t="shared" si="3"/>
        <v>1</v>
      </c>
      <c r="C134" s="36">
        <f t="shared" si="1"/>
        <v>1</v>
      </c>
      <c r="D134" s="45">
        <f>IFERROR(__xludf.DUMMYFUNCTION(" sum (filter (ZONE (MOIS_VERS_ANNEE (A134), address (2, C134 + 6) &amp; "":"" &amp; address (9999, C134 + 6)), month (ZONE (MOIS_VERS_ANNEE (A134), ""A2:A"")) = mod (A134 - 1, 12) + 1, ZONE (MOIS_VERS_ANNEE (A134), ""A2:A"") &lt;&gt; """")) - D135"),344.0)</f>
        <v>344</v>
      </c>
      <c r="E134" s="46"/>
    </row>
    <row r="135" ht="12.75" customHeight="1">
      <c r="A135" s="36">
        <f t="shared" si="2"/>
        <v>34</v>
      </c>
      <c r="B135" s="40">
        <f t="shared" si="3"/>
        <v>1</v>
      </c>
      <c r="C135" s="36">
        <f t="shared" si="1"/>
        <v>2</v>
      </c>
      <c r="D135" s="45">
        <f>IFERROR(__xludf.DUMMYFUNCTION(" sum (filter (ZONE (MOIS_VERS_ANNEE (A135), address (2, C135 + 6) &amp; "":"" &amp; address (9999, C135 + 6)), month (ZONE (MOIS_VERS_ANNEE (A135), ""A2:A"")) = mod (A135 - 1, 12) + 1, ZONE (MOIS_VERS_ANNEE (A135), ""A2:A"") &lt;&gt; """"))"),104.0)</f>
        <v>104</v>
      </c>
      <c r="E135" s="47"/>
    </row>
    <row r="136" ht="12.75" customHeight="1">
      <c r="A136" s="36">
        <f t="shared" si="2"/>
        <v>34</v>
      </c>
      <c r="B136" s="40">
        <f t="shared" si="3"/>
        <v>2</v>
      </c>
      <c r="C136" s="36">
        <f t="shared" si="1"/>
        <v>1</v>
      </c>
      <c r="D136" s="45">
        <f> indirect(address(match("Nbre " &amp; vlookup(A136, Mois!$A$2:$C1000, 3), ZONE(MOIS_VERS_ANNEE(A136), "K:K"), 0) - 1, C136 + 11, 4, true, MOIS_VERS_ANNEE(A136)))</f>
        <v>80</v>
      </c>
      <c r="E136" s="47"/>
    </row>
    <row r="137" ht="12.75" customHeight="1">
      <c r="A137" s="36">
        <f t="shared" si="2"/>
        <v>34</v>
      </c>
      <c r="B137" s="40">
        <f t="shared" si="3"/>
        <v>2</v>
      </c>
      <c r="C137" s="36">
        <f t="shared" si="1"/>
        <v>2</v>
      </c>
      <c r="D137" s="45">
        <f> indirect(address(match("Nbre " &amp; vlookup(A137, Mois!$A$2:$C1000, 3), ZONE(MOIS_VERS_ANNEE(A137), "K:K"), 0) - 1, C137 + 11, 4, true, MOIS_VERS_ANNEE(A137)))</f>
        <v>9</v>
      </c>
      <c r="E137" s="47"/>
    </row>
    <row r="138" ht="12.75" customHeight="1">
      <c r="A138" s="36">
        <f t="shared" si="2"/>
        <v>35</v>
      </c>
      <c r="B138" s="40">
        <f t="shared" si="3"/>
        <v>1</v>
      </c>
      <c r="C138" s="36">
        <f t="shared" si="1"/>
        <v>1</v>
      </c>
      <c r="D138" s="45">
        <f>IFERROR(__xludf.DUMMYFUNCTION(" sum (filter (ZONE (MOIS_VERS_ANNEE (A138), address (2, C138 + 6) &amp; "":"" &amp; address (9999, C138 + 6)), month (ZONE (MOIS_VERS_ANNEE (A138), ""A2:A"")) = mod (A138 - 1, 12) + 1, ZONE (MOIS_VERS_ANNEE (A138), ""A2:A"") &lt;&gt; """")) - D139"),329.0)</f>
        <v>329</v>
      </c>
      <c r="E138" s="46"/>
    </row>
    <row r="139" ht="12.75" customHeight="1">
      <c r="A139" s="36">
        <f t="shared" si="2"/>
        <v>35</v>
      </c>
      <c r="B139" s="40">
        <f t="shared" si="3"/>
        <v>1</v>
      </c>
      <c r="C139" s="36">
        <f t="shared" si="1"/>
        <v>2</v>
      </c>
      <c r="D139" s="45">
        <f>IFERROR(__xludf.DUMMYFUNCTION(" sum (filter (ZONE (MOIS_VERS_ANNEE (A139), address (2, C139 + 6) &amp; "":"" &amp; address (9999, C139 + 6)), month (ZONE (MOIS_VERS_ANNEE (A139), ""A2:A"")) = mod (A139 - 1, 12) + 1, ZONE (MOIS_VERS_ANNEE (A139), ""A2:A"") &lt;&gt; """"))"),89.0)</f>
        <v>89</v>
      </c>
      <c r="E139" s="47"/>
    </row>
    <row r="140" ht="12.75" customHeight="1">
      <c r="A140" s="36">
        <f t="shared" si="2"/>
        <v>35</v>
      </c>
      <c r="B140" s="40">
        <f t="shared" si="3"/>
        <v>2</v>
      </c>
      <c r="C140" s="36">
        <f t="shared" si="1"/>
        <v>1</v>
      </c>
      <c r="D140" s="45">
        <f> indirect(address(match("Nbre " &amp; vlookup(A140, Mois!$A$2:$C1000, 3), ZONE(MOIS_VERS_ANNEE(A140), "K:K"), 0) - 1, C140 + 11, 4, true, MOIS_VERS_ANNEE(A140)))</f>
        <v>52</v>
      </c>
      <c r="E140" s="47"/>
    </row>
    <row r="141" ht="12.75" customHeight="1">
      <c r="A141" s="36">
        <f t="shared" si="2"/>
        <v>35</v>
      </c>
      <c r="B141" s="40">
        <f t="shared" si="3"/>
        <v>2</v>
      </c>
      <c r="C141" s="36">
        <f t="shared" si="1"/>
        <v>2</v>
      </c>
      <c r="D141" s="45">
        <f> indirect(address(match("Nbre " &amp; vlookup(A141, Mois!$A$2:$C1000, 3), ZONE(MOIS_VERS_ANNEE(A141), "K:K"), 0) - 1, C141 + 11, 4, true, MOIS_VERS_ANNEE(A141)))</f>
        <v>7</v>
      </c>
      <c r="E141" s="47"/>
    </row>
    <row r="142" ht="12.75" customHeight="1">
      <c r="A142" s="36">
        <f t="shared" si="2"/>
        <v>36</v>
      </c>
      <c r="B142" s="40">
        <f t="shared" si="3"/>
        <v>1</v>
      </c>
      <c r="C142" s="36">
        <f t="shared" si="1"/>
        <v>1</v>
      </c>
      <c r="D142" s="45">
        <f>IFERROR(__xludf.DUMMYFUNCTION(" sum (filter (ZONE (MOIS_VERS_ANNEE (A142), address (2, C142 + 6) &amp; "":"" &amp; address (9999, C142 + 6)), month (ZONE (MOIS_VERS_ANNEE (A142), ""A2:A"")) = mod (A142 - 1, 12) + 1, ZONE (MOIS_VERS_ANNEE (A142), ""A2:A"") &lt;&gt; """")) - D143"),250.0)</f>
        <v>250</v>
      </c>
      <c r="E142" s="46"/>
    </row>
    <row r="143" ht="12.75" customHeight="1">
      <c r="A143" s="36">
        <f t="shared" si="2"/>
        <v>36</v>
      </c>
      <c r="B143" s="40">
        <f t="shared" si="3"/>
        <v>1</v>
      </c>
      <c r="C143" s="36">
        <f t="shared" si="1"/>
        <v>2</v>
      </c>
      <c r="D143" s="45">
        <f>IFERROR(__xludf.DUMMYFUNCTION(" sum (filter (ZONE (MOIS_VERS_ANNEE (A143), address (2, C143 + 6) &amp; "":"" &amp; address (9999, C143 + 6)), month (ZONE (MOIS_VERS_ANNEE (A143), ""A2:A"")) = mod (A143 - 1, 12) + 1, ZONE (MOIS_VERS_ANNEE (A143), ""A2:A"") &lt;&gt; """"))"),50.0)</f>
        <v>50</v>
      </c>
      <c r="E143" s="47"/>
    </row>
    <row r="144" ht="12.75" customHeight="1">
      <c r="A144" s="36">
        <f t="shared" si="2"/>
        <v>36</v>
      </c>
      <c r="B144" s="40">
        <f t="shared" si="3"/>
        <v>2</v>
      </c>
      <c r="C144" s="36">
        <f t="shared" si="1"/>
        <v>1</v>
      </c>
      <c r="D144" s="45">
        <f> indirect(address(match("Nbre " &amp; vlookup(A144, Mois!$A$2:$C1000, 3), ZONE(MOIS_VERS_ANNEE(A144), "K:K"), 0) - 1, C144 + 11, 4, true, MOIS_VERS_ANNEE(A144)))</f>
        <v>48</v>
      </c>
      <c r="E144" s="47"/>
    </row>
    <row r="145" ht="12.75" customHeight="1">
      <c r="A145" s="36">
        <f t="shared" si="2"/>
        <v>36</v>
      </c>
      <c r="B145" s="40">
        <f t="shared" si="3"/>
        <v>2</v>
      </c>
      <c r="C145" s="36">
        <f t="shared" si="1"/>
        <v>2</v>
      </c>
      <c r="D145" s="45">
        <f> indirect(address(match("Nbre " &amp; vlookup(A145, Mois!$A$2:$C1000, 3), ZONE(MOIS_VERS_ANNEE(A145), "K:K"), 0) - 1, C145 + 11, 4, true, MOIS_VERS_ANNEE(A145)))</f>
        <v>3</v>
      </c>
      <c r="E145" s="47"/>
    </row>
    <row r="146" ht="12.75" customHeight="1">
      <c r="A146" s="36">
        <f t="shared" si="2"/>
        <v>37</v>
      </c>
      <c r="B146" s="40">
        <f t="shared" si="3"/>
        <v>1</v>
      </c>
      <c r="C146" s="36">
        <f t="shared" si="1"/>
        <v>1</v>
      </c>
      <c r="D146" s="45">
        <f>IFERROR(__xludf.DUMMYFUNCTION(" sum (filter (ZONE (MOIS_VERS_ANNEE (A146), address (2, C146 + 6) &amp; "":"" &amp; address (9999, C146 + 6)), month (ZONE (MOIS_VERS_ANNEE (A146), ""A2:A"")) = mod (A146 - 1, 12) + 1, ZONE (MOIS_VERS_ANNEE (A146), ""A2:A"") &lt;&gt; """")) - D147"),399.0)</f>
        <v>399</v>
      </c>
      <c r="E146" s="46"/>
    </row>
    <row r="147" ht="12.75" customHeight="1">
      <c r="A147" s="36">
        <f t="shared" si="2"/>
        <v>37</v>
      </c>
      <c r="B147" s="40">
        <f t="shared" si="3"/>
        <v>1</v>
      </c>
      <c r="C147" s="36">
        <f t="shared" si="1"/>
        <v>2</v>
      </c>
      <c r="D147" s="45">
        <f>IFERROR(__xludf.DUMMYFUNCTION(" sum (filter (ZONE (MOIS_VERS_ANNEE (A147), address (2, C147 + 6) &amp; "":"" &amp; address (9999, C147 + 6)), month (ZONE (MOIS_VERS_ANNEE (A147), ""A2:A"")) = mod (A147 - 1, 12) + 1, ZONE (MOIS_VERS_ANNEE (A147), ""A2:A"") &lt;&gt; """"))"),95.0)</f>
        <v>95</v>
      </c>
      <c r="E147" s="47"/>
    </row>
    <row r="148" ht="12.75" customHeight="1">
      <c r="A148" s="36">
        <f t="shared" si="2"/>
        <v>37</v>
      </c>
      <c r="B148" s="40">
        <f t="shared" si="3"/>
        <v>2</v>
      </c>
      <c r="C148" s="36">
        <f t="shared" si="1"/>
        <v>1</v>
      </c>
      <c r="D148" s="45">
        <f> indirect(address(match("Nbre " &amp; vlookup(A148, Mois!$A$2:$C1000, 3), ZONE(MOIS_VERS_ANNEE(A148), "K:K"), 0) - 1, C148 + 11, 4, true, MOIS_VERS_ANNEE(A148)))</f>
        <v>103</v>
      </c>
      <c r="E148" s="47"/>
    </row>
    <row r="149" ht="12.75" customHeight="1">
      <c r="A149" s="36">
        <f t="shared" si="2"/>
        <v>37</v>
      </c>
      <c r="B149" s="40">
        <f t="shared" si="3"/>
        <v>2</v>
      </c>
      <c r="C149" s="36">
        <f t="shared" si="1"/>
        <v>2</v>
      </c>
      <c r="D149" s="45">
        <f> indirect(address(match("Nbre " &amp; vlookup(A149, Mois!$A$2:$C1000, 3), ZONE(MOIS_VERS_ANNEE(A149), "K:K"), 0) - 1, C149 + 11, 4, true, MOIS_VERS_ANNEE(A149)))</f>
        <v>15</v>
      </c>
      <c r="E149" s="47"/>
    </row>
    <row r="150" ht="12.75" customHeight="1">
      <c r="A150" s="36">
        <f t="shared" si="2"/>
        <v>38</v>
      </c>
      <c r="B150" s="40">
        <f t="shared" si="3"/>
        <v>1</v>
      </c>
      <c r="C150" s="36">
        <f t="shared" si="1"/>
        <v>1</v>
      </c>
      <c r="D150" s="45">
        <f>IFERROR(__xludf.DUMMYFUNCTION(" sum (filter (ZONE (MOIS_VERS_ANNEE (A150), address (2, C150 + 6) &amp; "":"" &amp; address (9999, C150 + 6)), month (ZONE (MOIS_VERS_ANNEE (A150), ""A2:A"")) = mod (A150 - 1, 12) + 1, ZONE (MOIS_VERS_ANNEE (A150), ""A2:A"") &lt;&gt; """")) - D151"),415.0)</f>
        <v>415</v>
      </c>
      <c r="E150" s="46"/>
    </row>
    <row r="151" ht="12.75" customHeight="1">
      <c r="A151" s="36">
        <f t="shared" si="2"/>
        <v>38</v>
      </c>
      <c r="B151" s="40">
        <f t="shared" si="3"/>
        <v>1</v>
      </c>
      <c r="C151" s="36">
        <f t="shared" si="1"/>
        <v>2</v>
      </c>
      <c r="D151" s="45">
        <f>IFERROR(__xludf.DUMMYFUNCTION(" sum (filter (ZONE (MOIS_VERS_ANNEE (A151), address (2, C151 + 6) &amp; "":"" &amp; address (9999, C151 + 6)), month (ZONE (MOIS_VERS_ANNEE (A151), ""A2:A"")) = mod (A151 - 1, 12) + 1, ZONE (MOIS_VERS_ANNEE (A151), ""A2:A"") &lt;&gt; """"))"),92.0)</f>
        <v>92</v>
      </c>
      <c r="E151" s="47"/>
    </row>
    <row r="152" ht="12.75" customHeight="1">
      <c r="A152" s="36">
        <f t="shared" si="2"/>
        <v>38</v>
      </c>
      <c r="B152" s="40">
        <f t="shared" si="3"/>
        <v>2</v>
      </c>
      <c r="C152" s="36">
        <f t="shared" si="1"/>
        <v>1</v>
      </c>
      <c r="D152" s="45">
        <f> indirect(address(match("Nbre " &amp; vlookup(A152, Mois!$A$2:$C1000, 3), ZONE(MOIS_VERS_ANNEE(A152), "K:K"), 0) - 1, C152 + 11, 4, true, MOIS_VERS_ANNEE(A152)))</f>
        <v>89</v>
      </c>
      <c r="E152" s="47"/>
    </row>
    <row r="153" ht="12.75" customHeight="1">
      <c r="A153" s="36">
        <f t="shared" si="2"/>
        <v>38</v>
      </c>
      <c r="B153" s="40">
        <f t="shared" si="3"/>
        <v>2</v>
      </c>
      <c r="C153" s="36">
        <f t="shared" si="1"/>
        <v>2</v>
      </c>
      <c r="D153" s="45">
        <f> indirect(address(match("Nbre " &amp; vlookup(A153, Mois!$A$2:$C1000, 3), ZONE(MOIS_VERS_ANNEE(A153), "K:K"), 0) - 1, C153 + 11, 4, true, MOIS_VERS_ANNEE(A153)))</f>
        <v>12</v>
      </c>
      <c r="E153" s="47"/>
    </row>
    <row r="154" ht="12.75" customHeight="1">
      <c r="A154" s="36">
        <f t="shared" si="2"/>
        <v>39</v>
      </c>
      <c r="B154" s="40">
        <f t="shared" si="3"/>
        <v>1</v>
      </c>
      <c r="C154" s="36">
        <f t="shared" si="1"/>
        <v>1</v>
      </c>
      <c r="D154" s="45">
        <f>IFERROR(__xludf.DUMMYFUNCTION(" sum (filter (ZONE (MOIS_VERS_ANNEE (A154), address (2, C154 + 6) &amp; "":"" &amp; address (9999, C154 + 6)), month (ZONE (MOIS_VERS_ANNEE (A154), ""A2:A"")) = mod (A154 - 1, 12) + 1, ZONE (MOIS_VERS_ANNEE (A154), ""A2:A"") &lt;&gt; """")) - D155"),224.0)</f>
        <v>224</v>
      </c>
      <c r="E154" s="46"/>
    </row>
    <row r="155" ht="12.75" customHeight="1">
      <c r="A155" s="36">
        <f t="shared" si="2"/>
        <v>39</v>
      </c>
      <c r="B155" s="40">
        <f t="shared" si="3"/>
        <v>1</v>
      </c>
      <c r="C155" s="36">
        <f t="shared" si="1"/>
        <v>2</v>
      </c>
      <c r="D155" s="45">
        <f>IFERROR(__xludf.DUMMYFUNCTION(" sum (filter (ZONE (MOIS_VERS_ANNEE (A155), address (2, C155 + 6) &amp; "":"" &amp; address (9999, C155 + 6)), month (ZONE (MOIS_VERS_ANNEE (A155), ""A2:A"")) = mod (A155 - 1, 12) + 1, ZONE (MOIS_VERS_ANNEE (A155), ""A2:A"") &lt;&gt; """"))"),54.0)</f>
        <v>54</v>
      </c>
      <c r="E155" s="47"/>
    </row>
    <row r="156" ht="12.75" customHeight="1">
      <c r="A156" s="36">
        <f t="shared" si="2"/>
        <v>39</v>
      </c>
      <c r="B156" s="40">
        <f t="shared" si="3"/>
        <v>2</v>
      </c>
      <c r="C156" s="36">
        <f t="shared" si="1"/>
        <v>1</v>
      </c>
      <c r="D156" s="45">
        <f> indirect(address(match("Nbre " &amp; vlookup(A156, Mois!$A$2:$C1000, 3), ZONE(MOIS_VERS_ANNEE(A156), "K:K"), 0) - 1, C156 + 11, 4, true, MOIS_VERS_ANNEE(A156)))</f>
        <v>43</v>
      </c>
      <c r="E156" s="47"/>
    </row>
    <row r="157" ht="12.75" customHeight="1">
      <c r="A157" s="36">
        <f t="shared" si="2"/>
        <v>39</v>
      </c>
      <c r="B157" s="40">
        <f t="shared" si="3"/>
        <v>2</v>
      </c>
      <c r="C157" s="36">
        <f t="shared" si="1"/>
        <v>2</v>
      </c>
      <c r="D157" s="45">
        <f> indirect(address(match("Nbre " &amp; vlookup(A157, Mois!$A$2:$C1000, 3), ZONE(MOIS_VERS_ANNEE(A157), "K:K"), 0) - 1, C157 + 11, 4, true, MOIS_VERS_ANNEE(A157)))</f>
        <v>8</v>
      </c>
      <c r="E157" s="47"/>
    </row>
    <row r="158" ht="12.75" customHeight="1">
      <c r="A158" s="36">
        <f t="shared" si="2"/>
        <v>40</v>
      </c>
      <c r="B158" s="40">
        <f t="shared" si="3"/>
        <v>1</v>
      </c>
      <c r="C158" s="36">
        <f t="shared" si="1"/>
        <v>1</v>
      </c>
      <c r="D158" s="45">
        <f>IFERROR(__xludf.DUMMYFUNCTION(" sum (filter (ZONE (MOIS_VERS_ANNEE (A158), address (2, C158 + 6) &amp; "":"" &amp; address (9999, C158 + 6)), month (ZONE (MOIS_VERS_ANNEE (A158), ""A2:A"")) = mod (A158 - 1, 12) + 1, ZONE (MOIS_VERS_ANNEE (A158), ""A2:A"") &lt;&gt; """")) - D159"),146.0)</f>
        <v>146</v>
      </c>
      <c r="E158" s="46"/>
    </row>
    <row r="159" ht="12.75" customHeight="1">
      <c r="A159" s="36">
        <f t="shared" si="2"/>
        <v>40</v>
      </c>
      <c r="B159" s="40">
        <f t="shared" si="3"/>
        <v>1</v>
      </c>
      <c r="C159" s="36">
        <f t="shared" si="1"/>
        <v>2</v>
      </c>
      <c r="D159" s="45">
        <f>IFERROR(__xludf.DUMMYFUNCTION(" sum (filter (ZONE (MOIS_VERS_ANNEE (A159), address (2, C159 + 6) &amp; "":"" &amp; address (9999, C159 + 6)), month (ZONE (MOIS_VERS_ANNEE (A159), ""A2:A"")) = mod (A159 - 1, 12) + 1, ZONE (MOIS_VERS_ANNEE (A159), ""A2:A"") &lt;&gt; """"))"),23.0)</f>
        <v>23</v>
      </c>
      <c r="E159" s="47"/>
    </row>
    <row r="160" ht="12.75" customHeight="1">
      <c r="A160" s="36">
        <f t="shared" si="2"/>
        <v>40</v>
      </c>
      <c r="B160" s="40">
        <f t="shared" si="3"/>
        <v>2</v>
      </c>
      <c r="C160" s="36">
        <f t="shared" si="1"/>
        <v>1</v>
      </c>
      <c r="D160" s="45">
        <f> indirect(address(match("Nbre " &amp; vlookup(A160, Mois!$A$2:$C1000, 3), ZONE(MOIS_VERS_ANNEE(A160), "K:K"), 0) - 1, C160 + 11, 4, true, MOIS_VERS_ANNEE(A160)))</f>
        <v>15</v>
      </c>
      <c r="E160" s="47"/>
    </row>
    <row r="161" ht="12.75" customHeight="1">
      <c r="A161" s="36">
        <f t="shared" si="2"/>
        <v>40</v>
      </c>
      <c r="B161" s="40">
        <f t="shared" si="3"/>
        <v>2</v>
      </c>
      <c r="C161" s="36">
        <f t="shared" si="1"/>
        <v>2</v>
      </c>
      <c r="D161" s="45">
        <f> indirect(address(match("Nbre " &amp; vlookup(A161, Mois!$A$2:$C1000, 3), ZONE(MOIS_VERS_ANNEE(A161), "K:K"), 0) - 1, C161 + 11, 4, true, MOIS_VERS_ANNEE(A161)))</f>
        <v>0</v>
      </c>
      <c r="E161" s="47"/>
    </row>
    <row r="162" ht="12.75" customHeight="1">
      <c r="A162" s="36">
        <f t="shared" si="2"/>
        <v>41</v>
      </c>
      <c r="B162" s="40">
        <f t="shared" si="3"/>
        <v>1</v>
      </c>
      <c r="C162" s="36">
        <f t="shared" si="1"/>
        <v>1</v>
      </c>
      <c r="D162" s="45">
        <f>IFERROR(__xludf.DUMMYFUNCTION(" sum (filter (ZONE (MOIS_VERS_ANNEE (A162), address (2, C162 + 6) &amp; "":"" &amp; address (9999, C162 + 6)), month (ZONE (MOIS_VERS_ANNEE (A162), ""A2:A"")) = mod (A162 - 1, 12) + 1, ZONE (MOIS_VERS_ANNEE (A162), ""A2:A"") &lt;&gt; """")) - D163"),363.0)</f>
        <v>363</v>
      </c>
      <c r="E162" s="46"/>
    </row>
    <row r="163" ht="12.75" customHeight="1">
      <c r="A163" s="36">
        <f t="shared" si="2"/>
        <v>41</v>
      </c>
      <c r="B163" s="40">
        <f t="shared" si="3"/>
        <v>1</v>
      </c>
      <c r="C163" s="36">
        <f t="shared" si="1"/>
        <v>2</v>
      </c>
      <c r="D163" s="45">
        <f>IFERROR(__xludf.DUMMYFUNCTION(" sum (filter (ZONE (MOIS_VERS_ANNEE (A163), address (2, C163 + 6) &amp; "":"" &amp; address (9999, C163 + 6)), month (ZONE (MOIS_VERS_ANNEE (A163), ""A2:A"")) = mod (A163 - 1, 12) + 1, ZONE (MOIS_VERS_ANNEE (A163), ""A2:A"") &lt;&gt; """"))"),63.0)</f>
        <v>63</v>
      </c>
      <c r="E163" s="47"/>
    </row>
    <row r="164" ht="12.75" customHeight="1">
      <c r="A164" s="36">
        <f t="shared" si="2"/>
        <v>41</v>
      </c>
      <c r="B164" s="40">
        <f t="shared" si="3"/>
        <v>2</v>
      </c>
      <c r="C164" s="36">
        <f t="shared" si="1"/>
        <v>1</v>
      </c>
      <c r="D164" s="45">
        <f> indirect(address(match("Nbre " &amp; vlookup(A164, Mois!$A$2:$C1000, 3), ZONE(MOIS_VERS_ANNEE(A164), "K:K"), 0) - 1, C164 + 11, 4, true, MOIS_VERS_ANNEE(A164)))</f>
        <v>69</v>
      </c>
      <c r="E164" s="47"/>
    </row>
    <row r="165" ht="12.75" customHeight="1">
      <c r="A165" s="36">
        <f t="shared" si="2"/>
        <v>41</v>
      </c>
      <c r="B165" s="40">
        <f t="shared" si="3"/>
        <v>2</v>
      </c>
      <c r="C165" s="36">
        <f t="shared" si="1"/>
        <v>2</v>
      </c>
      <c r="D165" s="45">
        <f> indirect(address(match("Nbre " &amp; vlookup(A165, Mois!$A$2:$C1000, 3), ZONE(MOIS_VERS_ANNEE(A165), "K:K"), 0) - 1, C165 + 11, 4, true, MOIS_VERS_ANNEE(A165)))</f>
        <v>7</v>
      </c>
      <c r="E165" s="47"/>
    </row>
    <row r="166" ht="12.75" customHeight="1">
      <c r="A166" s="36">
        <f t="shared" si="2"/>
        <v>42</v>
      </c>
      <c r="B166" s="40">
        <f t="shared" si="3"/>
        <v>1</v>
      </c>
      <c r="C166" s="36">
        <f t="shared" si="1"/>
        <v>1</v>
      </c>
      <c r="D166" s="45">
        <f>IFERROR(__xludf.DUMMYFUNCTION(" sum (filter (ZONE (MOIS_VERS_ANNEE (A166), address (2, C166 + 6) &amp; "":"" &amp; address (9999, C166 + 6)), month (ZONE (MOIS_VERS_ANNEE (A166), ""A2:A"")) = mod (A166 - 1, 12) + 1, ZONE (MOIS_VERS_ANNEE (A166), ""A2:A"") &lt;&gt; """")) - D167"),413.0)</f>
        <v>413</v>
      </c>
      <c r="E166" s="46"/>
    </row>
    <row r="167" ht="12.75" customHeight="1">
      <c r="A167" s="36">
        <f t="shared" si="2"/>
        <v>42</v>
      </c>
      <c r="B167" s="40">
        <f t="shared" si="3"/>
        <v>1</v>
      </c>
      <c r="C167" s="36">
        <f t="shared" si="1"/>
        <v>2</v>
      </c>
      <c r="D167" s="45">
        <f>IFERROR(__xludf.DUMMYFUNCTION(" sum (filter (ZONE (MOIS_VERS_ANNEE (A167), address (2, C167 + 6) &amp; "":"" &amp; address (9999, C167 + 6)), month (ZONE (MOIS_VERS_ANNEE (A167), ""A2:A"")) = mod (A167 - 1, 12) + 1, ZONE (MOIS_VERS_ANNEE (A167), ""A2:A"") &lt;&gt; """"))"),98.0)</f>
        <v>98</v>
      </c>
      <c r="E167" s="47"/>
    </row>
    <row r="168" ht="12.75" customHeight="1">
      <c r="A168" s="36">
        <f t="shared" si="2"/>
        <v>42</v>
      </c>
      <c r="B168" s="40">
        <f t="shared" si="3"/>
        <v>2</v>
      </c>
      <c r="C168" s="36">
        <f t="shared" si="1"/>
        <v>1</v>
      </c>
      <c r="D168" s="45">
        <f> indirect(address(match("Nbre " &amp; vlookup(A168, Mois!$A$2:$C1000, 3), ZONE(MOIS_VERS_ANNEE(A168), "K:K"), 0) - 1, C168 + 11, 4, true, MOIS_VERS_ANNEE(A168)))</f>
        <v>54</v>
      </c>
      <c r="E168" s="47"/>
    </row>
    <row r="169" ht="12.75" customHeight="1">
      <c r="A169" s="36">
        <f t="shared" si="2"/>
        <v>42</v>
      </c>
      <c r="B169" s="40">
        <f t="shared" si="3"/>
        <v>2</v>
      </c>
      <c r="C169" s="36">
        <f t="shared" si="1"/>
        <v>2</v>
      </c>
      <c r="D169" s="45">
        <f> indirect(address(match("Nbre " &amp; vlookup(A169, Mois!$A$2:$C1000, 3), ZONE(MOIS_VERS_ANNEE(A169), "K:K"), 0) - 1, C169 + 11, 4, true, MOIS_VERS_ANNEE(A169)))</f>
        <v>9</v>
      </c>
      <c r="E169" s="47"/>
    </row>
    <row r="170" ht="12.75" customHeight="1">
      <c r="A170" s="36">
        <f t="shared" si="2"/>
        <v>43</v>
      </c>
      <c r="B170" s="40">
        <f t="shared" si="3"/>
        <v>1</v>
      </c>
      <c r="C170" s="36">
        <f t="shared" si="1"/>
        <v>1</v>
      </c>
      <c r="D170" s="45">
        <f>IFERROR(__xludf.DUMMYFUNCTION(" sum (filter (ZONE (MOIS_VERS_ANNEE (A170), address (2, C170 + 6) &amp; "":"" &amp; address (9999, C170 + 6)), month (ZONE (MOIS_VERS_ANNEE (A170), ""A2:A"")) = mod (A170 - 1, 12) + 1, ZONE (MOIS_VERS_ANNEE (A170), ""A2:A"") &lt;&gt; """")) - D171"),447.0)</f>
        <v>447</v>
      </c>
      <c r="E170" s="46"/>
    </row>
    <row r="171" ht="12.75" customHeight="1">
      <c r="A171" s="36">
        <f t="shared" si="2"/>
        <v>43</v>
      </c>
      <c r="B171" s="40">
        <f t="shared" si="3"/>
        <v>1</v>
      </c>
      <c r="C171" s="36">
        <f t="shared" si="1"/>
        <v>2</v>
      </c>
      <c r="D171" s="45">
        <f>IFERROR(__xludf.DUMMYFUNCTION(" sum (filter (ZONE (MOIS_VERS_ANNEE (A171), address (2, C171 + 6) &amp; "":"" &amp; address (9999, C171 + 6)), month (ZONE (MOIS_VERS_ANNEE (A171), ""A2:A"")) = mod (A171 - 1, 12) + 1, ZONE (MOIS_VERS_ANNEE (A171), ""A2:A"") &lt;&gt; """"))"),87.0)</f>
        <v>87</v>
      </c>
      <c r="E171" s="47"/>
    </row>
    <row r="172" ht="12.75" customHeight="1">
      <c r="A172" s="36">
        <f t="shared" si="2"/>
        <v>43</v>
      </c>
      <c r="B172" s="40">
        <f t="shared" si="3"/>
        <v>2</v>
      </c>
      <c r="C172" s="36">
        <f t="shared" si="1"/>
        <v>1</v>
      </c>
      <c r="D172" s="45">
        <f> indirect(address(match("Nbre " &amp; vlookup(A172, Mois!$A$2:$C1000, 3), ZONE(MOIS_VERS_ANNEE(A172), "K:K"), 0) - 1, C172 + 11, 4, true, MOIS_VERS_ANNEE(A172)))</f>
        <v>89</v>
      </c>
      <c r="E172" s="47"/>
    </row>
    <row r="173" ht="12.75" customHeight="1">
      <c r="A173" s="36">
        <f t="shared" si="2"/>
        <v>43</v>
      </c>
      <c r="B173" s="40">
        <f t="shared" si="3"/>
        <v>2</v>
      </c>
      <c r="C173" s="36">
        <f t="shared" si="1"/>
        <v>2</v>
      </c>
      <c r="D173" s="45">
        <f> indirect(address(match("Nbre " &amp; vlookup(A173, Mois!$A$2:$C1000, 3), ZONE(MOIS_VERS_ANNEE(A173), "K:K"), 0) - 1, C173 + 11, 4, true, MOIS_VERS_ANNEE(A173)))</f>
        <v>14</v>
      </c>
      <c r="E173" s="47"/>
    </row>
    <row r="174" ht="12.75" customHeight="1">
      <c r="A174" s="36">
        <f t="shared" si="2"/>
        <v>44</v>
      </c>
      <c r="B174" s="40">
        <f t="shared" si="3"/>
        <v>1</v>
      </c>
      <c r="C174" s="36">
        <f t="shared" si="1"/>
        <v>1</v>
      </c>
      <c r="D174" s="45">
        <f>IFERROR(__xludf.DUMMYFUNCTION(" sum (filter (ZONE (MOIS_VERS_ANNEE (A174), address (2, C174 + 6) &amp; "":"" &amp; address (9999, C174 + 6)), month (ZONE (MOIS_VERS_ANNEE (A174), ""A2:A"")) = mod (A174 - 1, 12) + 1, ZONE (MOIS_VERS_ANNEE (A174), ""A2:A"") &lt;&gt; """")) - D175"),203.0)</f>
        <v>203</v>
      </c>
      <c r="E174" s="46"/>
    </row>
    <row r="175" ht="12.75" customHeight="1">
      <c r="A175" s="36">
        <f t="shared" si="2"/>
        <v>44</v>
      </c>
      <c r="B175" s="40">
        <f t="shared" si="3"/>
        <v>1</v>
      </c>
      <c r="C175" s="36">
        <f t="shared" si="1"/>
        <v>2</v>
      </c>
      <c r="D175" s="45">
        <f>IFERROR(__xludf.DUMMYFUNCTION(" sum (filter (ZONE (MOIS_VERS_ANNEE (A175), address (2, C175 + 6) &amp; "":"" &amp; address (9999, C175 + 6)), month (ZONE (MOIS_VERS_ANNEE (A175), ""A2:A"")) = mod (A175 - 1, 12) + 1, ZONE (MOIS_VERS_ANNEE (A175), ""A2:A"") &lt;&gt; """"))"),42.0)</f>
        <v>42</v>
      </c>
      <c r="E175" s="47"/>
    </row>
    <row r="176" ht="12.75" customHeight="1">
      <c r="A176" s="36">
        <f t="shared" si="2"/>
        <v>44</v>
      </c>
      <c r="B176" s="40">
        <f t="shared" si="3"/>
        <v>2</v>
      </c>
      <c r="C176" s="36">
        <f t="shared" si="1"/>
        <v>1</v>
      </c>
      <c r="D176" s="45">
        <f> indirect(address(match("Nbre " &amp; vlookup(A176, Mois!$A$2:$C1000, 3), ZONE(MOIS_VERS_ANNEE(A176), "K:K"), 0) - 1, C176 + 11, 4, true, MOIS_VERS_ANNEE(A176)))</f>
        <v>43</v>
      </c>
      <c r="E176" s="47"/>
    </row>
    <row r="177" ht="12.75" customHeight="1">
      <c r="A177" s="36">
        <f t="shared" si="2"/>
        <v>44</v>
      </c>
      <c r="B177" s="40">
        <f t="shared" si="3"/>
        <v>2</v>
      </c>
      <c r="C177" s="36">
        <f t="shared" si="1"/>
        <v>2</v>
      </c>
      <c r="D177" s="45">
        <f> indirect(address(match("Nbre " &amp; vlookup(A177, Mois!$A$2:$C1000, 3), ZONE(MOIS_VERS_ANNEE(A177), "K:K"), 0) - 1, C177 + 11, 4, true, MOIS_VERS_ANNEE(A177)))</f>
        <v>5</v>
      </c>
      <c r="E177" s="47"/>
    </row>
    <row r="178" ht="12.75" customHeight="1">
      <c r="A178" s="36">
        <f t="shared" si="2"/>
        <v>45</v>
      </c>
      <c r="B178" s="40">
        <f t="shared" si="3"/>
        <v>1</v>
      </c>
      <c r="C178" s="36">
        <f t="shared" si="1"/>
        <v>1</v>
      </c>
      <c r="D178" s="45">
        <f>IFERROR(__xludf.DUMMYFUNCTION(" sum (filter (ZONE (MOIS_VERS_ANNEE (A178), address (2, C178 + 6) &amp; "":"" &amp; address (9999, C178 + 6)), month (ZONE (MOIS_VERS_ANNEE (A178), ""A2:A"")) = mod (A178 - 1, 12) + 1, ZONE (MOIS_VERS_ANNEE (A178), ""A2:A"") &lt;&gt; """")) - D179"),339.0)</f>
        <v>339</v>
      </c>
      <c r="E178" s="46"/>
    </row>
    <row r="179" ht="12.75" customHeight="1">
      <c r="A179" s="36">
        <f t="shared" si="2"/>
        <v>45</v>
      </c>
      <c r="B179" s="40">
        <f t="shared" si="3"/>
        <v>1</v>
      </c>
      <c r="C179" s="36">
        <f t="shared" si="1"/>
        <v>2</v>
      </c>
      <c r="D179" s="45">
        <f>IFERROR(__xludf.DUMMYFUNCTION(" sum (filter (ZONE (MOIS_VERS_ANNEE (A179), address (2, C179 + 6) &amp; "":"" &amp; address (9999, C179 + 6)), month (ZONE (MOIS_VERS_ANNEE (A179), ""A2:A"")) = mod (A179 - 1, 12) + 1, ZONE (MOIS_VERS_ANNEE (A179), ""A2:A"") &lt;&gt; """"))"),66.0)</f>
        <v>66</v>
      </c>
      <c r="E179" s="47"/>
    </row>
    <row r="180" ht="12.75" customHeight="1">
      <c r="A180" s="36">
        <f t="shared" si="2"/>
        <v>45</v>
      </c>
      <c r="B180" s="40">
        <f t="shared" si="3"/>
        <v>2</v>
      </c>
      <c r="C180" s="36">
        <f t="shared" si="1"/>
        <v>1</v>
      </c>
      <c r="D180" s="45">
        <f> indirect(address(match("Nbre " &amp; vlookup(A180, Mois!$A$2:$C1000, 3), ZONE(MOIS_VERS_ANNEE(A180), "K:K"), 0) - 1, C180 + 11, 4, true, MOIS_VERS_ANNEE(A180)))</f>
        <v>75</v>
      </c>
      <c r="E180" s="47"/>
    </row>
    <row r="181" ht="12.75" customHeight="1">
      <c r="A181" s="36">
        <f t="shared" si="2"/>
        <v>45</v>
      </c>
      <c r="B181" s="40">
        <f t="shared" si="3"/>
        <v>2</v>
      </c>
      <c r="C181" s="36">
        <f t="shared" si="1"/>
        <v>2</v>
      </c>
      <c r="D181" s="45">
        <f> indirect(address(match("Nbre " &amp; vlookup(A181, Mois!$A$2:$C1000, 3), ZONE(MOIS_VERS_ANNEE(A181), "K:K"), 0) - 1, C181 + 11, 4, true, MOIS_VERS_ANNEE(A181)))</f>
        <v>8</v>
      </c>
      <c r="E181" s="47"/>
    </row>
    <row r="182" ht="12.75" customHeight="1">
      <c r="A182" s="36">
        <f t="shared" si="2"/>
        <v>46</v>
      </c>
      <c r="B182" s="40">
        <f t="shared" si="3"/>
        <v>1</v>
      </c>
      <c r="C182" s="36">
        <f t="shared" si="1"/>
        <v>1</v>
      </c>
      <c r="D182" s="45">
        <f>IFERROR(__xludf.DUMMYFUNCTION(" sum (filter (ZONE (MOIS_VERS_ANNEE (A182), address (2, C182 + 6) &amp; "":"" &amp; address (9999, C182 + 6)), month (ZONE (MOIS_VERS_ANNEE (A182), ""A2:A"")) = mod (A182 - 1, 12) + 1, ZONE (MOIS_VERS_ANNEE (A182), ""A2:A"") &lt;&gt; """")) - D183"),341.0)</f>
        <v>341</v>
      </c>
      <c r="E182" s="46"/>
    </row>
    <row r="183" ht="12.75" customHeight="1">
      <c r="A183" s="36">
        <f t="shared" si="2"/>
        <v>46</v>
      </c>
      <c r="B183" s="40">
        <f t="shared" si="3"/>
        <v>1</v>
      </c>
      <c r="C183" s="36">
        <f t="shared" si="1"/>
        <v>2</v>
      </c>
      <c r="D183" s="45">
        <f>IFERROR(__xludf.DUMMYFUNCTION(" sum (filter (ZONE (MOIS_VERS_ANNEE (A183), address (2, C183 + 6) &amp; "":"" &amp; address (9999, C183 + 6)), month (ZONE (MOIS_VERS_ANNEE (A183), ""A2:A"")) = mod (A183 - 1, 12) + 1, ZONE (MOIS_VERS_ANNEE (A183), ""A2:A"") &lt;&gt; """"))"),57.0)</f>
        <v>57</v>
      </c>
      <c r="E183" s="47"/>
    </row>
    <row r="184" ht="12.75" customHeight="1">
      <c r="A184" s="36">
        <f t="shared" si="2"/>
        <v>46</v>
      </c>
      <c r="B184" s="40">
        <f t="shared" si="3"/>
        <v>2</v>
      </c>
      <c r="C184" s="36">
        <f t="shared" si="1"/>
        <v>1</v>
      </c>
      <c r="D184" s="45">
        <f> indirect(address(match("Nbre " &amp; vlookup(A184, Mois!$A$2:$C1000, 3), ZONE(MOIS_VERS_ANNEE(A184), "K:K"), 0) - 1, C184 + 11, 4, true, MOIS_VERS_ANNEE(A184)))</f>
        <v>74</v>
      </c>
      <c r="E184" s="47"/>
    </row>
    <row r="185" ht="12.75" customHeight="1">
      <c r="A185" s="36">
        <f t="shared" si="2"/>
        <v>46</v>
      </c>
      <c r="B185" s="40">
        <f t="shared" si="3"/>
        <v>2</v>
      </c>
      <c r="C185" s="36">
        <f t="shared" si="1"/>
        <v>2</v>
      </c>
      <c r="D185" s="45">
        <f> indirect(address(match("Nbre " &amp; vlookup(A185, Mois!$A$2:$C1000, 3), ZONE(MOIS_VERS_ANNEE(A185), "K:K"), 0) - 1, C185 + 11, 4, true, MOIS_VERS_ANNEE(A185)))</f>
        <v>14</v>
      </c>
      <c r="E185" s="47"/>
    </row>
    <row r="186" ht="12.75" customHeight="1">
      <c r="A186" s="36">
        <f t="shared" si="2"/>
        <v>47</v>
      </c>
      <c r="B186" s="40">
        <f t="shared" si="3"/>
        <v>1</v>
      </c>
      <c r="C186" s="36">
        <f t="shared" si="1"/>
        <v>1</v>
      </c>
      <c r="D186" s="45">
        <f>IFERROR(__xludf.DUMMYFUNCTION(" sum (filter (ZONE (MOIS_VERS_ANNEE (A186), address (2, C186 + 6) &amp; "":"" &amp; address (9999, C186 + 6)), month (ZONE (MOIS_VERS_ANNEE (A186), ""A2:A"")) = mod (A186 - 1, 12) + 1, ZONE (MOIS_VERS_ANNEE (A186), ""A2:A"") &lt;&gt; """")) - D187"),299.0)</f>
        <v>299</v>
      </c>
      <c r="E186" s="46"/>
    </row>
    <row r="187" ht="12.75" customHeight="1">
      <c r="A187" s="36">
        <f t="shared" si="2"/>
        <v>47</v>
      </c>
      <c r="B187" s="40">
        <f t="shared" si="3"/>
        <v>1</v>
      </c>
      <c r="C187" s="36">
        <f t="shared" si="1"/>
        <v>2</v>
      </c>
      <c r="D187" s="45">
        <f>IFERROR(__xludf.DUMMYFUNCTION(" sum (filter (ZONE (MOIS_VERS_ANNEE (A187), address (2, C187 + 6) &amp; "":"" &amp; address (9999, C187 + 6)), month (ZONE (MOIS_VERS_ANNEE (A187), ""A2:A"")) = mod (A187 - 1, 12) + 1, ZONE (MOIS_VERS_ANNEE (A187), ""A2:A"") &lt;&gt; """"))"),82.0)</f>
        <v>82</v>
      </c>
      <c r="E187" s="47"/>
    </row>
    <row r="188" ht="12.75" customHeight="1">
      <c r="A188" s="36">
        <f t="shared" si="2"/>
        <v>47</v>
      </c>
      <c r="B188" s="40">
        <f t="shared" si="3"/>
        <v>2</v>
      </c>
      <c r="C188" s="36">
        <f t="shared" si="1"/>
        <v>1</v>
      </c>
      <c r="D188" s="45">
        <f> indirect(address(match("Nbre " &amp; vlookup(A188, Mois!$A$2:$C1000, 3), ZONE(MOIS_VERS_ANNEE(A188), "K:K"), 0) - 1, C188 + 11, 4, true, MOIS_VERS_ANNEE(A188)))</f>
        <v>68</v>
      </c>
      <c r="E188" s="47"/>
    </row>
    <row r="189" ht="12.75" customHeight="1">
      <c r="A189" s="36">
        <f t="shared" si="2"/>
        <v>47</v>
      </c>
      <c r="B189" s="40">
        <f t="shared" si="3"/>
        <v>2</v>
      </c>
      <c r="C189" s="36">
        <f t="shared" si="1"/>
        <v>2</v>
      </c>
      <c r="D189" s="45">
        <f> indirect(address(match("Nbre " &amp; vlookup(A189, Mois!$A$2:$C1000, 3), ZONE(MOIS_VERS_ANNEE(A189), "K:K"), 0) - 1, C189 + 11, 4, true, MOIS_VERS_ANNEE(A189)))</f>
        <v>21</v>
      </c>
      <c r="E189" s="47"/>
    </row>
    <row r="190" ht="12.75" customHeight="1">
      <c r="A190" s="36">
        <f t="shared" si="2"/>
        <v>48</v>
      </c>
      <c r="B190" s="40">
        <f t="shared" si="3"/>
        <v>1</v>
      </c>
      <c r="C190" s="36">
        <f t="shared" si="1"/>
        <v>1</v>
      </c>
      <c r="D190" s="45">
        <f>IFERROR(__xludf.DUMMYFUNCTION(" sum (filter (ZONE (MOIS_VERS_ANNEE (A190), address (2, C190 + 6) &amp; "":"" &amp; address (9999, C190 + 6)), month (ZONE (MOIS_VERS_ANNEE (A190), ""A2:A"")) = mod (A190 - 1, 12) + 1, ZONE (MOIS_VERS_ANNEE (A190), ""A2:A"") &lt;&gt; """")) - D191"),240.0)</f>
        <v>240</v>
      </c>
      <c r="E190" s="46"/>
    </row>
    <row r="191" ht="12.75" customHeight="1">
      <c r="A191" s="36">
        <f t="shared" si="2"/>
        <v>48</v>
      </c>
      <c r="B191" s="40">
        <f t="shared" si="3"/>
        <v>1</v>
      </c>
      <c r="C191" s="36">
        <f t="shared" si="1"/>
        <v>2</v>
      </c>
      <c r="D191" s="45">
        <f>IFERROR(__xludf.DUMMYFUNCTION(" sum (filter (ZONE (MOIS_VERS_ANNEE (A191), address (2, C191 + 6) &amp; "":"" &amp; address (9999, C191 + 6)), month (ZONE (MOIS_VERS_ANNEE (A191), ""A2:A"")) = mod (A191 - 1, 12) + 1, ZONE (MOIS_VERS_ANNEE (A191), ""A2:A"") &lt;&gt; """"))"),57.0)</f>
        <v>57</v>
      </c>
      <c r="E191" s="47"/>
    </row>
    <row r="192" ht="12.75" customHeight="1">
      <c r="A192" s="36">
        <f t="shared" si="2"/>
        <v>48</v>
      </c>
      <c r="B192" s="40">
        <f t="shared" si="3"/>
        <v>2</v>
      </c>
      <c r="C192" s="36">
        <f t="shared" si="1"/>
        <v>1</v>
      </c>
      <c r="D192" s="45">
        <f> indirect(address(match("Nbre " &amp; vlookup(A192, Mois!$A$2:$C1000, 3), ZONE(MOIS_VERS_ANNEE(A192), "K:K"), 0) - 1, C192 + 11, 4, true, MOIS_VERS_ANNEE(A192)))</f>
        <v>53</v>
      </c>
      <c r="E192" s="47"/>
    </row>
    <row r="193" ht="12.75" customHeight="1">
      <c r="A193" s="36">
        <f t="shared" si="2"/>
        <v>48</v>
      </c>
      <c r="B193" s="40">
        <f t="shared" si="3"/>
        <v>2</v>
      </c>
      <c r="C193" s="36">
        <f t="shared" si="1"/>
        <v>2</v>
      </c>
      <c r="D193" s="45">
        <f> indirect(address(match("Nbre " &amp; vlookup(A193, Mois!$A$2:$C1000, 3), ZONE(MOIS_VERS_ANNEE(A193), "K:K"), 0) - 1, C193 + 11, 4, true, MOIS_VERS_ANNEE(A193)))</f>
        <v>10</v>
      </c>
      <c r="E193" s="47"/>
    </row>
    <row r="194" ht="12.75" customHeight="1">
      <c r="A194" s="36">
        <f t="shared" si="2"/>
        <v>49</v>
      </c>
      <c r="B194" s="40">
        <f t="shared" si="3"/>
        <v>1</v>
      </c>
      <c r="C194" s="36">
        <f t="shared" si="1"/>
        <v>1</v>
      </c>
      <c r="D194" s="45">
        <f>IFERROR(__xludf.DUMMYFUNCTION(" sum (filter (ZONE (MOIS_VERS_ANNEE (A194), address (2, C194 + 6) &amp; "":"" &amp; address (9999, C194 + 6)), month (ZONE (MOIS_VERS_ANNEE (A194), ""A2:A"")) = mod (A194 - 1, 12) + 1, ZONE (MOIS_VERS_ANNEE (A194), ""A2:A"") &lt;&gt; """")) - D195"),337.0)</f>
        <v>337</v>
      </c>
      <c r="E194" s="46"/>
    </row>
    <row r="195" ht="12.75" customHeight="1">
      <c r="A195" s="36">
        <f t="shared" si="2"/>
        <v>49</v>
      </c>
      <c r="B195" s="40">
        <f t="shared" si="3"/>
        <v>1</v>
      </c>
      <c r="C195" s="36">
        <f t="shared" si="1"/>
        <v>2</v>
      </c>
      <c r="D195" s="45">
        <f>IFERROR(__xludf.DUMMYFUNCTION(" sum (filter (ZONE (MOIS_VERS_ANNEE (A195), address (2, C195 + 6) &amp; "":"" &amp; address (9999, C195 + 6)), month (ZONE (MOIS_VERS_ANNEE (A195), ""A2:A"")) = mod (A195 - 1, 12) + 1, ZONE (MOIS_VERS_ANNEE (A195), ""A2:A"") &lt;&gt; """"))"),89.0)</f>
        <v>89</v>
      </c>
      <c r="E195" s="47"/>
    </row>
    <row r="196" ht="12.75" customHeight="1">
      <c r="A196" s="36">
        <f t="shared" si="2"/>
        <v>49</v>
      </c>
      <c r="B196" s="40">
        <f t="shared" si="3"/>
        <v>2</v>
      </c>
      <c r="C196" s="36">
        <f t="shared" si="1"/>
        <v>1</v>
      </c>
      <c r="D196" s="45">
        <f> indirect(address(match("Nbre " &amp; vlookup(A196, Mois!$A$2:$C1000, 3), ZONE(MOIS_VERS_ANNEE(A196), "K:K"), 0) - 1, C196 + 11, 4, true, MOIS_VERS_ANNEE(A196)))</f>
        <v>48</v>
      </c>
      <c r="E196" s="47"/>
    </row>
    <row r="197" ht="12.75" customHeight="1">
      <c r="A197" s="36">
        <f t="shared" si="2"/>
        <v>49</v>
      </c>
      <c r="B197" s="40">
        <f t="shared" si="3"/>
        <v>2</v>
      </c>
      <c r="C197" s="36">
        <f t="shared" si="1"/>
        <v>2</v>
      </c>
      <c r="D197" s="45">
        <f> indirect(address(match("Nbre " &amp; vlookup(A197, Mois!$A$2:$C1000, 3), ZONE(MOIS_VERS_ANNEE(A197), "K:K"), 0) - 1, C197 + 11, 4, true, MOIS_VERS_ANNEE(A197)))</f>
        <v>16</v>
      </c>
      <c r="E197" s="47"/>
    </row>
    <row r="198" ht="12.75" customHeight="1">
      <c r="A198" s="36">
        <f t="shared" si="2"/>
        <v>50</v>
      </c>
      <c r="B198" s="40">
        <f t="shared" si="3"/>
        <v>1</v>
      </c>
      <c r="C198" s="36">
        <f t="shared" si="1"/>
        <v>1</v>
      </c>
      <c r="D198" s="45">
        <f>IFERROR(__xludf.DUMMYFUNCTION(" sum (filter (ZONE (MOIS_VERS_ANNEE (A198), address (2, C198 + 6) &amp; "":"" &amp; address (9999, C198 + 6)), month (ZONE (MOIS_VERS_ANNEE (A198), ""A2:A"")) = mod (A198 - 1, 12) + 1, ZONE (MOIS_VERS_ANNEE (A198), ""A2:A"") &lt;&gt; """")) - D199"),357.0)</f>
        <v>357</v>
      </c>
      <c r="E198" s="46"/>
    </row>
    <row r="199" ht="12.75" customHeight="1">
      <c r="A199" s="36">
        <f t="shared" si="2"/>
        <v>50</v>
      </c>
      <c r="B199" s="40">
        <f t="shared" si="3"/>
        <v>1</v>
      </c>
      <c r="C199" s="36">
        <f t="shared" si="1"/>
        <v>2</v>
      </c>
      <c r="D199" s="45">
        <f>IFERROR(__xludf.DUMMYFUNCTION(" sum (filter (ZONE (MOIS_VERS_ANNEE (A199), address (2, C199 + 6) &amp; "":"" &amp; address (9999, C199 + 6)), month (ZONE (MOIS_VERS_ANNEE (A199), ""A2:A"")) = mod (A199 - 1, 12) + 1, ZONE (MOIS_VERS_ANNEE (A199), ""A2:A"") &lt;&gt; """"))"),104.0)</f>
        <v>104</v>
      </c>
      <c r="E199" s="47"/>
    </row>
    <row r="200" ht="12.75" customHeight="1">
      <c r="A200" s="36">
        <f t="shared" si="2"/>
        <v>50</v>
      </c>
      <c r="B200" s="40">
        <f t="shared" si="3"/>
        <v>2</v>
      </c>
      <c r="C200" s="36">
        <f t="shared" si="1"/>
        <v>1</v>
      </c>
      <c r="D200" s="45">
        <f> indirect(address(match("Nbre " &amp; vlookup(A200, Mois!$A$2:$C1000, 3), ZONE(MOIS_VERS_ANNEE(A200), "K:K"), 0) - 1, C200 + 11, 4, true, MOIS_VERS_ANNEE(A200)))</f>
        <v>67</v>
      </c>
      <c r="E200" s="47"/>
    </row>
    <row r="201" ht="12.75" customHeight="1">
      <c r="A201" s="36">
        <f t="shared" si="2"/>
        <v>50</v>
      </c>
      <c r="B201" s="40">
        <f t="shared" si="3"/>
        <v>2</v>
      </c>
      <c r="C201" s="36">
        <f t="shared" si="1"/>
        <v>2</v>
      </c>
      <c r="D201" s="45">
        <f> indirect(address(match("Nbre " &amp; vlookup(A201, Mois!$A$2:$C1000, 3), ZONE(MOIS_VERS_ANNEE(A201), "K:K"), 0) - 1, C201 + 11, 4, true, MOIS_VERS_ANNEE(A201)))</f>
        <v>26</v>
      </c>
      <c r="E201" s="47"/>
    </row>
    <row r="202" ht="12.75" customHeight="1">
      <c r="A202" s="36">
        <f t="shared" si="2"/>
        <v>51</v>
      </c>
      <c r="B202" s="40">
        <f t="shared" si="3"/>
        <v>1</v>
      </c>
      <c r="C202" s="36">
        <f t="shared" si="1"/>
        <v>1</v>
      </c>
      <c r="D202" s="45">
        <f>IFERROR(__xludf.DUMMYFUNCTION(" sum (filter (ZONE (MOIS_VERS_ANNEE (A202), address (2, C202 + 6) &amp; "":"" &amp; address (9999, C202 + 6)), month (ZONE (MOIS_VERS_ANNEE (A202), ""A2:A"")) = mod (A202 - 1, 12) + 1, ZONE (MOIS_VERS_ANNEE (A202), ""A2:A"") &lt;&gt; """")) - D203"),339.0)</f>
        <v>339</v>
      </c>
      <c r="E202" s="46"/>
    </row>
    <row r="203" ht="12.75" customHeight="1">
      <c r="A203" s="36">
        <f t="shared" si="2"/>
        <v>51</v>
      </c>
      <c r="B203" s="40">
        <f t="shared" si="3"/>
        <v>1</v>
      </c>
      <c r="C203" s="36">
        <f t="shared" si="1"/>
        <v>2</v>
      </c>
      <c r="D203" s="45">
        <f>IFERROR(__xludf.DUMMYFUNCTION(" sum (filter (ZONE (MOIS_VERS_ANNEE (A203), address (2, C203 + 6) &amp; "":"" &amp; address (9999, C203 + 6)), month (ZONE (MOIS_VERS_ANNEE (A203), ""A2:A"")) = mod (A203 - 1, 12) + 1, ZONE (MOIS_VERS_ANNEE (A203), ""A2:A"") &lt;&gt; """"))"),123.0)</f>
        <v>123</v>
      </c>
      <c r="E203" s="47"/>
    </row>
    <row r="204" ht="12.75" customHeight="1">
      <c r="A204" s="36">
        <f t="shared" si="2"/>
        <v>51</v>
      </c>
      <c r="B204" s="40">
        <f t="shared" si="3"/>
        <v>2</v>
      </c>
      <c r="C204" s="36">
        <f t="shared" si="1"/>
        <v>1</v>
      </c>
      <c r="D204" s="45">
        <f> indirect(address(match("Nbre " &amp; vlookup(A204, Mois!$A$2:$C1000, 3), ZONE(MOIS_VERS_ANNEE(A204), "K:K"), 0) - 1, C204 + 11, 4, true, MOIS_VERS_ANNEE(A204)))</f>
        <v>43</v>
      </c>
      <c r="E204" s="47"/>
    </row>
    <row r="205" ht="12.75" customHeight="1">
      <c r="A205" s="36">
        <f t="shared" si="2"/>
        <v>51</v>
      </c>
      <c r="B205" s="40">
        <f t="shared" si="3"/>
        <v>2</v>
      </c>
      <c r="C205" s="36">
        <f t="shared" si="1"/>
        <v>2</v>
      </c>
      <c r="D205" s="45">
        <f> indirect(address(match("Nbre " &amp; vlookup(A205, Mois!$A$2:$C1000, 3), ZONE(MOIS_VERS_ANNEE(A205), "K:K"), 0) - 1, C205 + 11, 4, true, MOIS_VERS_ANNEE(A205)))</f>
        <v>48</v>
      </c>
      <c r="E205" s="47"/>
    </row>
    <row r="206" ht="12.75" customHeight="1">
      <c r="A206" s="36">
        <f t="shared" si="2"/>
        <v>52</v>
      </c>
      <c r="B206" s="40">
        <f t="shared" si="3"/>
        <v>1</v>
      </c>
      <c r="C206" s="36">
        <f t="shared" si="1"/>
        <v>1</v>
      </c>
      <c r="D206" s="45">
        <f>IFERROR(__xludf.DUMMYFUNCTION(" sum (filter (ZONE (MOIS_VERS_ANNEE (A206), address (2, C206 + 6) &amp; "":"" &amp; address (9999, C206 + 6)), month (ZONE (MOIS_VERS_ANNEE (A206), ""A2:A"")) = mod (A206 - 1, 12) + 1, ZONE (MOIS_VERS_ANNEE (A206), ""A2:A"") &lt;&gt; """")) - D207"),406.0)</f>
        <v>406</v>
      </c>
      <c r="E206" s="46"/>
    </row>
    <row r="207" ht="12.75" customHeight="1">
      <c r="A207" s="36">
        <f t="shared" si="2"/>
        <v>52</v>
      </c>
      <c r="B207" s="40">
        <f t="shared" si="3"/>
        <v>1</v>
      </c>
      <c r="C207" s="36">
        <f t="shared" si="1"/>
        <v>2</v>
      </c>
      <c r="D207" s="45">
        <f>IFERROR(__xludf.DUMMYFUNCTION(" sum (filter (ZONE (MOIS_VERS_ANNEE (A207), address (2, C207 + 6) &amp; "":"" &amp; address (9999, C207 + 6)), month (ZONE (MOIS_VERS_ANNEE (A207), ""A2:A"")) = mod (A207 - 1, 12) + 1, ZONE (MOIS_VERS_ANNEE (A207), ""A2:A"") &lt;&gt; """"))"),115.0)</f>
        <v>115</v>
      </c>
      <c r="E207" s="47"/>
    </row>
    <row r="208" ht="12.75" customHeight="1">
      <c r="A208" s="36">
        <f t="shared" si="2"/>
        <v>52</v>
      </c>
      <c r="B208" s="40">
        <f t="shared" si="3"/>
        <v>2</v>
      </c>
      <c r="C208" s="36">
        <f t="shared" si="1"/>
        <v>1</v>
      </c>
      <c r="D208" s="45">
        <f> indirect(address(match("Nbre " &amp; vlookup(A208, Mois!$A$2:$C1000, 3), ZONE(MOIS_VERS_ANNEE(A208), "K:K"), 0) - 1, C208 + 11, 4, true, MOIS_VERS_ANNEE(A208)))</f>
        <v>53</v>
      </c>
      <c r="E208" s="47"/>
    </row>
    <row r="209" ht="12.75" customHeight="1">
      <c r="A209" s="36">
        <f t="shared" si="2"/>
        <v>52</v>
      </c>
      <c r="B209" s="40">
        <f t="shared" si="3"/>
        <v>2</v>
      </c>
      <c r="C209" s="36">
        <f t="shared" si="1"/>
        <v>2</v>
      </c>
      <c r="D209" s="45">
        <f> indirect(address(match("Nbre " &amp; vlookup(A209, Mois!$A$2:$C1000, 3), ZONE(MOIS_VERS_ANNEE(A209), "K:K"), 0) - 1, C209 + 11, 4, true, MOIS_VERS_ANNEE(A209)))</f>
        <v>31</v>
      </c>
      <c r="E209" s="47"/>
    </row>
    <row r="210" ht="12.75" customHeight="1">
      <c r="A210" s="36">
        <f t="shared" si="2"/>
        <v>53</v>
      </c>
      <c r="B210" s="40">
        <f t="shared" si="3"/>
        <v>1</v>
      </c>
      <c r="C210" s="36">
        <f t="shared" si="1"/>
        <v>1</v>
      </c>
      <c r="D210" s="45">
        <f>IFERROR(__xludf.DUMMYFUNCTION(" sum (filter (ZONE (MOIS_VERS_ANNEE (A210), address (2, C210 + 6) &amp; "":"" &amp; address (9999, C210 + 6)), month (ZONE (MOIS_VERS_ANNEE (A210), ""A2:A"")) = mod (A210 - 1, 12) + 1, ZONE (MOIS_VERS_ANNEE (A210), ""A2:A"") &lt;&gt; """")) - D211"),291.0)</f>
        <v>291</v>
      </c>
      <c r="E210" s="46"/>
    </row>
    <row r="211" ht="12.75" customHeight="1">
      <c r="A211" s="36">
        <f t="shared" si="2"/>
        <v>53</v>
      </c>
      <c r="B211" s="40">
        <f t="shared" si="3"/>
        <v>1</v>
      </c>
      <c r="C211" s="36">
        <f t="shared" si="1"/>
        <v>2</v>
      </c>
      <c r="D211" s="45">
        <f>IFERROR(__xludf.DUMMYFUNCTION(" sum (filter (ZONE (MOIS_VERS_ANNEE (A211), address (2, C211 + 6) &amp; "":"" &amp; address (9999, C211 + 6)), month (ZONE (MOIS_VERS_ANNEE (A211), ""A2:A"")) = mod (A211 - 1, 12) + 1, ZONE (MOIS_VERS_ANNEE (A211), ""A2:A"") &lt;&gt; """"))"),91.0)</f>
        <v>91</v>
      </c>
      <c r="E211" s="47"/>
    </row>
    <row r="212" ht="12.75" customHeight="1">
      <c r="A212" s="36">
        <f t="shared" si="2"/>
        <v>53</v>
      </c>
      <c r="B212" s="40">
        <f t="shared" si="3"/>
        <v>2</v>
      </c>
      <c r="C212" s="36">
        <f t="shared" si="1"/>
        <v>1</v>
      </c>
      <c r="D212" s="45">
        <f> indirect(address(match("Nbre " &amp; vlookup(A212, Mois!$A$2:$C1000, 3), ZONE(MOIS_VERS_ANNEE(A212), "K:K"), 0) - 1, C212 + 11, 4, true, MOIS_VERS_ANNEE(A212)))</f>
        <v>76</v>
      </c>
      <c r="E212" s="47"/>
    </row>
    <row r="213" ht="12.75" customHeight="1">
      <c r="A213" s="36">
        <f t="shared" si="2"/>
        <v>53</v>
      </c>
      <c r="B213" s="40">
        <f t="shared" si="3"/>
        <v>2</v>
      </c>
      <c r="C213" s="36">
        <f t="shared" si="1"/>
        <v>2</v>
      </c>
      <c r="D213" s="45">
        <f> indirect(address(match("Nbre " &amp; vlookup(A213, Mois!$A$2:$C1000, 3), ZONE(MOIS_VERS_ANNEE(A213), "K:K"), 0) - 1, C213 + 11, 4, true, MOIS_VERS_ANNEE(A213)))</f>
        <v>16</v>
      </c>
      <c r="E213" s="47"/>
    </row>
    <row r="214" ht="12.75" customHeight="1">
      <c r="A214" s="36">
        <f t="shared" si="2"/>
        <v>54</v>
      </c>
      <c r="B214" s="40">
        <f t="shared" si="3"/>
        <v>1</v>
      </c>
      <c r="C214" s="36">
        <f t="shared" si="1"/>
        <v>1</v>
      </c>
      <c r="D214" s="45">
        <f>IFERROR(__xludf.DUMMYFUNCTION(" sum (filter (ZONE (MOIS_VERS_ANNEE (A214), address (2, C214 + 6) &amp; "":"" &amp; address (9999, C214 + 6)), month (ZONE (MOIS_VERS_ANNEE (A214), ""A2:A"")) = mod (A214 - 1, 12) + 1, ZONE (MOIS_VERS_ANNEE (A214), ""A2:A"") &lt;&gt; """")) - D215"),356.0)</f>
        <v>356</v>
      </c>
      <c r="E214" s="46"/>
    </row>
    <row r="215" ht="12.75" customHeight="1">
      <c r="A215" s="36">
        <f t="shared" si="2"/>
        <v>54</v>
      </c>
      <c r="B215" s="40">
        <f t="shared" si="3"/>
        <v>1</v>
      </c>
      <c r="C215" s="36">
        <f t="shared" si="1"/>
        <v>2</v>
      </c>
      <c r="D215" s="45">
        <f>IFERROR(__xludf.DUMMYFUNCTION(" sum (filter (ZONE (MOIS_VERS_ANNEE (A215), address (2, C215 + 6) &amp; "":"" &amp; address (9999, C215 + 6)), month (ZONE (MOIS_VERS_ANNEE (A215), ""A2:A"")) = mod (A215 - 1, 12) + 1, ZONE (MOIS_VERS_ANNEE (A215), ""A2:A"") &lt;&gt; """"))"),107.0)</f>
        <v>107</v>
      </c>
      <c r="E215" s="47"/>
    </row>
    <row r="216" ht="12.75" customHeight="1">
      <c r="A216" s="36">
        <f t="shared" si="2"/>
        <v>54</v>
      </c>
      <c r="B216" s="40">
        <f t="shared" si="3"/>
        <v>2</v>
      </c>
      <c r="C216" s="36">
        <f t="shared" si="1"/>
        <v>1</v>
      </c>
      <c r="D216" s="45">
        <f> indirect(address(match("Nbre " &amp; vlookup(A216, Mois!$A$2:$C1000, 3), ZONE(MOIS_VERS_ANNEE(A216), "K:K"), 0) - 1, C216 + 11, 4, true, MOIS_VERS_ANNEE(A216)))</f>
        <v>75</v>
      </c>
      <c r="E216" s="47"/>
    </row>
    <row r="217" ht="12.75" customHeight="1">
      <c r="A217" s="36">
        <f t="shared" si="2"/>
        <v>54</v>
      </c>
      <c r="B217" s="40">
        <f t="shared" si="3"/>
        <v>2</v>
      </c>
      <c r="C217" s="36">
        <f t="shared" si="1"/>
        <v>2</v>
      </c>
      <c r="D217" s="45">
        <f> indirect(address(match("Nbre " &amp; vlookup(A217, Mois!$A$2:$C1000, 3), ZONE(MOIS_VERS_ANNEE(A217), "K:K"), 0) - 1, C217 + 11, 4, true, MOIS_VERS_ANNEE(A217)))</f>
        <v>16</v>
      </c>
      <c r="E217" s="47"/>
    </row>
    <row r="218" ht="12.75" customHeight="1">
      <c r="A218" s="36">
        <f t="shared" si="2"/>
        <v>55</v>
      </c>
      <c r="B218" s="40">
        <f t="shared" si="3"/>
        <v>1</v>
      </c>
      <c r="C218" s="36">
        <f t="shared" si="1"/>
        <v>1</v>
      </c>
      <c r="D218" s="45">
        <f>IFERROR(__xludf.DUMMYFUNCTION(" sum (filter (ZONE (MOIS_VERS_ANNEE (A218), address (2, C218 + 6) &amp; "":"" &amp; address (9999, C218 + 6)), month (ZONE (MOIS_VERS_ANNEE (A218), ""A2:A"")) = mod (A218 - 1, 12) + 1, ZONE (MOIS_VERS_ANNEE (A218), ""A2:A"") &lt;&gt; """")) - D219"),300.0)</f>
        <v>300</v>
      </c>
      <c r="E218" s="46"/>
    </row>
    <row r="219" ht="12.75" customHeight="1">
      <c r="A219" s="36">
        <f t="shared" si="2"/>
        <v>55</v>
      </c>
      <c r="B219" s="40">
        <f t="shared" si="3"/>
        <v>1</v>
      </c>
      <c r="C219" s="36">
        <f t="shared" si="1"/>
        <v>2</v>
      </c>
      <c r="D219" s="45">
        <f>IFERROR(__xludf.DUMMYFUNCTION(" sum (filter (ZONE (MOIS_VERS_ANNEE (A219), address (2, C219 + 6) &amp; "":"" &amp; address (9999, C219 + 6)), month (ZONE (MOIS_VERS_ANNEE (A219), ""A2:A"")) = mod (A219 - 1, 12) + 1, ZONE (MOIS_VERS_ANNEE (A219), ""A2:A"") &lt;&gt; """"))"),72.0)</f>
        <v>72</v>
      </c>
      <c r="E219" s="47"/>
    </row>
    <row r="220" ht="12.75" customHeight="1">
      <c r="A220" s="36">
        <f t="shared" si="2"/>
        <v>55</v>
      </c>
      <c r="B220" s="40">
        <f t="shared" si="3"/>
        <v>2</v>
      </c>
      <c r="C220" s="36">
        <f t="shared" si="1"/>
        <v>1</v>
      </c>
      <c r="D220" s="45">
        <f> indirect(address(match("Nbre " &amp; vlookup(A220, Mois!$A$2:$C1000, 3), ZONE(MOIS_VERS_ANNEE(A220), "K:K"), 0) - 1, C220 + 11, 4, true, MOIS_VERS_ANNEE(A220)))</f>
        <v>84</v>
      </c>
      <c r="E220" s="47"/>
    </row>
    <row r="221" ht="12.75" customHeight="1">
      <c r="A221" s="36">
        <f t="shared" si="2"/>
        <v>55</v>
      </c>
      <c r="B221" s="40">
        <f t="shared" si="3"/>
        <v>2</v>
      </c>
      <c r="C221" s="36">
        <f t="shared" si="1"/>
        <v>2</v>
      </c>
      <c r="D221" s="45">
        <f> indirect(address(match("Nbre " &amp; vlookup(A221, Mois!$A$2:$C1000, 3), ZONE(MOIS_VERS_ANNEE(A221), "K:K"), 0) - 1, C221 + 11, 4, true, MOIS_VERS_ANNEE(A221)))</f>
        <v>13</v>
      </c>
      <c r="E221" s="47"/>
    </row>
    <row r="222" ht="12.75" customHeight="1">
      <c r="A222" s="36">
        <f t="shared" si="2"/>
        <v>56</v>
      </c>
      <c r="B222" s="40">
        <f t="shared" si="3"/>
        <v>1</v>
      </c>
      <c r="C222" s="36">
        <f t="shared" si="1"/>
        <v>1</v>
      </c>
      <c r="D222" s="45">
        <f>IFERROR(__xludf.DUMMYFUNCTION(" sum (filter (ZONE (MOIS_VERS_ANNEE (A222), address (2, C222 + 6) &amp; "":"" &amp; address (9999, C222 + 6)), month (ZONE (MOIS_VERS_ANNEE (A222), ""A2:A"")) = mod (A222 - 1, 12) + 1, ZONE (MOIS_VERS_ANNEE (A222), ""A2:A"") &lt;&gt; """")) - D223"),220.0)</f>
        <v>220</v>
      </c>
      <c r="E222" s="46"/>
    </row>
    <row r="223" ht="12.75" customHeight="1">
      <c r="A223" s="36">
        <f t="shared" si="2"/>
        <v>56</v>
      </c>
      <c r="B223" s="40">
        <f t="shared" si="3"/>
        <v>1</v>
      </c>
      <c r="C223" s="36">
        <f t="shared" si="1"/>
        <v>2</v>
      </c>
      <c r="D223" s="45">
        <f>IFERROR(__xludf.DUMMYFUNCTION(" sum (filter (ZONE (MOIS_VERS_ANNEE (A223), address (2, C223 + 6) &amp; "":"" &amp; address (9999, C223 + 6)), month (ZONE (MOIS_VERS_ANNEE (A223), ""A2:A"")) = mod (A223 - 1, 12) + 1, ZONE (MOIS_VERS_ANNEE (A223), ""A2:A"") &lt;&gt; """"))"),71.0)</f>
        <v>71</v>
      </c>
      <c r="E223" s="47"/>
    </row>
    <row r="224" ht="12.75" customHeight="1">
      <c r="A224" s="36">
        <f t="shared" si="2"/>
        <v>56</v>
      </c>
      <c r="B224" s="40">
        <f t="shared" si="3"/>
        <v>2</v>
      </c>
      <c r="C224" s="36">
        <f t="shared" si="1"/>
        <v>1</v>
      </c>
      <c r="D224" s="45">
        <f> indirect(address(match("Nbre " &amp; vlookup(A224, Mois!$A$2:$C1000, 3), ZONE(MOIS_VERS_ANNEE(A224), "K:K"), 0) - 1, C224 + 11, 4, true, MOIS_VERS_ANNEE(A224)))</f>
        <v>33</v>
      </c>
      <c r="E224" s="47"/>
    </row>
    <row r="225" ht="12.75" customHeight="1">
      <c r="A225" s="36">
        <f t="shared" si="2"/>
        <v>56</v>
      </c>
      <c r="B225" s="40">
        <f t="shared" si="3"/>
        <v>2</v>
      </c>
      <c r="C225" s="36">
        <f t="shared" si="1"/>
        <v>2</v>
      </c>
      <c r="D225" s="45">
        <f> indirect(address(match("Nbre " &amp; vlookup(A225, Mois!$A$2:$C1000, 3), ZONE(MOIS_VERS_ANNEE(A225), "K:K"), 0) - 1, C225 + 11, 4, true, MOIS_VERS_ANNEE(A225)))</f>
        <v>12</v>
      </c>
      <c r="E225" s="47"/>
    </row>
    <row r="226" ht="12.75" customHeight="1">
      <c r="A226" s="36">
        <f t="shared" si="2"/>
        <v>57</v>
      </c>
      <c r="B226" s="40">
        <f t="shared" si="3"/>
        <v>1</v>
      </c>
      <c r="C226" s="36">
        <f t="shared" si="1"/>
        <v>1</v>
      </c>
      <c r="D226" s="45">
        <f>IFERROR(__xludf.DUMMYFUNCTION(" sum (filter (ZONE (MOIS_VERS_ANNEE (A226), address (2, C226 + 6) &amp; "":"" &amp; address (9999, C226 + 6)), month (ZONE (MOIS_VERS_ANNEE (A226), ""A2:A"")) = mod (A226 - 1, 12) + 1, ZONE (MOIS_VERS_ANNEE (A226), ""A2:A"") &lt;&gt; """")) - D227"),324.0)</f>
        <v>324</v>
      </c>
      <c r="E226" s="46"/>
    </row>
    <row r="227" ht="12.75" customHeight="1">
      <c r="A227" s="36">
        <f t="shared" si="2"/>
        <v>57</v>
      </c>
      <c r="B227" s="40">
        <f t="shared" si="3"/>
        <v>1</v>
      </c>
      <c r="C227" s="36">
        <f t="shared" si="1"/>
        <v>2</v>
      </c>
      <c r="D227" s="45">
        <f>IFERROR(__xludf.DUMMYFUNCTION(" sum (filter (ZONE (MOIS_VERS_ANNEE (A227), address (2, C227 + 6) &amp; "":"" &amp; address (9999, C227 + 6)), month (ZONE (MOIS_VERS_ANNEE (A227), ""A2:A"")) = mod (A227 - 1, 12) + 1, ZONE (MOIS_VERS_ANNEE (A227), ""A2:A"") &lt;&gt; """"))"),99.0)</f>
        <v>99</v>
      </c>
      <c r="E227" s="47"/>
    </row>
    <row r="228" ht="12.75" customHeight="1">
      <c r="A228" s="36">
        <f t="shared" si="2"/>
        <v>57</v>
      </c>
      <c r="B228" s="40">
        <f t="shared" si="3"/>
        <v>2</v>
      </c>
      <c r="C228" s="36">
        <f t="shared" si="1"/>
        <v>1</v>
      </c>
      <c r="D228" s="45">
        <f> indirect(address(match("Nbre " &amp; vlookup(A228, Mois!$A$2:$C1000, 3), ZONE(MOIS_VERS_ANNEE(A228), "K:K"), 0) - 1, C228 + 11, 4, true, MOIS_VERS_ANNEE(A228)))</f>
        <v>88</v>
      </c>
      <c r="E228" s="47"/>
    </row>
    <row r="229" ht="12.75" customHeight="1">
      <c r="A229" s="36">
        <f t="shared" si="2"/>
        <v>57</v>
      </c>
      <c r="B229" s="40">
        <f t="shared" si="3"/>
        <v>2</v>
      </c>
      <c r="C229" s="36">
        <f t="shared" si="1"/>
        <v>2</v>
      </c>
      <c r="D229" s="45">
        <f> indirect(address(match("Nbre " &amp; vlookup(A229, Mois!$A$2:$C1000, 3), ZONE(MOIS_VERS_ANNEE(A229), "K:K"), 0) - 1, C229 + 11, 4, true, MOIS_VERS_ANNEE(A229)))</f>
        <v>16</v>
      </c>
      <c r="E229" s="47"/>
    </row>
    <row r="230" ht="12.75" customHeight="1">
      <c r="A230" s="36">
        <f t="shared" si="2"/>
        <v>58</v>
      </c>
      <c r="B230" s="40">
        <f t="shared" si="3"/>
        <v>1</v>
      </c>
      <c r="C230" s="36">
        <f t="shared" si="1"/>
        <v>1</v>
      </c>
      <c r="D230" s="45">
        <f>IFERROR(__xludf.DUMMYFUNCTION(" sum (filter (ZONE (MOIS_VERS_ANNEE (A230), address (2, C230 + 6) &amp; "":"" &amp; address (9999, C230 + 6)), month (ZONE (MOIS_VERS_ANNEE (A230), ""A2:A"")) = mod (A230 - 1, 12) + 1, ZONE (MOIS_VERS_ANNEE (A230), ""A2:A"") &lt;&gt; """")) - D231"),325.0)</f>
        <v>325</v>
      </c>
      <c r="E230" s="46"/>
    </row>
    <row r="231" ht="12.75" customHeight="1">
      <c r="A231" s="36">
        <f t="shared" si="2"/>
        <v>58</v>
      </c>
      <c r="B231" s="40">
        <f t="shared" si="3"/>
        <v>1</v>
      </c>
      <c r="C231" s="36">
        <f t="shared" si="1"/>
        <v>2</v>
      </c>
      <c r="D231" s="45">
        <f>IFERROR(__xludf.DUMMYFUNCTION(" sum (filter (ZONE (MOIS_VERS_ANNEE (A231), address (2, C231 + 6) &amp; "":"" &amp; address (9999, C231 + 6)), month (ZONE (MOIS_VERS_ANNEE (A231), ""A2:A"")) = mod (A231 - 1, 12) + 1, ZONE (MOIS_VERS_ANNEE (A231), ""A2:A"") &lt;&gt; """"))"),100.0)</f>
        <v>100</v>
      </c>
      <c r="E231" s="47"/>
    </row>
    <row r="232" ht="12.75" customHeight="1">
      <c r="A232" s="36">
        <f t="shared" si="2"/>
        <v>58</v>
      </c>
      <c r="B232" s="40">
        <f t="shared" si="3"/>
        <v>2</v>
      </c>
      <c r="C232" s="36">
        <f t="shared" si="1"/>
        <v>1</v>
      </c>
      <c r="D232" s="45">
        <f> indirect(address(match("Nbre " &amp; vlookup(A232, Mois!$A$2:$C1000, 3), ZONE(MOIS_VERS_ANNEE(A232), "K:K"), 0) - 1, C232 + 11, 4, true, MOIS_VERS_ANNEE(A232)))</f>
        <v>92</v>
      </c>
      <c r="E232" s="47"/>
    </row>
    <row r="233" ht="12.75" customHeight="1">
      <c r="A233" s="36">
        <f t="shared" si="2"/>
        <v>58</v>
      </c>
      <c r="B233" s="40">
        <f t="shared" si="3"/>
        <v>2</v>
      </c>
      <c r="C233" s="36">
        <f t="shared" si="1"/>
        <v>2</v>
      </c>
      <c r="D233" s="45">
        <f> indirect(address(match("Nbre " &amp; vlookup(A233, Mois!$A$2:$C1000, 3), ZONE(MOIS_VERS_ANNEE(A233), "K:K"), 0) - 1, C233 + 11, 4, true, MOIS_VERS_ANNEE(A233)))</f>
        <v>15</v>
      </c>
      <c r="E233" s="47"/>
    </row>
    <row r="234" ht="12.75" customHeight="1">
      <c r="A234" s="36">
        <f t="shared" si="2"/>
        <v>59</v>
      </c>
      <c r="B234" s="40">
        <f t="shared" si="3"/>
        <v>1</v>
      </c>
      <c r="C234" s="36">
        <f t="shared" si="1"/>
        <v>1</v>
      </c>
      <c r="D234" s="45">
        <f>IFERROR(__xludf.DUMMYFUNCTION(" sum (filter (ZONE (MOIS_VERS_ANNEE (A234), address (2, C234 + 6) &amp; "":"" &amp; address (9999, C234 + 6)), month (ZONE (MOIS_VERS_ANNEE (A234), ""A2:A"")) = mod (A234 - 1, 12) + 1, ZONE (MOIS_VERS_ANNEE (A234), ""A2:A"") &lt;&gt; """")) - D235"),308.0)</f>
        <v>308</v>
      </c>
      <c r="E234" s="46"/>
    </row>
    <row r="235" ht="12.75" customHeight="1">
      <c r="A235" s="36">
        <f t="shared" si="2"/>
        <v>59</v>
      </c>
      <c r="B235" s="40">
        <f t="shared" si="3"/>
        <v>1</v>
      </c>
      <c r="C235" s="36">
        <f t="shared" si="1"/>
        <v>2</v>
      </c>
      <c r="D235" s="45">
        <f>IFERROR(__xludf.DUMMYFUNCTION(" sum (filter (ZONE (MOIS_VERS_ANNEE (A235), address (2, C235 + 6) &amp; "":"" &amp; address (9999, C235 + 6)), month (ZONE (MOIS_VERS_ANNEE (A235), ""A2:A"")) = mod (A235 - 1, 12) + 1, ZONE (MOIS_VERS_ANNEE (A235), ""A2:A"") &lt;&gt; """"))"),80.0)</f>
        <v>80</v>
      </c>
      <c r="E235" s="47"/>
    </row>
    <row r="236" ht="12.75" customHeight="1">
      <c r="A236" s="36">
        <f t="shared" si="2"/>
        <v>59</v>
      </c>
      <c r="B236" s="40">
        <f t="shared" si="3"/>
        <v>2</v>
      </c>
      <c r="C236" s="36">
        <f t="shared" si="1"/>
        <v>1</v>
      </c>
      <c r="D236" s="45">
        <f> indirect(address(match("Nbre " &amp; vlookup(A236, Mois!$A$2:$C1000, 3), ZONE(MOIS_VERS_ANNEE(A236), "K:K"), 0) - 1, C236 + 11, 4, true, MOIS_VERS_ANNEE(A236)))</f>
        <v>75</v>
      </c>
      <c r="E236" s="47"/>
    </row>
    <row r="237" ht="12.75" customHeight="1">
      <c r="A237" s="36">
        <f t="shared" si="2"/>
        <v>59</v>
      </c>
      <c r="B237" s="40">
        <f t="shared" si="3"/>
        <v>2</v>
      </c>
      <c r="C237" s="36">
        <f t="shared" si="1"/>
        <v>2</v>
      </c>
      <c r="D237" s="45">
        <f> indirect(address(match("Nbre " &amp; vlookup(A237, Mois!$A$2:$C1000, 3), ZONE(MOIS_VERS_ANNEE(A237), "K:K"), 0) - 1, C237 + 11, 4, true, MOIS_VERS_ANNEE(A237)))</f>
        <v>6</v>
      </c>
      <c r="E237" s="47"/>
    </row>
    <row r="238" ht="12.75" customHeight="1">
      <c r="A238" s="36">
        <f t="shared" si="2"/>
        <v>60</v>
      </c>
      <c r="B238" s="40">
        <f t="shared" si="3"/>
        <v>1</v>
      </c>
      <c r="C238" s="36">
        <f t="shared" si="1"/>
        <v>1</v>
      </c>
      <c r="D238" s="45">
        <f>IFERROR(__xludf.DUMMYFUNCTION(" sum (filter (ZONE (MOIS_VERS_ANNEE (A238), address (2, C238 + 6) &amp; "":"" &amp; address (9999, C238 + 6)), month (ZONE (MOIS_VERS_ANNEE (A238), ""A2:A"")) = mod (A238 - 1, 12) + 1, ZONE (MOIS_VERS_ANNEE (A238), ""A2:A"") &lt;&gt; """")) - D239"),186.0)</f>
        <v>186</v>
      </c>
      <c r="E238" s="46"/>
    </row>
    <row r="239" ht="12.75" customHeight="1">
      <c r="A239" s="36">
        <f t="shared" si="2"/>
        <v>60</v>
      </c>
      <c r="B239" s="40">
        <f t="shared" si="3"/>
        <v>1</v>
      </c>
      <c r="C239" s="36">
        <f t="shared" si="1"/>
        <v>2</v>
      </c>
      <c r="D239" s="45">
        <f>IFERROR(__xludf.DUMMYFUNCTION(" sum (filter (ZONE (MOIS_VERS_ANNEE (A239), address (2, C239 + 6) &amp; "":"" &amp; address (9999, C239 + 6)), month (ZONE (MOIS_VERS_ANNEE (A239), ""A2:A"")) = mod (A239 - 1, 12) + 1, ZONE (MOIS_VERS_ANNEE (A239), ""A2:A"") &lt;&gt; """"))"),59.0)</f>
        <v>59</v>
      </c>
      <c r="E239" s="47"/>
    </row>
    <row r="240" ht="12.75" customHeight="1">
      <c r="A240" s="36">
        <f t="shared" si="2"/>
        <v>60</v>
      </c>
      <c r="B240" s="40">
        <f t="shared" si="3"/>
        <v>2</v>
      </c>
      <c r="C240" s="36">
        <f t="shared" si="1"/>
        <v>1</v>
      </c>
      <c r="D240" s="45">
        <f> indirect(address(match("Nbre " &amp; vlookup(A240, Mois!$A$2:$C1000, 3), ZONE(MOIS_VERS_ANNEE(A240), "K:K"), 0) - 1, C240 + 11, 4, true, MOIS_VERS_ANNEE(A240)))</f>
        <v>48</v>
      </c>
      <c r="E240" s="47"/>
    </row>
    <row r="241" ht="12.75" customHeight="1">
      <c r="A241" s="36">
        <f t="shared" si="2"/>
        <v>60</v>
      </c>
      <c r="B241" s="40">
        <f t="shared" si="3"/>
        <v>2</v>
      </c>
      <c r="C241" s="36">
        <f t="shared" si="1"/>
        <v>2</v>
      </c>
      <c r="D241" s="45">
        <f> indirect(address(match("Nbre " &amp; vlookup(A241, Mois!$A$2:$C1000, 3), ZONE(MOIS_VERS_ANNEE(A241), "K:K"), 0) - 1, C241 + 11, 4, true, MOIS_VERS_ANNEE(A241)))</f>
        <v>9</v>
      </c>
      <c r="E241" s="47"/>
    </row>
    <row r="242" ht="12.75" customHeight="1">
      <c r="A242" s="36">
        <f t="shared" si="2"/>
        <v>61</v>
      </c>
      <c r="B242" s="40">
        <f t="shared" si="3"/>
        <v>1</v>
      </c>
      <c r="C242" s="36">
        <f t="shared" si="1"/>
        <v>1</v>
      </c>
      <c r="D242" s="45">
        <f>IFERROR(__xludf.DUMMYFUNCTION(" sum (filter (ZONE (MOIS_VERS_ANNEE (A242), address (2, C242 + 6) &amp; "":"" &amp; address (9999, C242 + 6)), month (ZONE (MOIS_VERS_ANNEE (A242), ""A2:A"")) = mod (A242 - 1, 12) + 1, ZONE (MOIS_VERS_ANNEE (A242), ""A2:A"") &lt;&gt; """")) - D243"),307.0)</f>
        <v>307</v>
      </c>
      <c r="E242" s="46"/>
    </row>
    <row r="243" ht="12.75" customHeight="1">
      <c r="A243" s="36">
        <f t="shared" si="2"/>
        <v>61</v>
      </c>
      <c r="B243" s="40">
        <f t="shared" si="3"/>
        <v>1</v>
      </c>
      <c r="C243" s="36">
        <f t="shared" si="1"/>
        <v>2</v>
      </c>
      <c r="D243" s="45">
        <f>IFERROR(__xludf.DUMMYFUNCTION(" sum (filter (ZONE (MOIS_VERS_ANNEE (A243), address (2, C243 + 6) &amp; "":"" &amp; address (9999, C243 + 6)), month (ZONE (MOIS_VERS_ANNEE (A243), ""A2:A"")) = mod (A243 - 1, 12) + 1, ZONE (MOIS_VERS_ANNEE (A243), ""A2:A"") &lt;&gt; """"))"),80.0)</f>
        <v>80</v>
      </c>
      <c r="E243" s="47"/>
    </row>
    <row r="244" ht="12.75" customHeight="1">
      <c r="A244" s="36">
        <f t="shared" si="2"/>
        <v>61</v>
      </c>
      <c r="B244" s="40">
        <f t="shared" si="3"/>
        <v>2</v>
      </c>
      <c r="C244" s="36">
        <f t="shared" si="1"/>
        <v>1</v>
      </c>
      <c r="D244" s="45">
        <f> indirect(address(match("Nbre " &amp; vlookup(A244, Mois!$A$2:$C1000, 3), ZONE(MOIS_VERS_ANNEE(A244), "K:K"), 0) - 1, C244 + 11, 4, true, MOIS_VERS_ANNEE(A244)))</f>
        <v>104</v>
      </c>
      <c r="E244" s="47"/>
    </row>
    <row r="245" ht="12.75" customHeight="1">
      <c r="A245" s="36">
        <f t="shared" si="2"/>
        <v>61</v>
      </c>
      <c r="B245" s="40">
        <f t="shared" si="3"/>
        <v>2</v>
      </c>
      <c r="C245" s="36">
        <f t="shared" si="1"/>
        <v>2</v>
      </c>
      <c r="D245" s="45">
        <f> indirect(address(match("Nbre " &amp; vlookup(A245, Mois!$A$2:$C1000, 3), ZONE(MOIS_VERS_ANNEE(A245), "K:K"), 0) - 1, C245 + 11, 4, true, MOIS_VERS_ANNEE(A245)))</f>
        <v>6</v>
      </c>
      <c r="E245" s="47"/>
    </row>
    <row r="246" ht="12.75" customHeight="1">
      <c r="A246" s="36">
        <f t="shared" si="2"/>
        <v>62</v>
      </c>
      <c r="B246" s="40">
        <f t="shared" si="3"/>
        <v>1</v>
      </c>
      <c r="C246" s="36">
        <f t="shared" si="1"/>
        <v>1</v>
      </c>
      <c r="D246" s="45">
        <f>IFERROR(__xludf.DUMMYFUNCTION(" sum (filter (ZONE (MOIS_VERS_ANNEE (A246), address (2, C246 + 6) &amp; "":"" &amp; address (9999, C246 + 6)), month (ZONE (MOIS_VERS_ANNEE (A246), ""A2:A"")) = mod (A246 - 1, 12) + 1, ZONE (MOIS_VERS_ANNEE (A246), ""A2:A"") &lt;&gt; """")) - D247"),330.0)</f>
        <v>330</v>
      </c>
      <c r="E246" s="46"/>
    </row>
    <row r="247" ht="12.75" customHeight="1">
      <c r="A247" s="36">
        <f t="shared" si="2"/>
        <v>62</v>
      </c>
      <c r="B247" s="40">
        <f t="shared" si="3"/>
        <v>1</v>
      </c>
      <c r="C247" s="36">
        <f t="shared" si="1"/>
        <v>2</v>
      </c>
      <c r="D247" s="45">
        <f>IFERROR(__xludf.DUMMYFUNCTION(" sum (filter (ZONE (MOIS_VERS_ANNEE (A247), address (2, C247 + 6) &amp; "":"" &amp; address (9999, C247 + 6)), month (ZONE (MOIS_VERS_ANNEE (A247), ""A2:A"")) = mod (A247 - 1, 12) + 1, ZONE (MOIS_VERS_ANNEE (A247), ""A2:A"") &lt;&gt; """"))"),75.0)</f>
        <v>75</v>
      </c>
      <c r="E247" s="47"/>
    </row>
    <row r="248" ht="12.75" customHeight="1">
      <c r="A248" s="36">
        <f t="shared" si="2"/>
        <v>62</v>
      </c>
      <c r="B248" s="40">
        <f t="shared" si="3"/>
        <v>2</v>
      </c>
      <c r="C248" s="36">
        <f t="shared" si="1"/>
        <v>1</v>
      </c>
      <c r="D248" s="45">
        <f> indirect(address(match("Nbre " &amp; vlookup(A248, Mois!$A$2:$C1000, 3), ZONE(MOIS_VERS_ANNEE(A248), "K:K"), 0) - 1, C248 + 11, 4, true, MOIS_VERS_ANNEE(A248)))</f>
        <v>65</v>
      </c>
      <c r="E248" s="47"/>
    </row>
    <row r="249" ht="12.75" customHeight="1">
      <c r="A249" s="36">
        <f t="shared" si="2"/>
        <v>62</v>
      </c>
      <c r="B249" s="40">
        <f t="shared" si="3"/>
        <v>2</v>
      </c>
      <c r="C249" s="36">
        <f t="shared" si="1"/>
        <v>2</v>
      </c>
      <c r="D249" s="45">
        <f> indirect(address(match("Nbre " &amp; vlookup(A249, Mois!$A$2:$C1000, 3), ZONE(MOIS_VERS_ANNEE(A249), "K:K"), 0) - 1, C249 + 11, 4, true, MOIS_VERS_ANNEE(A249)))</f>
        <v>13</v>
      </c>
      <c r="E249" s="47"/>
    </row>
    <row r="250" ht="12.75" customHeight="1">
      <c r="A250" s="36">
        <f t="shared" si="2"/>
        <v>63</v>
      </c>
      <c r="B250" s="40">
        <f t="shared" si="3"/>
        <v>1</v>
      </c>
      <c r="C250" s="36">
        <f t="shared" si="1"/>
        <v>1</v>
      </c>
      <c r="D250" s="45">
        <f>IFERROR(__xludf.DUMMYFUNCTION(" sum (filter (ZONE (MOIS_VERS_ANNEE (A250), address (2, C250 + 6) &amp; "":"" &amp; address (9999, C250 + 6)), month (ZONE (MOIS_VERS_ANNEE (A250), ""A2:A"")) = mod (A250 - 1, 12) + 1, ZONE (MOIS_VERS_ANNEE (A250), ""A2:A"") &lt;&gt; """")) - D251"),265.0)</f>
        <v>265</v>
      </c>
      <c r="E250" s="46"/>
    </row>
    <row r="251" ht="12.75" customHeight="1">
      <c r="A251" s="36">
        <f t="shared" si="2"/>
        <v>63</v>
      </c>
      <c r="B251" s="40">
        <f t="shared" si="3"/>
        <v>1</v>
      </c>
      <c r="C251" s="36">
        <f t="shared" si="1"/>
        <v>2</v>
      </c>
      <c r="D251" s="45">
        <f>IFERROR(__xludf.DUMMYFUNCTION(" sum (filter (ZONE (MOIS_VERS_ANNEE (A251), address (2, C251 + 6) &amp; "":"" &amp; address (9999, C251 + 6)), month (ZONE (MOIS_VERS_ANNEE (A251), ""A2:A"")) = mod (A251 - 1, 12) + 1, ZONE (MOIS_VERS_ANNEE (A251), ""A2:A"") &lt;&gt; """"))"),96.0)</f>
        <v>96</v>
      </c>
      <c r="E251" s="47"/>
    </row>
    <row r="252" ht="12.75" customHeight="1">
      <c r="A252" s="36">
        <f t="shared" si="2"/>
        <v>63</v>
      </c>
      <c r="B252" s="40">
        <f t="shared" si="3"/>
        <v>2</v>
      </c>
      <c r="C252" s="36">
        <f t="shared" si="1"/>
        <v>1</v>
      </c>
      <c r="D252" s="45">
        <f> indirect(address(match("Nbre " &amp; vlookup(A252, Mois!$A$2:$C1000, 3), ZONE(MOIS_VERS_ANNEE(A252), "K:K"), 0) - 1, C252 + 11, 4, true, MOIS_VERS_ANNEE(A252)))</f>
        <v>83</v>
      </c>
      <c r="E252" s="47"/>
    </row>
    <row r="253" ht="12.75" customHeight="1">
      <c r="A253" s="36">
        <f t="shared" si="2"/>
        <v>63</v>
      </c>
      <c r="B253" s="40">
        <f t="shared" si="3"/>
        <v>2</v>
      </c>
      <c r="C253" s="36">
        <f t="shared" si="1"/>
        <v>2</v>
      </c>
      <c r="D253" s="45">
        <f> indirect(address(match("Nbre " &amp; vlookup(A253, Mois!$A$2:$C1000, 3), ZONE(MOIS_VERS_ANNEE(A253), "K:K"), 0) - 1, C253 + 11, 4, true, MOIS_VERS_ANNEE(A253)))</f>
        <v>13</v>
      </c>
      <c r="E253" s="47"/>
    </row>
    <row r="254" ht="12.75" customHeight="1">
      <c r="A254" s="36">
        <f t="shared" si="2"/>
        <v>64</v>
      </c>
      <c r="B254" s="40">
        <f t="shared" si="3"/>
        <v>1</v>
      </c>
      <c r="C254" s="36">
        <f t="shared" si="1"/>
        <v>1</v>
      </c>
      <c r="D254" s="45">
        <f>IFERROR(__xludf.DUMMYFUNCTION(" sum (filter (ZONE (MOIS_VERS_ANNEE (A254), address (2, C254 + 6) &amp; "":"" &amp; address (9999, C254 + 6)), month (ZONE (MOIS_VERS_ANNEE (A254), ""A2:A"")) = mod (A254 - 1, 12) + 1, ZONE (MOIS_VERS_ANNEE (A254), ""A2:A"") &lt;&gt; """")) - D255"),383.0)</f>
        <v>383</v>
      </c>
      <c r="E254" s="46"/>
    </row>
    <row r="255" ht="12.75" customHeight="1">
      <c r="A255" s="36">
        <f t="shared" si="2"/>
        <v>64</v>
      </c>
      <c r="B255" s="40">
        <f t="shared" si="3"/>
        <v>1</v>
      </c>
      <c r="C255" s="36">
        <f t="shared" si="1"/>
        <v>2</v>
      </c>
      <c r="D255" s="45">
        <f>IFERROR(__xludf.DUMMYFUNCTION(" sum (filter (ZONE (MOIS_VERS_ANNEE (A255), address (2, C255 + 6) &amp; "":"" &amp; address (9999, C255 + 6)), month (ZONE (MOIS_VERS_ANNEE (A255), ""A2:A"")) = mod (A255 - 1, 12) + 1, ZONE (MOIS_VERS_ANNEE (A255), ""A2:A"") &lt;&gt; """"))"),86.0)</f>
        <v>86</v>
      </c>
      <c r="E255" s="47"/>
    </row>
    <row r="256" ht="12.75" customHeight="1">
      <c r="A256" s="36">
        <f t="shared" si="2"/>
        <v>64</v>
      </c>
      <c r="B256" s="40">
        <f t="shared" si="3"/>
        <v>2</v>
      </c>
      <c r="C256" s="36">
        <f t="shared" si="1"/>
        <v>1</v>
      </c>
      <c r="D256" s="45">
        <f> indirect(address(match("Nbre " &amp; vlookup(A256, Mois!$A$2:$C1000, 3), ZONE(MOIS_VERS_ANNEE(A256), "K:K"), 0) - 1, C256 + 11, 4, true, MOIS_VERS_ANNEE(A256)))</f>
        <v>78</v>
      </c>
      <c r="E256" s="47"/>
    </row>
    <row r="257" ht="12.75" customHeight="1">
      <c r="A257" s="36">
        <f t="shared" si="2"/>
        <v>64</v>
      </c>
      <c r="B257" s="40">
        <f t="shared" si="3"/>
        <v>2</v>
      </c>
      <c r="C257" s="36">
        <f t="shared" si="1"/>
        <v>2</v>
      </c>
      <c r="D257" s="45">
        <f> indirect(address(match("Nbre " &amp; vlookup(A257, Mois!$A$2:$C1000, 3), ZONE(MOIS_VERS_ANNEE(A257), "K:K"), 0) - 1, C257 + 11, 4, true, MOIS_VERS_ANNEE(A257)))</f>
        <v>12</v>
      </c>
      <c r="E257" s="47"/>
    </row>
    <row r="258" ht="12.75" customHeight="1">
      <c r="A258" s="36">
        <f t="shared" si="2"/>
        <v>65</v>
      </c>
      <c r="B258" s="40">
        <f t="shared" si="3"/>
        <v>1</v>
      </c>
      <c r="C258" s="36">
        <f t="shared" si="1"/>
        <v>1</v>
      </c>
      <c r="D258" s="45">
        <f>IFERROR(__xludf.DUMMYFUNCTION(" sum (filter (ZONE (MOIS_VERS_ANNEE (A258), address (2, C258 + 6) &amp; "":"" &amp; address (9999, C258 + 6)), month (ZONE (MOIS_VERS_ANNEE (A258), ""A2:A"")) = mod (A258 - 1, 12) + 1, ZONE (MOIS_VERS_ANNEE (A258), ""A2:A"") &lt;&gt; """")) - D259"),278.0)</f>
        <v>278</v>
      </c>
      <c r="E258" s="46"/>
    </row>
    <row r="259" ht="12.75" customHeight="1">
      <c r="A259" s="36">
        <f t="shared" si="2"/>
        <v>65</v>
      </c>
      <c r="B259" s="40">
        <f t="shared" si="3"/>
        <v>1</v>
      </c>
      <c r="C259" s="36">
        <f t="shared" si="1"/>
        <v>2</v>
      </c>
      <c r="D259" s="45">
        <f>IFERROR(__xludf.DUMMYFUNCTION(" sum (filter (ZONE (MOIS_VERS_ANNEE (A259), address (2, C259 + 6) &amp; "":"" &amp; address (9999, C259 + 6)), month (ZONE (MOIS_VERS_ANNEE (A259), ""A2:A"")) = mod (A259 - 1, 12) + 1, ZONE (MOIS_VERS_ANNEE (A259), ""A2:A"") &lt;&gt; """"))"),56.0)</f>
        <v>56</v>
      </c>
      <c r="E259" s="47"/>
    </row>
    <row r="260" ht="12.75" customHeight="1">
      <c r="A260" s="36">
        <f t="shared" si="2"/>
        <v>65</v>
      </c>
      <c r="B260" s="40">
        <f t="shared" si="3"/>
        <v>2</v>
      </c>
      <c r="C260" s="36">
        <f t="shared" si="1"/>
        <v>1</v>
      </c>
      <c r="D260" s="45">
        <f> indirect(address(match("Nbre " &amp; vlookup(A260, Mois!$A$2:$C1000, 3), ZONE(MOIS_VERS_ANNEE(A260), "K:K"), 0) - 1, C260 + 11, 4, true, MOIS_VERS_ANNEE(A260)))</f>
        <v>55</v>
      </c>
      <c r="E260" s="47"/>
    </row>
    <row r="261" ht="12.75" customHeight="1">
      <c r="A261" s="36">
        <f t="shared" si="2"/>
        <v>65</v>
      </c>
      <c r="B261" s="40">
        <f t="shared" si="3"/>
        <v>2</v>
      </c>
      <c r="C261" s="36">
        <f t="shared" si="1"/>
        <v>2</v>
      </c>
      <c r="D261" s="45">
        <f> indirect(address(match("Nbre " &amp; vlookup(A261, Mois!$A$2:$C1000, 3), ZONE(MOIS_VERS_ANNEE(A261), "K:K"), 0) - 1, C261 + 11, 4, true, MOIS_VERS_ANNEE(A261)))</f>
        <v>9</v>
      </c>
      <c r="E261" s="47"/>
    </row>
    <row r="262" ht="12.75" customHeight="1">
      <c r="A262" s="36">
        <f t="shared" si="2"/>
        <v>66</v>
      </c>
      <c r="B262" s="40">
        <f t="shared" si="3"/>
        <v>1</v>
      </c>
      <c r="C262" s="36">
        <f t="shared" si="1"/>
        <v>1</v>
      </c>
      <c r="D262" s="45">
        <f>IFERROR(__xludf.DUMMYFUNCTION(" sum (filter (ZONE (MOIS_VERS_ANNEE (A262), address (2, C262 + 6) &amp; "":"" &amp; address (9999, C262 + 6)), month (ZONE (MOIS_VERS_ANNEE (A262), ""A2:A"")) = mod (A262 - 1, 12) + 1, ZONE (MOIS_VERS_ANNEE (A262), ""A2:A"") &lt;&gt; """")) - D263"),417.0)</f>
        <v>417</v>
      </c>
      <c r="E262" s="46"/>
    </row>
    <row r="263" ht="12.75" customHeight="1">
      <c r="A263" s="36">
        <f t="shared" si="2"/>
        <v>66</v>
      </c>
      <c r="B263" s="40">
        <f t="shared" si="3"/>
        <v>1</v>
      </c>
      <c r="C263" s="36">
        <f t="shared" si="1"/>
        <v>2</v>
      </c>
      <c r="D263" s="45">
        <f>IFERROR(__xludf.DUMMYFUNCTION(" sum (filter (ZONE (MOIS_VERS_ANNEE (A263), address (2, C263 + 6) &amp; "":"" &amp; address (9999, C263 + 6)), month (ZONE (MOIS_VERS_ANNEE (A263), ""A2:A"")) = mod (A263 - 1, 12) + 1, ZONE (MOIS_VERS_ANNEE (A263), ""A2:A"") &lt;&gt; """"))"),53.0)</f>
        <v>53</v>
      </c>
      <c r="E263" s="47"/>
    </row>
    <row r="264" ht="12.75" customHeight="1">
      <c r="A264" s="36">
        <f t="shared" si="2"/>
        <v>66</v>
      </c>
      <c r="B264" s="40">
        <f t="shared" si="3"/>
        <v>2</v>
      </c>
      <c r="C264" s="36">
        <f t="shared" si="1"/>
        <v>1</v>
      </c>
      <c r="D264" s="45">
        <f> indirect(address(match("Nbre " &amp; vlookup(A264, Mois!$A$2:$C1000, 3), ZONE(MOIS_VERS_ANNEE(A264), "K:K"), 0) - 1, C264 + 11, 4, true, MOIS_VERS_ANNEE(A264)))</f>
        <v>68</v>
      </c>
      <c r="E264" s="47"/>
    </row>
    <row r="265" ht="12.75" customHeight="1">
      <c r="A265" s="36">
        <f t="shared" si="2"/>
        <v>66</v>
      </c>
      <c r="B265" s="40">
        <f t="shared" si="3"/>
        <v>2</v>
      </c>
      <c r="C265" s="36">
        <f t="shared" si="1"/>
        <v>2</v>
      </c>
      <c r="D265" s="45">
        <f> indirect(address(match("Nbre " &amp; vlookup(A265, Mois!$A$2:$C1000, 3), ZONE(MOIS_VERS_ANNEE(A265), "K:K"), 0) - 1, C265 + 11, 4, true, MOIS_VERS_ANNEE(A265)))</f>
        <v>7</v>
      </c>
      <c r="E265" s="47"/>
    </row>
    <row r="266" ht="12.75" customHeight="1">
      <c r="A266" s="36">
        <f t="shared" si="2"/>
        <v>67</v>
      </c>
      <c r="B266" s="40">
        <f t="shared" si="3"/>
        <v>1</v>
      </c>
      <c r="C266" s="36">
        <f t="shared" si="1"/>
        <v>1</v>
      </c>
      <c r="D266" s="45">
        <f>IFERROR(__xludf.DUMMYFUNCTION(" sum (filter (ZONE (MOIS_VERS_ANNEE (A266), address (2, C266 + 6) &amp; "":"" &amp; address (9999, C266 + 6)), month (ZONE (MOIS_VERS_ANNEE (A266), ""A2:A"")) = mod (A266 - 1, 12) + 1, ZONE (MOIS_VERS_ANNEE (A266), ""A2:A"") &lt;&gt; """")) - D267"),301.0)</f>
        <v>301</v>
      </c>
      <c r="E266" s="46"/>
    </row>
    <row r="267" ht="12.75" customHeight="1">
      <c r="A267" s="36">
        <f t="shared" si="2"/>
        <v>67</v>
      </c>
      <c r="B267" s="40">
        <f t="shared" si="3"/>
        <v>1</v>
      </c>
      <c r="C267" s="36">
        <f t="shared" si="1"/>
        <v>2</v>
      </c>
      <c r="D267" s="45">
        <f>IFERROR(__xludf.DUMMYFUNCTION(" sum (filter (ZONE (MOIS_VERS_ANNEE (A267), address (2, C267 + 6) &amp; "":"" &amp; address (9999, C267 + 6)), month (ZONE (MOIS_VERS_ANNEE (A267), ""A2:A"")) = mod (A267 - 1, 12) + 1, ZONE (MOIS_VERS_ANNEE (A267), ""A2:A"") &lt;&gt; """"))"),74.0)</f>
        <v>74</v>
      </c>
      <c r="E267" s="47"/>
    </row>
    <row r="268" ht="12.75" customHeight="1">
      <c r="A268" s="36">
        <f t="shared" si="2"/>
        <v>67</v>
      </c>
      <c r="B268" s="40">
        <f t="shared" si="3"/>
        <v>2</v>
      </c>
      <c r="C268" s="36">
        <f t="shared" si="1"/>
        <v>1</v>
      </c>
      <c r="D268" s="45">
        <f> indirect(address(match("Nbre " &amp; vlookup(A268, Mois!$A$2:$C1000, 3), ZONE(MOIS_VERS_ANNEE(A268), "K:K"), 0) - 1, C268 + 11, 4, true, MOIS_VERS_ANNEE(A268)))</f>
        <v>47</v>
      </c>
      <c r="E268" s="47"/>
    </row>
    <row r="269" ht="12.75" customHeight="1">
      <c r="A269" s="36">
        <f t="shared" si="2"/>
        <v>67</v>
      </c>
      <c r="B269" s="40">
        <f t="shared" si="3"/>
        <v>2</v>
      </c>
      <c r="C269" s="36">
        <f t="shared" si="1"/>
        <v>2</v>
      </c>
      <c r="D269" s="45">
        <f> indirect(address(match("Nbre " &amp; vlookup(A269, Mois!$A$2:$C1000, 3), ZONE(MOIS_VERS_ANNEE(A269), "K:K"), 0) - 1, C269 + 11, 4, true, MOIS_VERS_ANNEE(A269)))</f>
        <v>7</v>
      </c>
      <c r="E269" s="47"/>
    </row>
    <row r="270" ht="12.75" customHeight="1">
      <c r="A270" s="36">
        <f t="shared" si="2"/>
        <v>68</v>
      </c>
      <c r="B270" s="40">
        <f t="shared" si="3"/>
        <v>1</v>
      </c>
      <c r="C270" s="36">
        <f t="shared" si="1"/>
        <v>1</v>
      </c>
      <c r="D270" s="45">
        <f>IFERROR(__xludf.DUMMYFUNCTION(" sum (filter (ZONE (MOIS_VERS_ANNEE (A270), address (2, C270 + 6) &amp; "":"" &amp; address (9999, C270 + 6)), month (ZONE (MOIS_VERS_ANNEE (A270), ""A2:A"")) = mod (A270 - 1, 12) + 1, ZONE (MOIS_VERS_ANNEE (A270), ""A2:A"") &lt;&gt; """")) - D271"),113.0)</f>
        <v>113</v>
      </c>
      <c r="E270" s="46"/>
    </row>
    <row r="271" ht="12.75" customHeight="1">
      <c r="A271" s="36">
        <f t="shared" si="2"/>
        <v>68</v>
      </c>
      <c r="B271" s="40">
        <f t="shared" si="3"/>
        <v>1</v>
      </c>
      <c r="C271" s="36">
        <f t="shared" si="1"/>
        <v>2</v>
      </c>
      <c r="D271" s="45">
        <f>IFERROR(__xludf.DUMMYFUNCTION(" sum (filter (ZONE (MOIS_VERS_ANNEE (A271), address (2, C271 + 6) &amp; "":"" &amp; address (9999, C271 + 6)), month (ZONE (MOIS_VERS_ANNEE (A271), ""A2:A"")) = mod (A271 - 1, 12) + 1, ZONE (MOIS_VERS_ANNEE (A271), ""A2:A"") &lt;&gt; """"))"),35.0)</f>
        <v>35</v>
      </c>
      <c r="E271" s="47"/>
    </row>
    <row r="272" ht="12.75" customHeight="1">
      <c r="A272" s="36">
        <f t="shared" si="2"/>
        <v>68</v>
      </c>
      <c r="B272" s="40">
        <f t="shared" si="3"/>
        <v>2</v>
      </c>
      <c r="C272" s="36">
        <f t="shared" si="1"/>
        <v>1</v>
      </c>
      <c r="D272" s="45">
        <f> indirect(address(match("Nbre " &amp; vlookup(A272, Mois!$A$2:$C1000, 3), ZONE(MOIS_VERS_ANNEE(A272), "K:K"), 0) - 1, C272 + 11, 4, true, MOIS_VERS_ANNEE(A272)))</f>
        <v>18</v>
      </c>
      <c r="E272" s="47"/>
    </row>
    <row r="273" ht="12.75" customHeight="1">
      <c r="A273" s="36">
        <f t="shared" si="2"/>
        <v>68</v>
      </c>
      <c r="B273" s="40">
        <f t="shared" si="3"/>
        <v>2</v>
      </c>
      <c r="C273" s="36">
        <f t="shared" si="1"/>
        <v>2</v>
      </c>
      <c r="D273" s="45">
        <f> indirect(address(match("Nbre " &amp; vlookup(A273, Mois!$A$2:$C1000, 3), ZONE(MOIS_VERS_ANNEE(A273), "K:K"), 0) - 1, C273 + 11, 4, true, MOIS_VERS_ANNEE(A273)))</f>
        <v>11</v>
      </c>
      <c r="E273" s="47"/>
    </row>
    <row r="274" ht="12.75" customHeight="1">
      <c r="A274" s="36">
        <f t="shared" si="2"/>
        <v>69</v>
      </c>
      <c r="B274" s="40">
        <f t="shared" si="3"/>
        <v>1</v>
      </c>
      <c r="C274" s="36">
        <f t="shared" si="1"/>
        <v>1</v>
      </c>
      <c r="D274" s="45">
        <f>IFERROR(__xludf.DUMMYFUNCTION(" sum (filter (ZONE (MOIS_VERS_ANNEE (A274), address (2, C274 + 6) &amp; "":"" &amp; address (9999, C274 + 6)), month (ZONE (MOIS_VERS_ANNEE (A274), ""A2:A"")) = mod (A274 - 1, 12) + 1, ZONE (MOIS_VERS_ANNEE (A274), ""A2:A"") &lt;&gt; """")) - D275"),360.0)</f>
        <v>360</v>
      </c>
      <c r="E274" s="46"/>
    </row>
    <row r="275" ht="12.75" customHeight="1">
      <c r="A275" s="36">
        <f t="shared" si="2"/>
        <v>69</v>
      </c>
      <c r="B275" s="40">
        <f t="shared" si="3"/>
        <v>1</v>
      </c>
      <c r="C275" s="36">
        <f t="shared" si="1"/>
        <v>2</v>
      </c>
      <c r="D275" s="45">
        <f>IFERROR(__xludf.DUMMYFUNCTION(" sum (filter (ZONE (MOIS_VERS_ANNEE (A275), address (2, C275 + 6) &amp; "":"" &amp; address (9999, C275 + 6)), month (ZONE (MOIS_VERS_ANNEE (A275), ""A2:A"")) = mod (A275 - 1, 12) + 1, ZONE (MOIS_VERS_ANNEE (A275), ""A2:A"") &lt;&gt; """"))"),100.0)</f>
        <v>100</v>
      </c>
      <c r="E275" s="47"/>
    </row>
    <row r="276" ht="12.75" customHeight="1">
      <c r="A276" s="36">
        <f t="shared" si="2"/>
        <v>69</v>
      </c>
      <c r="B276" s="40">
        <f t="shared" si="3"/>
        <v>2</v>
      </c>
      <c r="C276" s="36">
        <f t="shared" si="1"/>
        <v>1</v>
      </c>
      <c r="D276" s="45">
        <f> indirect(address(match("Nbre " &amp; vlookup(A276, Mois!$A$2:$C1000, 3), ZONE(MOIS_VERS_ANNEE(A276), "K:K"), 0) - 1, C276 + 11, 4, true, MOIS_VERS_ANNEE(A276)))</f>
        <v>101</v>
      </c>
      <c r="E276" s="47"/>
    </row>
    <row r="277" ht="12.75" customHeight="1">
      <c r="A277" s="36">
        <f t="shared" si="2"/>
        <v>69</v>
      </c>
      <c r="B277" s="40">
        <f t="shared" si="3"/>
        <v>2</v>
      </c>
      <c r="C277" s="36">
        <f t="shared" si="1"/>
        <v>2</v>
      </c>
      <c r="D277" s="45">
        <f> indirect(address(match("Nbre " &amp; vlookup(A277, Mois!$A$2:$C1000, 3), ZONE(MOIS_VERS_ANNEE(A277), "K:K"), 0) - 1, C277 + 11, 4, true, MOIS_VERS_ANNEE(A277)))</f>
        <v>14</v>
      </c>
      <c r="E277" s="47"/>
    </row>
    <row r="278" ht="12.75" customHeight="1">
      <c r="A278" s="36">
        <f t="shared" si="2"/>
        <v>70</v>
      </c>
      <c r="B278" s="40">
        <f t="shared" si="3"/>
        <v>1</v>
      </c>
      <c r="C278" s="36">
        <f t="shared" si="1"/>
        <v>1</v>
      </c>
      <c r="D278" s="45">
        <f>IFERROR(__xludf.DUMMYFUNCTION(" sum (filter (ZONE (MOIS_VERS_ANNEE (A278), address (2, C278 + 6) &amp; "":"" &amp; address (9999, C278 + 6)), month (ZONE (MOIS_VERS_ANNEE (A278), ""A2:A"")) = mod (A278 - 1, 12) + 1, ZONE (MOIS_VERS_ANNEE (A278), ""A2:A"") &lt;&gt; """")) - D279"),317.0)</f>
        <v>317</v>
      </c>
      <c r="E278" s="46"/>
    </row>
    <row r="279" ht="12.75" customHeight="1">
      <c r="A279" s="36">
        <f t="shared" si="2"/>
        <v>70</v>
      </c>
      <c r="B279" s="40">
        <f t="shared" si="3"/>
        <v>1</v>
      </c>
      <c r="C279" s="36">
        <f t="shared" si="1"/>
        <v>2</v>
      </c>
      <c r="D279" s="45">
        <f>IFERROR(__xludf.DUMMYFUNCTION(" sum (filter (ZONE (MOIS_VERS_ANNEE (A279), address (2, C279 + 6) &amp; "":"" &amp; address (9999, C279 + 6)), month (ZONE (MOIS_VERS_ANNEE (A279), ""A2:A"")) = mod (A279 - 1, 12) + 1, ZONE (MOIS_VERS_ANNEE (A279), ""A2:A"") &lt;&gt; """"))"),108.0)</f>
        <v>108</v>
      </c>
      <c r="E279" s="47"/>
    </row>
    <row r="280" ht="12.75" customHeight="1">
      <c r="A280" s="36">
        <f t="shared" si="2"/>
        <v>70</v>
      </c>
      <c r="B280" s="40">
        <f t="shared" si="3"/>
        <v>2</v>
      </c>
      <c r="C280" s="36">
        <f t="shared" si="1"/>
        <v>1</v>
      </c>
      <c r="D280" s="45">
        <f> indirect(address(match("Nbre " &amp; vlookup(A280, Mois!$A$2:$C1000, 3), ZONE(MOIS_VERS_ANNEE(A280), "K:K"), 0) - 1, C280 + 11, 4, true, MOIS_VERS_ANNEE(A280)))</f>
        <v>77</v>
      </c>
      <c r="E280" s="47"/>
    </row>
    <row r="281" ht="12.75" customHeight="1">
      <c r="A281" s="36">
        <f t="shared" si="2"/>
        <v>70</v>
      </c>
      <c r="B281" s="40">
        <f t="shared" si="3"/>
        <v>2</v>
      </c>
      <c r="C281" s="36">
        <f t="shared" si="1"/>
        <v>2</v>
      </c>
      <c r="D281" s="45">
        <f> indirect(address(match("Nbre " &amp; vlookup(A281, Mois!$A$2:$C1000, 3), ZONE(MOIS_VERS_ANNEE(A281), "K:K"), 0) - 1, C281 + 11, 4, true, MOIS_VERS_ANNEE(A281)))</f>
        <v>14</v>
      </c>
      <c r="E281" s="47"/>
    </row>
    <row r="282" ht="12.75" customHeight="1">
      <c r="A282" s="36">
        <f t="shared" si="2"/>
        <v>71</v>
      </c>
      <c r="B282" s="40">
        <f t="shared" si="3"/>
        <v>1</v>
      </c>
      <c r="C282" s="36">
        <f t="shared" si="1"/>
        <v>1</v>
      </c>
      <c r="D282" s="45">
        <f>IFERROR(__xludf.DUMMYFUNCTION(" sum (filter (ZONE (MOIS_VERS_ANNEE (A282), address (2, C282 + 6) &amp; "":"" &amp; address (9999, C282 + 6)), month (ZONE (MOIS_VERS_ANNEE (A282), ""A2:A"")) = mod (A282 - 1, 12) + 1, ZONE (MOIS_VERS_ANNEE (A282), ""A2:A"") &lt;&gt; """")) - D283"),280.0)</f>
        <v>280</v>
      </c>
      <c r="E282" s="46"/>
    </row>
    <row r="283" ht="12.75" customHeight="1">
      <c r="A283" s="36">
        <f t="shared" si="2"/>
        <v>71</v>
      </c>
      <c r="B283" s="40">
        <f t="shared" si="3"/>
        <v>1</v>
      </c>
      <c r="C283" s="36">
        <f t="shared" si="1"/>
        <v>2</v>
      </c>
      <c r="D283" s="45">
        <f>IFERROR(__xludf.DUMMYFUNCTION(" sum (filter (ZONE (MOIS_VERS_ANNEE (A283), address (2, C283 + 6) &amp; "":"" &amp; address (9999, C283 + 6)), month (ZONE (MOIS_VERS_ANNEE (A283), ""A2:A"")) = mod (A283 - 1, 12) + 1, ZONE (MOIS_VERS_ANNEE (A283), ""A2:A"") &lt;&gt; """"))"),108.0)</f>
        <v>108</v>
      </c>
      <c r="E283" s="47"/>
    </row>
    <row r="284" ht="12.75" customHeight="1">
      <c r="A284" s="36">
        <f t="shared" si="2"/>
        <v>71</v>
      </c>
      <c r="B284" s="40">
        <f t="shared" si="3"/>
        <v>2</v>
      </c>
      <c r="C284" s="36">
        <f t="shared" si="1"/>
        <v>1</v>
      </c>
      <c r="D284" s="45">
        <f> indirect(address(match("Nbre " &amp; vlookup(A284, Mois!$A$2:$C1000, 3), ZONE(MOIS_VERS_ANNEE(A284), "K:K"), 0) - 1, C284 + 11, 4, true, MOIS_VERS_ANNEE(A284)))</f>
        <v>59</v>
      </c>
      <c r="E284" s="47"/>
    </row>
    <row r="285" ht="12.75" customHeight="1">
      <c r="A285" s="36">
        <f t="shared" si="2"/>
        <v>71</v>
      </c>
      <c r="B285" s="40">
        <f t="shared" si="3"/>
        <v>2</v>
      </c>
      <c r="C285" s="36">
        <f t="shared" si="1"/>
        <v>2</v>
      </c>
      <c r="D285" s="45">
        <f> indirect(address(match("Nbre " &amp; vlookup(A285, Mois!$A$2:$C1000, 3), ZONE(MOIS_VERS_ANNEE(A285), "K:K"), 0) - 1, C285 + 11, 4, true, MOIS_VERS_ANNEE(A285)))</f>
        <v>10</v>
      </c>
      <c r="E285" s="47"/>
    </row>
    <row r="286" ht="12.75" customHeight="1">
      <c r="A286" s="36">
        <f t="shared" si="2"/>
        <v>72</v>
      </c>
      <c r="B286" s="40">
        <f t="shared" si="3"/>
        <v>1</v>
      </c>
      <c r="C286" s="36">
        <f t="shared" si="1"/>
        <v>1</v>
      </c>
      <c r="D286" s="45">
        <f>IFERROR(__xludf.DUMMYFUNCTION(" sum (filter (ZONE (MOIS_VERS_ANNEE (A286), address (2, C286 + 6) &amp; "":"" &amp; address (9999, C286 + 6)), month (ZONE (MOIS_VERS_ANNEE (A286), ""A2:A"")) = mod (A286 - 1, 12) + 1, ZONE (MOIS_VERS_ANNEE (A286), ""A2:A"") &lt;&gt; """")) - D287"),232.0)</f>
        <v>232</v>
      </c>
      <c r="E286" s="46"/>
    </row>
    <row r="287" ht="12.75" customHeight="1">
      <c r="A287" s="36">
        <f t="shared" si="2"/>
        <v>72</v>
      </c>
      <c r="B287" s="40">
        <f t="shared" si="3"/>
        <v>1</v>
      </c>
      <c r="C287" s="36">
        <f t="shared" si="1"/>
        <v>2</v>
      </c>
      <c r="D287" s="45">
        <f>IFERROR(__xludf.DUMMYFUNCTION(" sum (filter (ZONE (MOIS_VERS_ANNEE (A287), address (2, C287 + 6) &amp; "":"" &amp; address (9999, C287 + 6)), month (ZONE (MOIS_VERS_ANNEE (A287), ""A2:A"")) = mod (A287 - 1, 12) + 1, ZONE (MOIS_VERS_ANNEE (A287), ""A2:A"") &lt;&gt; """"))"),71.0)</f>
        <v>71</v>
      </c>
      <c r="E287" s="47"/>
    </row>
    <row r="288" ht="12.75" customHeight="1">
      <c r="A288" s="36">
        <f t="shared" si="2"/>
        <v>72</v>
      </c>
      <c r="B288" s="40">
        <f t="shared" si="3"/>
        <v>2</v>
      </c>
      <c r="C288" s="36">
        <f t="shared" si="1"/>
        <v>1</v>
      </c>
      <c r="D288" s="45">
        <f> indirect(address(match("Nbre " &amp; vlookup(A288, Mois!$A$2:$C1000, 3), ZONE(MOIS_VERS_ANNEE(A288), "K:K"), 0) - 1, C288 + 11, 4, true, MOIS_VERS_ANNEE(A288)))</f>
        <v>37</v>
      </c>
      <c r="E288" s="47"/>
    </row>
    <row r="289" ht="12.75" customHeight="1">
      <c r="A289" s="36">
        <f t="shared" si="2"/>
        <v>72</v>
      </c>
      <c r="B289" s="40">
        <f t="shared" si="3"/>
        <v>2</v>
      </c>
      <c r="C289" s="36">
        <f t="shared" si="1"/>
        <v>2</v>
      </c>
      <c r="D289" s="45">
        <f> indirect(address(match("Nbre " &amp; vlookup(A289, Mois!$A$2:$C1000, 3), ZONE(MOIS_VERS_ANNEE(A289), "K:K"), 0) - 1, C289 + 11, 4, true, MOIS_VERS_ANNEE(A289)))</f>
        <v>8</v>
      </c>
      <c r="E289" s="47"/>
    </row>
    <row r="290" ht="12.75" customHeight="1">
      <c r="A290" s="36">
        <f t="shared" si="2"/>
        <v>73</v>
      </c>
      <c r="B290" s="40">
        <f t="shared" si="3"/>
        <v>1</v>
      </c>
      <c r="C290" s="36">
        <f t="shared" si="1"/>
        <v>1</v>
      </c>
      <c r="D290" s="45">
        <f>IFERROR(__xludf.DUMMYFUNCTION(" sum (filter (ZONE (MOIS_VERS_ANNEE (A290), address (2, C290 + 6) &amp; "":"" &amp; address (9999, C290 + 6)), month (ZONE (MOIS_VERS_ANNEE (A290), ""A2:A"")) = mod (A290 - 1, 12) + 1, ZONE (MOIS_VERS_ANNEE (A290), ""A2:A"") &lt;&gt; """")) - D291"),296.0)</f>
        <v>296</v>
      </c>
      <c r="E290" s="46"/>
    </row>
    <row r="291" ht="12.75" customHeight="1">
      <c r="A291" s="36">
        <f t="shared" si="2"/>
        <v>73</v>
      </c>
      <c r="B291" s="40">
        <f t="shared" si="3"/>
        <v>1</v>
      </c>
      <c r="C291" s="36">
        <f t="shared" si="1"/>
        <v>2</v>
      </c>
      <c r="D291" s="45">
        <f>IFERROR(__xludf.DUMMYFUNCTION(" sum (filter (ZONE (MOIS_VERS_ANNEE (A291), address (2, C291 + 6) &amp; "":"" &amp; address (9999, C291 + 6)), month (ZONE (MOIS_VERS_ANNEE (A291), ""A2:A"")) = mod (A291 - 1, 12) + 1, ZONE (MOIS_VERS_ANNEE (A291), ""A2:A"") &lt;&gt; """"))"),73.0)</f>
        <v>73</v>
      </c>
      <c r="E291" s="47"/>
    </row>
    <row r="292" ht="12.75" customHeight="1">
      <c r="A292" s="36">
        <f t="shared" si="2"/>
        <v>73</v>
      </c>
      <c r="B292" s="40">
        <f t="shared" si="3"/>
        <v>2</v>
      </c>
      <c r="C292" s="36">
        <f t="shared" si="1"/>
        <v>1</v>
      </c>
      <c r="D292" s="45">
        <f> indirect(address(match("Nbre " &amp; vlookup(A292, Mois!$A$2:$C1000, 3), ZONE(MOIS_VERS_ANNEE(A292), "K:K"), 0) - 1, C292 + 11, 4, true, MOIS_VERS_ANNEE(A292)))</f>
        <v>82</v>
      </c>
      <c r="E292" s="47"/>
    </row>
    <row r="293" ht="12.75" customHeight="1">
      <c r="A293" s="36">
        <f t="shared" si="2"/>
        <v>73</v>
      </c>
      <c r="B293" s="40">
        <f t="shared" si="3"/>
        <v>2</v>
      </c>
      <c r="C293" s="36">
        <f t="shared" si="1"/>
        <v>2</v>
      </c>
      <c r="D293" s="45">
        <f> indirect(address(match("Nbre " &amp; vlookup(A293, Mois!$A$2:$C1000, 3), ZONE(MOIS_VERS_ANNEE(A293), "K:K"), 0) - 1, C293 + 11, 4, true, MOIS_VERS_ANNEE(A293)))</f>
        <v>7</v>
      </c>
      <c r="E293" s="47"/>
    </row>
    <row r="294" ht="12.75" customHeight="1">
      <c r="A294" s="36">
        <f t="shared" si="2"/>
        <v>74</v>
      </c>
      <c r="B294" s="40">
        <f t="shared" si="3"/>
        <v>1</v>
      </c>
      <c r="C294" s="36">
        <f t="shared" si="1"/>
        <v>1</v>
      </c>
      <c r="D294" s="45">
        <f>IFERROR(__xludf.DUMMYFUNCTION(" sum (filter (ZONE (MOIS_VERS_ANNEE (A294), address (2, C294 + 6) &amp; "":"" &amp; address (9999, C294 + 6)), month (ZONE (MOIS_VERS_ANNEE (A294), ""A2:A"")) = mod (A294 - 1, 12) + 1, ZONE (MOIS_VERS_ANNEE (A294), ""A2:A"") &lt;&gt; """")) - D295"),332.0)</f>
        <v>332</v>
      </c>
      <c r="E294" s="46"/>
    </row>
    <row r="295" ht="12.75" customHeight="1">
      <c r="A295" s="36">
        <f t="shared" si="2"/>
        <v>74</v>
      </c>
      <c r="B295" s="40">
        <f t="shared" si="3"/>
        <v>1</v>
      </c>
      <c r="C295" s="36">
        <f t="shared" si="1"/>
        <v>2</v>
      </c>
      <c r="D295" s="45">
        <f>IFERROR(__xludf.DUMMYFUNCTION(" sum (filter (ZONE (MOIS_VERS_ANNEE (A295), address (2, C295 + 6) &amp; "":"" &amp; address (9999, C295 + 6)), month (ZONE (MOIS_VERS_ANNEE (A295), ""A2:A"")) = mod (A295 - 1, 12) + 1, ZONE (MOIS_VERS_ANNEE (A295), ""A2:A"") &lt;&gt; """"))"),91.0)</f>
        <v>91</v>
      </c>
      <c r="E295" s="47"/>
    </row>
    <row r="296" ht="12.75" customHeight="1">
      <c r="A296" s="36">
        <f t="shared" si="2"/>
        <v>74</v>
      </c>
      <c r="B296" s="40">
        <f t="shared" si="3"/>
        <v>2</v>
      </c>
      <c r="C296" s="36">
        <f t="shared" si="1"/>
        <v>1</v>
      </c>
      <c r="D296" s="45">
        <f> indirect(address(match("Nbre " &amp; vlookup(A296, Mois!$A$2:$C1000, 3), ZONE(MOIS_VERS_ANNEE(A296), "K:K"), 0) - 1, C296 + 11, 4, true, MOIS_VERS_ANNEE(A296)))</f>
        <v>73</v>
      </c>
      <c r="E296" s="47"/>
    </row>
    <row r="297" ht="12.75" customHeight="1">
      <c r="A297" s="36">
        <f t="shared" si="2"/>
        <v>74</v>
      </c>
      <c r="B297" s="40">
        <f t="shared" si="3"/>
        <v>2</v>
      </c>
      <c r="C297" s="36">
        <f t="shared" si="1"/>
        <v>2</v>
      </c>
      <c r="D297" s="45">
        <f> indirect(address(match("Nbre " &amp; vlookup(A297, Mois!$A$2:$C1000, 3), ZONE(MOIS_VERS_ANNEE(A297), "K:K"), 0) - 1, C297 + 11, 4, true, MOIS_VERS_ANNEE(A297)))</f>
        <v>14</v>
      </c>
      <c r="E297" s="47"/>
    </row>
    <row r="298" ht="12.75" customHeight="1">
      <c r="A298" s="36">
        <f t="shared" si="2"/>
        <v>75</v>
      </c>
      <c r="B298" s="40">
        <f t="shared" si="3"/>
        <v>1</v>
      </c>
      <c r="C298" s="36">
        <f t="shared" si="1"/>
        <v>1</v>
      </c>
      <c r="D298" s="45">
        <f>IFERROR(__xludf.DUMMYFUNCTION(" sum (filter (ZONE (MOIS_VERS_ANNEE (A298), address (2, C298 + 6) &amp; "":"" &amp; address (9999, C298 + 6)), month (ZONE (MOIS_VERS_ANNEE (A298), ""A2:A"")) = mod (A298 - 1, 12) + 1, ZONE (MOIS_VERS_ANNEE (A298), ""A2:A"") &lt;&gt; """")) - D299"),376.0)</f>
        <v>376</v>
      </c>
      <c r="E298" s="46"/>
    </row>
    <row r="299" ht="12.75" customHeight="1">
      <c r="A299" s="36">
        <f t="shared" si="2"/>
        <v>75</v>
      </c>
      <c r="B299" s="40">
        <f t="shared" si="3"/>
        <v>1</v>
      </c>
      <c r="C299" s="36">
        <f t="shared" si="1"/>
        <v>2</v>
      </c>
      <c r="D299" s="45">
        <f>IFERROR(__xludf.DUMMYFUNCTION(" sum (filter (ZONE (MOIS_VERS_ANNEE (A299), address (2, C299 + 6) &amp; "":"" &amp; address (9999, C299 + 6)), month (ZONE (MOIS_VERS_ANNEE (A299), ""A2:A"")) = mod (A299 - 1, 12) + 1, ZONE (MOIS_VERS_ANNEE (A299), ""A2:A"") &lt;&gt; """"))"),117.0)</f>
        <v>117</v>
      </c>
      <c r="E299" s="47"/>
    </row>
    <row r="300" ht="12.75" customHeight="1">
      <c r="A300" s="36">
        <f t="shared" si="2"/>
        <v>75</v>
      </c>
      <c r="B300" s="40">
        <f t="shared" si="3"/>
        <v>2</v>
      </c>
      <c r="C300" s="36">
        <f t="shared" si="1"/>
        <v>1</v>
      </c>
      <c r="D300" s="45">
        <f> indirect(address(match("Nbre " &amp; vlookup(A300, Mois!$A$2:$C1000, 3), ZONE(MOIS_VERS_ANNEE(A300), "K:K"), 0) - 1, C300 + 11, 4, true, MOIS_VERS_ANNEE(A300)))</f>
        <v>70</v>
      </c>
      <c r="E300" s="47"/>
    </row>
    <row r="301" ht="12.75" customHeight="1">
      <c r="A301" s="36">
        <f t="shared" si="2"/>
        <v>75</v>
      </c>
      <c r="B301" s="40">
        <f t="shared" si="3"/>
        <v>2</v>
      </c>
      <c r="C301" s="36">
        <f t="shared" si="1"/>
        <v>2</v>
      </c>
      <c r="D301" s="45">
        <f> indirect(address(match("Nbre " &amp; vlookup(A301, Mois!$A$2:$C1000, 3), ZONE(MOIS_VERS_ANNEE(A301), "K:K"), 0) - 1, C301 + 11, 4, true, MOIS_VERS_ANNEE(A301)))</f>
        <v>14</v>
      </c>
      <c r="E301" s="47"/>
    </row>
    <row r="302" ht="12.75" customHeight="1">
      <c r="A302" s="36">
        <f t="shared" si="2"/>
        <v>76</v>
      </c>
      <c r="B302" s="40">
        <f t="shared" si="3"/>
        <v>1</v>
      </c>
      <c r="C302" s="36">
        <f t="shared" si="1"/>
        <v>1</v>
      </c>
      <c r="D302" s="45">
        <f>IFERROR(__xludf.DUMMYFUNCTION(" sum (filter (ZONE (MOIS_VERS_ANNEE (A302), address (2, C302 + 6) &amp; "":"" &amp; address (9999, C302 + 6)), month (ZONE (MOIS_VERS_ANNEE (A302), ""A2:A"")) = mod (A302 - 1, 12) + 1, ZONE (MOIS_VERS_ANNEE (A302), ""A2:A"") &lt;&gt; """")) - D303"),314.0)</f>
        <v>314</v>
      </c>
      <c r="E302" s="46"/>
    </row>
    <row r="303" ht="12.75" customHeight="1">
      <c r="A303" s="36">
        <f t="shared" si="2"/>
        <v>76</v>
      </c>
      <c r="B303" s="40">
        <f t="shared" si="3"/>
        <v>1</v>
      </c>
      <c r="C303" s="36">
        <f t="shared" si="1"/>
        <v>2</v>
      </c>
      <c r="D303" s="45">
        <f>IFERROR(__xludf.DUMMYFUNCTION(" sum (filter (ZONE (MOIS_VERS_ANNEE (A303), address (2, C303 + 6) &amp; "":"" &amp; address (9999, C303 + 6)), month (ZONE (MOIS_VERS_ANNEE (A303), ""A2:A"")) = mod (A303 - 1, 12) + 1, ZONE (MOIS_VERS_ANNEE (A303), ""A2:A"") &lt;&gt; """"))"),81.0)</f>
        <v>81</v>
      </c>
      <c r="E303" s="47"/>
    </row>
    <row r="304" ht="12.75" customHeight="1">
      <c r="A304" s="36">
        <f t="shared" si="2"/>
        <v>76</v>
      </c>
      <c r="B304" s="40">
        <f t="shared" si="3"/>
        <v>2</v>
      </c>
      <c r="C304" s="36">
        <f t="shared" si="1"/>
        <v>1</v>
      </c>
      <c r="D304" s="45">
        <f> indirect(address(match("Nbre " &amp; vlookup(A304, Mois!$A$2:$C1000, 3), ZONE(MOIS_VERS_ANNEE(A304), "K:K"), 0) - 1, C304 + 11, 4, true, MOIS_VERS_ANNEE(A304)))</f>
        <v>68</v>
      </c>
      <c r="E304" s="47"/>
    </row>
    <row r="305" ht="12.75" customHeight="1">
      <c r="A305" s="36">
        <f t="shared" si="2"/>
        <v>76</v>
      </c>
      <c r="B305" s="40">
        <f t="shared" si="3"/>
        <v>2</v>
      </c>
      <c r="C305" s="36">
        <f t="shared" si="1"/>
        <v>2</v>
      </c>
      <c r="D305" s="45">
        <f> indirect(address(match("Nbre " &amp; vlookup(A305, Mois!$A$2:$C1000, 3), ZONE(MOIS_VERS_ANNEE(A305), "K:K"), 0) - 1, C305 + 11, 4, true, MOIS_VERS_ANNEE(A305)))</f>
        <v>10</v>
      </c>
      <c r="E305" s="47"/>
    </row>
    <row r="306" ht="12.75" customHeight="1">
      <c r="A306" s="36">
        <f t="shared" si="2"/>
        <v>77</v>
      </c>
      <c r="B306" s="40">
        <f t="shared" si="3"/>
        <v>1</v>
      </c>
      <c r="C306" s="36">
        <f t="shared" si="1"/>
        <v>1</v>
      </c>
      <c r="D306" s="45">
        <f>IFERROR(__xludf.DUMMYFUNCTION(" sum (filter (ZONE (MOIS_VERS_ANNEE (A306), address (2, C306 + 6) &amp; "":"" &amp; address (9999, C306 + 6)), month (ZONE (MOIS_VERS_ANNEE (A306), ""A2:A"")) = mod (A306 - 1, 12) + 1, ZONE (MOIS_VERS_ANNEE (A306), ""A2:A"") &lt;&gt; """")) - D307"),483.0)</f>
        <v>483</v>
      </c>
      <c r="E306" s="46"/>
    </row>
    <row r="307" ht="12.75" customHeight="1">
      <c r="A307" s="36">
        <f t="shared" si="2"/>
        <v>77</v>
      </c>
      <c r="B307" s="40">
        <f t="shared" si="3"/>
        <v>1</v>
      </c>
      <c r="C307" s="36">
        <f t="shared" si="1"/>
        <v>2</v>
      </c>
      <c r="D307" s="45">
        <f>IFERROR(__xludf.DUMMYFUNCTION(" sum (filter (ZONE (MOIS_VERS_ANNEE (A307), address (2, C307 + 6) &amp; "":"" &amp; address (9999, C307 + 6)), month (ZONE (MOIS_VERS_ANNEE (A307), ""A2:A"")) = mod (A307 - 1, 12) + 1, ZONE (MOIS_VERS_ANNEE (A307), ""A2:A"") &lt;&gt; """"))"),61.0)</f>
        <v>61</v>
      </c>
      <c r="E307" s="47"/>
    </row>
    <row r="308" ht="12.75" customHeight="1">
      <c r="A308" s="36">
        <f t="shared" si="2"/>
        <v>77</v>
      </c>
      <c r="B308" s="40">
        <f t="shared" si="3"/>
        <v>2</v>
      </c>
      <c r="C308" s="36">
        <f t="shared" si="1"/>
        <v>1</v>
      </c>
      <c r="D308" s="45">
        <f> indirect(address(match("Nbre " &amp; vlookup(A308, Mois!$A$2:$C1000, 3), ZONE(MOIS_VERS_ANNEE(A308), "K:K"), 0) - 1, C308 + 11, 4, true, MOIS_VERS_ANNEE(A308)))</f>
        <v>49</v>
      </c>
      <c r="E308" s="47"/>
    </row>
    <row r="309" ht="12.75" customHeight="1">
      <c r="A309" s="36">
        <f t="shared" si="2"/>
        <v>77</v>
      </c>
      <c r="B309" s="40">
        <f t="shared" si="3"/>
        <v>2</v>
      </c>
      <c r="C309" s="36">
        <f t="shared" si="1"/>
        <v>2</v>
      </c>
      <c r="D309" s="45">
        <f> indirect(address(match("Nbre " &amp; vlookup(A309, Mois!$A$2:$C1000, 3), ZONE(MOIS_VERS_ANNEE(A309), "K:K"), 0) - 1, C309 + 11, 4, true, MOIS_VERS_ANNEE(A309)))</f>
        <v>13</v>
      </c>
      <c r="E309" s="47"/>
    </row>
    <row r="310" ht="12.75" customHeight="1">
      <c r="A310" s="36">
        <f t="shared" si="2"/>
        <v>78</v>
      </c>
      <c r="B310" s="40">
        <f t="shared" si="3"/>
        <v>1</v>
      </c>
      <c r="C310" s="36">
        <f t="shared" si="1"/>
        <v>1</v>
      </c>
      <c r="D310" s="45">
        <f>IFERROR(__xludf.DUMMYFUNCTION(" sum (filter (ZONE (MOIS_VERS_ANNEE (A310), address (2, C310 + 6) &amp; "":"" &amp; address (9999, C310 + 6)), month (ZONE (MOIS_VERS_ANNEE (A310), ""A2:A"")) = mod (A310 - 1, 12) + 1, ZONE (MOIS_VERS_ANNEE (A310), ""A2:A"") &lt;&gt; """")) - D311"),320.0)</f>
        <v>320</v>
      </c>
      <c r="E310" s="46"/>
    </row>
    <row r="311" ht="12.75" customHeight="1">
      <c r="A311" s="36">
        <f t="shared" si="2"/>
        <v>78</v>
      </c>
      <c r="B311" s="40">
        <f t="shared" si="3"/>
        <v>1</v>
      </c>
      <c r="C311" s="36">
        <f t="shared" si="1"/>
        <v>2</v>
      </c>
      <c r="D311" s="45">
        <f>IFERROR(__xludf.DUMMYFUNCTION(" sum (filter (ZONE (MOIS_VERS_ANNEE (A311), address (2, C311 + 6) &amp; "":"" &amp; address (9999, C311 + 6)), month (ZONE (MOIS_VERS_ANNEE (A311), ""A2:A"")) = mod (A311 - 1, 12) + 1, ZONE (MOIS_VERS_ANNEE (A311), ""A2:A"") &lt;&gt; """"))"),79.0)</f>
        <v>79</v>
      </c>
      <c r="E311" s="47"/>
    </row>
    <row r="312" ht="12.75" customHeight="1">
      <c r="A312" s="36">
        <f t="shared" si="2"/>
        <v>78</v>
      </c>
      <c r="B312" s="40">
        <f t="shared" si="3"/>
        <v>2</v>
      </c>
      <c r="C312" s="36">
        <f t="shared" si="1"/>
        <v>1</v>
      </c>
      <c r="D312" s="45">
        <f> indirect(address(match("Nbre " &amp; vlookup(A312, Mois!$A$2:$C1000, 3), ZONE(MOIS_VERS_ANNEE(A312), "K:K"), 0) - 1, C312 + 11, 4, true, MOIS_VERS_ANNEE(A312)))</f>
        <v>78</v>
      </c>
      <c r="E312" s="47"/>
    </row>
    <row r="313" ht="12.75" customHeight="1">
      <c r="A313" s="36">
        <f t="shared" si="2"/>
        <v>78</v>
      </c>
      <c r="B313" s="40">
        <f t="shared" si="3"/>
        <v>2</v>
      </c>
      <c r="C313" s="36">
        <f t="shared" si="1"/>
        <v>2</v>
      </c>
      <c r="D313" s="45">
        <f> indirect(address(match("Nbre " &amp; vlookup(A313, Mois!$A$2:$C1000, 3), ZONE(MOIS_VERS_ANNEE(A313), "K:K"), 0) - 1, C313 + 11, 4, true, MOIS_VERS_ANNEE(A313)))</f>
        <v>10</v>
      </c>
      <c r="E313" s="47"/>
    </row>
    <row r="314" ht="12.75" customHeight="1">
      <c r="A314" s="36">
        <f t="shared" si="2"/>
        <v>79</v>
      </c>
      <c r="B314" s="40">
        <f t="shared" si="3"/>
        <v>1</v>
      </c>
      <c r="C314" s="36">
        <f t="shared" si="1"/>
        <v>1</v>
      </c>
      <c r="D314" s="45">
        <f>IFERROR(__xludf.DUMMYFUNCTION(" sum (filter (ZONE (MOIS_VERS_ANNEE (A314), address (2, C314 + 6) &amp; "":"" &amp; address (9999, C314 + 6)), month (ZONE (MOIS_VERS_ANNEE (A314), ""A2:A"")) = mod (A314 - 1, 12) + 1, ZONE (MOIS_VERS_ANNEE (A314), ""A2:A"") &lt;&gt; """")) - D315"),343.0)</f>
        <v>343</v>
      </c>
      <c r="E314" s="46"/>
    </row>
    <row r="315" ht="12.75" customHeight="1">
      <c r="A315" s="36">
        <f t="shared" si="2"/>
        <v>79</v>
      </c>
      <c r="B315" s="40">
        <f t="shared" si="3"/>
        <v>1</v>
      </c>
      <c r="C315" s="36">
        <f t="shared" si="1"/>
        <v>2</v>
      </c>
      <c r="D315" s="45">
        <f>IFERROR(__xludf.DUMMYFUNCTION(" sum (filter (ZONE (MOIS_VERS_ANNEE (A315), address (2, C315 + 6) &amp; "":"" &amp; address (9999, C315 + 6)), month (ZONE (MOIS_VERS_ANNEE (A315), ""A2:A"")) = mod (A315 - 1, 12) + 1, ZONE (MOIS_VERS_ANNEE (A315), ""A2:A"") &lt;&gt; """"))"),83.0)</f>
        <v>83</v>
      </c>
      <c r="E315" s="47"/>
    </row>
    <row r="316" ht="12.75" customHeight="1">
      <c r="A316" s="36">
        <f t="shared" si="2"/>
        <v>79</v>
      </c>
      <c r="B316" s="40">
        <f t="shared" si="3"/>
        <v>2</v>
      </c>
      <c r="C316" s="36">
        <f t="shared" si="1"/>
        <v>1</v>
      </c>
      <c r="D316" s="45">
        <f> indirect(address(match("Nbre " &amp; vlookup(A316, Mois!$A$2:$C1000, 3), ZONE(MOIS_VERS_ANNEE(A316), "K:K"), 0) - 1, C316 + 11, 4, true, MOIS_VERS_ANNEE(A316)))</f>
        <v>63</v>
      </c>
      <c r="E316" s="47"/>
    </row>
    <row r="317" ht="12.75" customHeight="1">
      <c r="A317" s="36">
        <f t="shared" si="2"/>
        <v>79</v>
      </c>
      <c r="B317" s="40">
        <f t="shared" si="3"/>
        <v>2</v>
      </c>
      <c r="C317" s="36">
        <f t="shared" si="1"/>
        <v>2</v>
      </c>
      <c r="D317" s="45">
        <f> indirect(address(match("Nbre " &amp; vlookup(A317, Mois!$A$2:$C1000, 3), ZONE(MOIS_VERS_ANNEE(A317), "K:K"), 0) - 1, C317 + 11, 4, true, MOIS_VERS_ANNEE(A317)))</f>
        <v>9</v>
      </c>
      <c r="E317" s="47"/>
    </row>
    <row r="318" ht="12.75" customHeight="1">
      <c r="A318" s="36">
        <f t="shared" si="2"/>
        <v>80</v>
      </c>
      <c r="B318" s="40">
        <f t="shared" si="3"/>
        <v>1</v>
      </c>
      <c r="C318" s="36">
        <f t="shared" si="1"/>
        <v>1</v>
      </c>
      <c r="D318" s="45">
        <f>IFERROR(__xludf.DUMMYFUNCTION(" sum (filter (ZONE (MOIS_VERS_ANNEE (A318), address (2, C318 + 6) &amp; "":"" &amp; address (9999, C318 + 6)), month (ZONE (MOIS_VERS_ANNEE (A318), ""A2:A"")) = mod (A318 - 1, 12) + 1, ZONE (MOIS_VERS_ANNEE (A318), ""A2:A"") &lt;&gt; """")) - D319"),170.0)</f>
        <v>170</v>
      </c>
      <c r="E318" s="46"/>
    </row>
    <row r="319" ht="12.75" customHeight="1">
      <c r="A319" s="36">
        <f t="shared" si="2"/>
        <v>80</v>
      </c>
      <c r="B319" s="40">
        <f t="shared" si="3"/>
        <v>1</v>
      </c>
      <c r="C319" s="36">
        <f t="shared" si="1"/>
        <v>2</v>
      </c>
      <c r="D319" s="45">
        <f>IFERROR(__xludf.DUMMYFUNCTION(" sum (filter (ZONE (MOIS_VERS_ANNEE (A319), address (2, C319 + 6) &amp; "":"" &amp; address (9999, C319 + 6)), month (ZONE (MOIS_VERS_ANNEE (A319), ""A2:A"")) = mod (A319 - 1, 12) + 1, ZONE (MOIS_VERS_ANNEE (A319), ""A2:A"") &lt;&gt; """"))"),45.0)</f>
        <v>45</v>
      </c>
      <c r="E319" s="47"/>
    </row>
    <row r="320" ht="12.75" customHeight="1">
      <c r="A320" s="36">
        <f t="shared" si="2"/>
        <v>80</v>
      </c>
      <c r="B320" s="40">
        <f t="shared" si="3"/>
        <v>2</v>
      </c>
      <c r="C320" s="36">
        <f t="shared" si="1"/>
        <v>1</v>
      </c>
      <c r="D320" s="45">
        <f> indirect(address(match("Nbre " &amp; vlookup(A320, Mois!$A$2:$C1000, 3), ZONE(MOIS_VERS_ANNEE(A320), "K:K"), 0) - 1, C320 + 11, 4, true, MOIS_VERS_ANNEE(A320)))</f>
        <v>12</v>
      </c>
      <c r="E320" s="47"/>
    </row>
    <row r="321" ht="12.75" customHeight="1">
      <c r="A321" s="36">
        <f t="shared" si="2"/>
        <v>80</v>
      </c>
      <c r="B321" s="40">
        <f t="shared" si="3"/>
        <v>2</v>
      </c>
      <c r="C321" s="36">
        <f t="shared" si="1"/>
        <v>2</v>
      </c>
      <c r="D321" s="45">
        <f> indirect(address(match("Nbre " &amp; vlookup(A321, Mois!$A$2:$C1000, 3), ZONE(MOIS_VERS_ANNEE(A321), "K:K"), 0) - 1, C321 + 11, 4, true, MOIS_VERS_ANNEE(A321)))</f>
        <v>3</v>
      </c>
      <c r="E321" s="47"/>
    </row>
    <row r="322" ht="12.75" customHeight="1">
      <c r="A322" s="36">
        <f t="shared" si="2"/>
        <v>81</v>
      </c>
      <c r="B322" s="40">
        <f t="shared" si="3"/>
        <v>1</v>
      </c>
      <c r="C322" s="36">
        <f t="shared" si="1"/>
        <v>1</v>
      </c>
      <c r="D322" s="45">
        <f>IFERROR(__xludf.DUMMYFUNCTION(" sum (filter (ZONE (MOIS_VERS_ANNEE (A322), address (2, C322 + 6) &amp; "":"" &amp; address (9999, C322 + 6)), month (ZONE (MOIS_VERS_ANNEE (A322), ""A2:A"")) = mod (A322 - 1, 12) + 1, ZONE (MOIS_VERS_ANNEE (A322), ""A2:A"") &lt;&gt; """")) - D323"),318.0)</f>
        <v>318</v>
      </c>
      <c r="E322" s="46"/>
    </row>
    <row r="323" ht="12.75" customHeight="1">
      <c r="A323" s="36">
        <f t="shared" si="2"/>
        <v>81</v>
      </c>
      <c r="B323" s="40">
        <f t="shared" si="3"/>
        <v>1</v>
      </c>
      <c r="C323" s="36">
        <f t="shared" si="1"/>
        <v>2</v>
      </c>
      <c r="D323" s="45">
        <f>IFERROR(__xludf.DUMMYFUNCTION(" sum (filter (ZONE (MOIS_VERS_ANNEE (A323), address (2, C323 + 6) &amp; "":"" &amp; address (9999, C323 + 6)), month (ZONE (MOIS_VERS_ANNEE (A323), ""A2:A"")) = mod (A323 - 1, 12) + 1, ZONE (MOIS_VERS_ANNEE (A323), ""A2:A"") &lt;&gt; """"))"),105.0)</f>
        <v>105</v>
      </c>
      <c r="E323" s="47"/>
    </row>
    <row r="324" ht="12.75" customHeight="1">
      <c r="A324" s="36">
        <f t="shared" si="2"/>
        <v>81</v>
      </c>
      <c r="B324" s="40">
        <f t="shared" si="3"/>
        <v>2</v>
      </c>
      <c r="C324" s="36">
        <f t="shared" si="1"/>
        <v>1</v>
      </c>
      <c r="D324" s="45">
        <f> indirect(address(match("Nbre " &amp; vlookup(A324, Mois!$A$2:$C1000, 3), ZONE(MOIS_VERS_ANNEE(A324), "K:K"), 0) - 1, C324 + 11, 4, true, MOIS_VERS_ANNEE(A324)))</f>
        <v>62</v>
      </c>
      <c r="E324" s="47"/>
    </row>
    <row r="325" ht="12.75" customHeight="1">
      <c r="A325" s="36">
        <f t="shared" si="2"/>
        <v>81</v>
      </c>
      <c r="B325" s="40">
        <f t="shared" si="3"/>
        <v>2</v>
      </c>
      <c r="C325" s="36">
        <f t="shared" si="1"/>
        <v>2</v>
      </c>
      <c r="D325" s="45">
        <f> indirect(address(match("Nbre " &amp; vlookup(A325, Mois!$A$2:$C1000, 3), ZONE(MOIS_VERS_ANNEE(A325), "K:K"), 0) - 1, C325 + 11, 4, true, MOIS_VERS_ANNEE(A325)))</f>
        <v>10</v>
      </c>
      <c r="E325" s="47"/>
    </row>
    <row r="326" ht="12.75" customHeight="1">
      <c r="A326" s="36">
        <f t="shared" si="2"/>
        <v>82</v>
      </c>
      <c r="B326" s="40">
        <f t="shared" si="3"/>
        <v>1</v>
      </c>
      <c r="C326" s="36">
        <f t="shared" si="1"/>
        <v>1</v>
      </c>
      <c r="D326" s="45">
        <f>IFERROR(__xludf.DUMMYFUNCTION(" sum (filter (ZONE (MOIS_VERS_ANNEE (A326), address (2, C326 + 6) &amp; "":"" &amp; address (9999, C326 + 6)), month (ZONE (MOIS_VERS_ANNEE (A326), ""A2:A"")) = mod (A326 - 1, 12) + 1, ZONE (MOIS_VERS_ANNEE (A326), ""A2:A"") &lt;&gt; """")) - D327"),200.0)</f>
        <v>200</v>
      </c>
      <c r="E326" s="46"/>
    </row>
    <row r="327" ht="12.75" customHeight="1">
      <c r="A327" s="36">
        <f t="shared" si="2"/>
        <v>82</v>
      </c>
      <c r="B327" s="40">
        <f t="shared" si="3"/>
        <v>1</v>
      </c>
      <c r="C327" s="36">
        <f t="shared" si="1"/>
        <v>2</v>
      </c>
      <c r="D327" s="45">
        <f>IFERROR(__xludf.DUMMYFUNCTION(" sum (filter (ZONE (MOIS_VERS_ANNEE (A327), address (2, C327 + 6) &amp; "":"" &amp; address (9999, C327 + 6)), month (ZONE (MOIS_VERS_ANNEE (A327), ""A2:A"")) = mod (A327 - 1, 12) + 1, ZONE (MOIS_VERS_ANNEE (A327), ""A2:A"") &lt;&gt; """"))"),66.0)</f>
        <v>66</v>
      </c>
      <c r="E327" s="47"/>
    </row>
    <row r="328" ht="12.75" customHeight="1">
      <c r="A328" s="36">
        <f t="shared" si="2"/>
        <v>82</v>
      </c>
      <c r="B328" s="40">
        <f t="shared" si="3"/>
        <v>2</v>
      </c>
      <c r="C328" s="36">
        <f t="shared" si="1"/>
        <v>1</v>
      </c>
      <c r="D328" s="45">
        <f> indirect(address(match("Nbre " &amp; vlookup(A328, Mois!$A$2:$C1000, 3), ZONE(MOIS_VERS_ANNEE(A328), "K:K"), 0) - 1, C328 + 11, 4, true, MOIS_VERS_ANNEE(A328)))</f>
        <v>38</v>
      </c>
      <c r="E328" s="47"/>
    </row>
    <row r="329" ht="12.75" customHeight="1">
      <c r="A329" s="36">
        <f t="shared" si="2"/>
        <v>82</v>
      </c>
      <c r="B329" s="40">
        <f t="shared" si="3"/>
        <v>2</v>
      </c>
      <c r="C329" s="36">
        <f t="shared" si="1"/>
        <v>2</v>
      </c>
      <c r="D329" s="45">
        <f> indirect(address(match("Nbre " &amp; vlookup(A329, Mois!$A$2:$C1000, 3), ZONE(MOIS_VERS_ANNEE(A329), "K:K"), 0) - 1, C329 + 11, 4, true, MOIS_VERS_ANNEE(A329)))</f>
        <v>12</v>
      </c>
      <c r="E329" s="47"/>
    </row>
    <row r="330" ht="12.75" customHeight="1">
      <c r="A330" s="36">
        <f t="shared" si="2"/>
        <v>83</v>
      </c>
      <c r="B330" s="40">
        <f t="shared" si="3"/>
        <v>1</v>
      </c>
      <c r="C330" s="36">
        <f t="shared" si="1"/>
        <v>1</v>
      </c>
      <c r="D330" s="45">
        <f>IFERROR(__xludf.DUMMYFUNCTION(" sum (filter (ZONE (MOIS_VERS_ANNEE (A330), address (2, C330 + 6) &amp; "":"" &amp; address (9999, C330 + 6)), month (ZONE (MOIS_VERS_ANNEE (A330), ""A2:A"")) = mod (A330 - 1, 12) + 1, ZONE (MOIS_VERS_ANNEE (A330), ""A2:A"") &lt;&gt; """")) - D331"),217.0)</f>
        <v>217</v>
      </c>
      <c r="E330" s="46"/>
    </row>
    <row r="331" ht="12.75" customHeight="1">
      <c r="A331" s="36">
        <f t="shared" si="2"/>
        <v>83</v>
      </c>
      <c r="B331" s="40">
        <f t="shared" si="3"/>
        <v>1</v>
      </c>
      <c r="C331" s="36">
        <f t="shared" si="1"/>
        <v>2</v>
      </c>
      <c r="D331" s="45">
        <f>IFERROR(__xludf.DUMMYFUNCTION(" sum (filter (ZONE (MOIS_VERS_ANNEE (A331), address (2, C331 + 6) &amp; "":"" &amp; address (9999, C331 + 6)), month (ZONE (MOIS_VERS_ANNEE (A331), ""A2:A"")) = mod (A331 - 1, 12) + 1, ZONE (MOIS_VERS_ANNEE (A331), ""A2:A"") &lt;&gt; """"))"),53.0)</f>
        <v>53</v>
      </c>
      <c r="E331" s="47"/>
    </row>
    <row r="332" ht="12.75" customHeight="1">
      <c r="A332" s="36">
        <f t="shared" si="2"/>
        <v>83</v>
      </c>
      <c r="B332" s="40">
        <f t="shared" si="3"/>
        <v>2</v>
      </c>
      <c r="C332" s="36">
        <f t="shared" si="1"/>
        <v>1</v>
      </c>
      <c r="D332" s="45">
        <f> indirect(address(match("Nbre " &amp; vlookup(A332, Mois!$A$2:$C1000, 3), ZONE(MOIS_VERS_ANNEE(A332), "K:K"), 0) - 1, C332 + 11, 4, true, MOIS_VERS_ANNEE(A332)))</f>
        <v>39</v>
      </c>
      <c r="E332" s="47"/>
    </row>
    <row r="333" ht="12.75" customHeight="1">
      <c r="A333" s="36">
        <f t="shared" si="2"/>
        <v>83</v>
      </c>
      <c r="B333" s="40">
        <f t="shared" si="3"/>
        <v>2</v>
      </c>
      <c r="C333" s="36">
        <f t="shared" si="1"/>
        <v>2</v>
      </c>
      <c r="D333" s="45">
        <f> indirect(address(match("Nbre " &amp; vlookup(A333, Mois!$A$2:$C1000, 3), ZONE(MOIS_VERS_ANNEE(A333), "K:K"), 0) - 1, C333 + 11, 4, true, MOIS_VERS_ANNEE(A333)))</f>
        <v>12</v>
      </c>
      <c r="E333" s="47"/>
      <c r="F333" s="49"/>
    </row>
    <row r="334" ht="12.75" customHeight="1">
      <c r="A334" s="36">
        <f t="shared" si="2"/>
        <v>84</v>
      </c>
      <c r="B334" s="40">
        <f t="shared" si="3"/>
        <v>1</v>
      </c>
      <c r="C334" s="36">
        <f t="shared" si="1"/>
        <v>1</v>
      </c>
      <c r="D334" s="45">
        <f>IFERROR(__xludf.DUMMYFUNCTION(" sum (filter (ZONE (MOIS_VERS_ANNEE (A334), address (2, C334 + 6) &amp; "":"" &amp; address (9999, C334 + 6)), month (ZONE (MOIS_VERS_ANNEE (A334), ""A2:A"")) = mod (A334 - 1, 12) + 1, ZONE (MOIS_VERS_ANNEE (A334), ""A2:A"") &lt;&gt; """")) - D335"),157.0)</f>
        <v>157</v>
      </c>
      <c r="E334" s="46"/>
      <c r="F334" s="50"/>
      <c r="G334" s="50"/>
    </row>
    <row r="335" ht="12.75" customHeight="1">
      <c r="A335" s="36">
        <f t="shared" si="2"/>
        <v>84</v>
      </c>
      <c r="B335" s="40">
        <f t="shared" si="3"/>
        <v>1</v>
      </c>
      <c r="C335" s="36">
        <f t="shared" si="1"/>
        <v>2</v>
      </c>
      <c r="D335" s="45">
        <f>IFERROR(__xludf.DUMMYFUNCTION(" sum (filter (ZONE (MOIS_VERS_ANNEE (A335), address (2, C335 + 6) &amp; "":"" &amp; address (9999, C335 + 6)), month (ZONE (MOIS_VERS_ANNEE (A335), ""A2:A"")) = mod (A335 - 1, 12) + 1, ZONE (MOIS_VERS_ANNEE (A335), ""A2:A"") &lt;&gt; """"))"),59.0)</f>
        <v>59</v>
      </c>
      <c r="E335" s="47"/>
      <c r="F335" s="50"/>
      <c r="G335" s="50"/>
    </row>
    <row r="336" ht="12.75" customHeight="1">
      <c r="A336" s="36">
        <f t="shared" si="2"/>
        <v>84</v>
      </c>
      <c r="B336" s="40">
        <f t="shared" si="3"/>
        <v>2</v>
      </c>
      <c r="C336" s="36">
        <f t="shared" si="1"/>
        <v>1</v>
      </c>
      <c r="D336" s="45">
        <f> indirect(address(match("Nbre " &amp; vlookup(A336, Mois!$A$2:$C1000, 3), ZONE(MOIS_VERS_ANNEE(A336), "K:K"), 0) - 1, C336 + 11, 4, true, MOIS_VERS_ANNEE(A336)))</f>
        <v>46</v>
      </c>
      <c r="E336" s="47"/>
      <c r="F336" s="50"/>
      <c r="G336" s="50"/>
    </row>
    <row r="337" ht="12.75" customHeight="1">
      <c r="A337" s="36">
        <f t="shared" si="2"/>
        <v>84</v>
      </c>
      <c r="B337" s="40">
        <f t="shared" si="3"/>
        <v>2</v>
      </c>
      <c r="C337" s="36">
        <f t="shared" si="1"/>
        <v>2</v>
      </c>
      <c r="D337" s="45">
        <f> indirect(address(match("Nbre " &amp; vlookup(A337, Mois!$A$2:$C1000, 3), ZONE(MOIS_VERS_ANNEE(A337), "K:K"), 0) - 1, C337 + 11, 4, true, MOIS_VERS_ANNEE(A337)))</f>
        <v>7</v>
      </c>
      <c r="E337" s="47"/>
      <c r="F337" s="50"/>
      <c r="G337" s="50"/>
    </row>
    <row r="338" ht="12.75" customHeight="1">
      <c r="A338" s="41">
        <f t="shared" si="2"/>
        <v>85</v>
      </c>
      <c r="B338" s="42">
        <f t="shared" si="3"/>
        <v>1</v>
      </c>
      <c r="C338" s="41">
        <f t="shared" si="1"/>
        <v>1</v>
      </c>
      <c r="D338" s="51">
        <v>285.7246599060104</v>
      </c>
      <c r="E338" s="46"/>
      <c r="F338" s="50"/>
      <c r="G338" s="50"/>
      <c r="H338" s="50"/>
    </row>
    <row r="339" ht="12.75" customHeight="1">
      <c r="A339" s="36">
        <f t="shared" si="2"/>
        <v>85</v>
      </c>
      <c r="B339" s="40">
        <f t="shared" si="3"/>
        <v>1</v>
      </c>
      <c r="C339" s="36">
        <f t="shared" si="1"/>
        <v>2</v>
      </c>
      <c r="D339" s="45">
        <v>70.4282958199357</v>
      </c>
      <c r="E339" s="47"/>
      <c r="G339" s="50"/>
      <c r="H339" s="50"/>
    </row>
    <row r="340" ht="12.75" customHeight="1">
      <c r="A340" s="36">
        <f t="shared" si="2"/>
        <v>85</v>
      </c>
      <c r="B340" s="40">
        <f t="shared" si="3"/>
        <v>2</v>
      </c>
      <c r="C340" s="36">
        <f t="shared" si="1"/>
        <v>1</v>
      </c>
      <c r="D340" s="45">
        <v>55.03096348401031</v>
      </c>
      <c r="E340" s="47"/>
      <c r="G340" s="50"/>
      <c r="H340" s="50"/>
    </row>
    <row r="341" ht="12.75" customHeight="1">
      <c r="A341" s="36">
        <f t="shared" si="2"/>
        <v>85</v>
      </c>
      <c r="B341" s="40">
        <f t="shared" si="3"/>
        <v>2</v>
      </c>
      <c r="C341" s="36">
        <f t="shared" si="1"/>
        <v>2</v>
      </c>
      <c r="D341" s="45">
        <v>8.324545284532737</v>
      </c>
      <c r="E341" s="47"/>
      <c r="G341" s="50"/>
      <c r="H341" s="50"/>
    </row>
    <row r="342" ht="12.75" customHeight="1">
      <c r="A342" s="36">
        <f t="shared" si="2"/>
        <v>86</v>
      </c>
      <c r="B342" s="40">
        <f t="shared" si="3"/>
        <v>1</v>
      </c>
      <c r="C342" s="36">
        <f t="shared" si="1"/>
        <v>1</v>
      </c>
      <c r="D342" s="45">
        <v>285.7246599060104</v>
      </c>
      <c r="E342" s="46"/>
      <c r="G342" s="50"/>
      <c r="H342" s="50"/>
    </row>
    <row r="343" ht="12.75" customHeight="1">
      <c r="A343" s="36">
        <f t="shared" si="2"/>
        <v>86</v>
      </c>
      <c r="B343" s="40">
        <f t="shared" si="3"/>
        <v>1</v>
      </c>
      <c r="C343" s="36">
        <f t="shared" si="1"/>
        <v>2</v>
      </c>
      <c r="D343" s="45">
        <v>70.4282958199357</v>
      </c>
      <c r="E343" s="47"/>
      <c r="G343" s="50"/>
      <c r="H343" s="50"/>
    </row>
    <row r="344" ht="12.75" customHeight="1">
      <c r="A344" s="36">
        <f t="shared" si="2"/>
        <v>86</v>
      </c>
      <c r="B344" s="40">
        <f t="shared" si="3"/>
        <v>2</v>
      </c>
      <c r="C344" s="36">
        <f t="shared" si="1"/>
        <v>1</v>
      </c>
      <c r="D344" s="45">
        <v>55.03096348401031</v>
      </c>
      <c r="E344" s="47"/>
      <c r="G344" s="50"/>
      <c r="H344" s="50"/>
    </row>
    <row r="345" ht="12.75" customHeight="1">
      <c r="A345" s="36">
        <f t="shared" si="2"/>
        <v>86</v>
      </c>
      <c r="B345" s="40">
        <f t="shared" si="3"/>
        <v>2</v>
      </c>
      <c r="C345" s="36">
        <f t="shared" si="1"/>
        <v>2</v>
      </c>
      <c r="D345" s="45">
        <v>8.324545284532737</v>
      </c>
      <c r="E345" s="47"/>
      <c r="G345" s="50"/>
      <c r="H345" s="50"/>
    </row>
    <row r="346" ht="12.75" customHeight="1">
      <c r="A346" s="36">
        <f t="shared" si="2"/>
        <v>87</v>
      </c>
      <c r="B346" s="40">
        <f t="shared" si="3"/>
        <v>1</v>
      </c>
      <c r="C346" s="36">
        <f t="shared" si="1"/>
        <v>1</v>
      </c>
      <c r="D346" s="45">
        <v>285.0411080880534</v>
      </c>
      <c r="E346" s="46"/>
      <c r="G346" s="50"/>
      <c r="H346" s="50"/>
    </row>
    <row r="347" ht="12.75" customHeight="1">
      <c r="A347" s="36">
        <f t="shared" si="2"/>
        <v>87</v>
      </c>
      <c r="B347" s="40">
        <f t="shared" si="3"/>
        <v>1</v>
      </c>
      <c r="C347" s="36">
        <f t="shared" si="1"/>
        <v>2</v>
      </c>
      <c r="D347" s="45">
        <v>70.25980707395499</v>
      </c>
      <c r="E347" s="47"/>
      <c r="G347" s="50"/>
      <c r="H347" s="50"/>
    </row>
    <row r="348" ht="12.75" customHeight="1">
      <c r="A348" s="36">
        <f t="shared" si="2"/>
        <v>87</v>
      </c>
      <c r="B348" s="40">
        <f t="shared" si="3"/>
        <v>2</v>
      </c>
      <c r="C348" s="36">
        <f t="shared" si="1"/>
        <v>1</v>
      </c>
      <c r="D348" s="45">
        <v>54.89931046132129</v>
      </c>
      <c r="E348" s="47"/>
      <c r="G348" s="50"/>
      <c r="H348" s="50"/>
    </row>
    <row r="349" ht="12.75" customHeight="1">
      <c r="A349" s="36">
        <f t="shared" si="2"/>
        <v>87</v>
      </c>
      <c r="B349" s="40">
        <f t="shared" si="3"/>
        <v>2</v>
      </c>
      <c r="C349" s="36">
        <f t="shared" si="1"/>
        <v>2</v>
      </c>
      <c r="D349" s="45">
        <v>8.3046301044262</v>
      </c>
      <c r="E349" s="47"/>
      <c r="G349" s="50"/>
      <c r="H349" s="50"/>
    </row>
    <row r="350" ht="12.75" customHeight="1">
      <c r="A350" s="36">
        <f t="shared" si="2"/>
        <v>88</v>
      </c>
      <c r="B350" s="40">
        <f t="shared" si="3"/>
        <v>1</v>
      </c>
      <c r="C350" s="36">
        <f t="shared" si="1"/>
        <v>1</v>
      </c>
      <c r="D350" s="45">
        <v>285.0411080880534</v>
      </c>
      <c r="E350" s="46"/>
      <c r="G350" s="50"/>
      <c r="H350" s="50"/>
    </row>
    <row r="351" ht="12.75" customHeight="1">
      <c r="A351" s="36">
        <f t="shared" si="2"/>
        <v>88</v>
      </c>
      <c r="B351" s="40">
        <f t="shared" si="3"/>
        <v>1</v>
      </c>
      <c r="C351" s="36">
        <f t="shared" si="1"/>
        <v>2</v>
      </c>
      <c r="D351" s="45">
        <v>70.25980707395499</v>
      </c>
      <c r="E351" s="47"/>
      <c r="G351" s="50"/>
      <c r="H351" s="50"/>
    </row>
    <row r="352" ht="12.75" customHeight="1">
      <c r="A352" s="36">
        <f t="shared" si="2"/>
        <v>88</v>
      </c>
      <c r="B352" s="40">
        <f t="shared" si="3"/>
        <v>2</v>
      </c>
      <c r="C352" s="36">
        <f t="shared" si="1"/>
        <v>1</v>
      </c>
      <c r="D352" s="45">
        <v>54.89931046132129</v>
      </c>
      <c r="E352" s="47"/>
      <c r="G352" s="50"/>
      <c r="H352" s="50"/>
    </row>
    <row r="353" ht="12.75" customHeight="1">
      <c r="A353" s="36">
        <f t="shared" si="2"/>
        <v>88</v>
      </c>
      <c r="B353" s="40">
        <f t="shared" si="3"/>
        <v>2</v>
      </c>
      <c r="C353" s="36">
        <f t="shared" si="1"/>
        <v>2</v>
      </c>
      <c r="D353" s="45">
        <v>8.3046301044262</v>
      </c>
      <c r="E353" s="47"/>
      <c r="G353" s="50"/>
      <c r="H353" s="50"/>
    </row>
    <row r="354" ht="12.75" customHeight="1">
      <c r="A354" s="36">
        <f t="shared" si="2"/>
        <v>89</v>
      </c>
      <c r="B354" s="40">
        <f t="shared" si="3"/>
        <v>1</v>
      </c>
      <c r="C354" s="36">
        <f t="shared" si="1"/>
        <v>1</v>
      </c>
      <c r="D354" s="45">
        <v>284.3575562700965</v>
      </c>
      <c r="E354" s="46"/>
      <c r="G354" s="50"/>
      <c r="H354" s="50"/>
    </row>
    <row r="355" ht="12.75" customHeight="1">
      <c r="A355" s="36">
        <f t="shared" si="2"/>
        <v>89</v>
      </c>
      <c r="B355" s="40">
        <f t="shared" si="3"/>
        <v>1</v>
      </c>
      <c r="C355" s="36">
        <f t="shared" si="1"/>
        <v>2</v>
      </c>
      <c r="D355" s="45">
        <v>70.09131832797429</v>
      </c>
      <c r="E355" s="47"/>
      <c r="G355" s="50"/>
      <c r="H355" s="50"/>
    </row>
    <row r="356" ht="12.75" customHeight="1">
      <c r="A356" s="36">
        <f t="shared" si="2"/>
        <v>89</v>
      </c>
      <c r="B356" s="40">
        <f t="shared" si="3"/>
        <v>2</v>
      </c>
      <c r="C356" s="36">
        <f t="shared" si="1"/>
        <v>1</v>
      </c>
      <c r="D356" s="45">
        <v>54.76765743863226</v>
      </c>
      <c r="E356" s="47"/>
      <c r="G356" s="50"/>
      <c r="H356" s="50"/>
    </row>
    <row r="357" ht="12.75" customHeight="1">
      <c r="A357" s="36">
        <f t="shared" si="2"/>
        <v>89</v>
      </c>
      <c r="B357" s="40">
        <f t="shared" si="3"/>
        <v>2</v>
      </c>
      <c r="C357" s="36">
        <f t="shared" si="1"/>
        <v>2</v>
      </c>
      <c r="D357" s="45">
        <v>8.284714924319662</v>
      </c>
      <c r="E357" s="47"/>
      <c r="G357" s="50"/>
      <c r="H357" s="50"/>
    </row>
    <row r="358" ht="12.75" customHeight="1">
      <c r="A358" s="36">
        <f t="shared" si="2"/>
        <v>90</v>
      </c>
      <c r="B358" s="40">
        <f t="shared" si="3"/>
        <v>1</v>
      </c>
      <c r="C358" s="36">
        <f t="shared" si="1"/>
        <v>1</v>
      </c>
      <c r="D358" s="45">
        <v>284.3575562700965</v>
      </c>
      <c r="E358" s="46"/>
      <c r="G358" s="50"/>
      <c r="H358" s="50"/>
    </row>
    <row r="359" ht="12.75" customHeight="1">
      <c r="A359" s="36">
        <f t="shared" si="2"/>
        <v>90</v>
      </c>
      <c r="B359" s="40">
        <f t="shared" si="3"/>
        <v>1</v>
      </c>
      <c r="C359" s="36">
        <f t="shared" si="1"/>
        <v>2</v>
      </c>
      <c r="D359" s="45">
        <v>70.09131832797429</v>
      </c>
      <c r="E359" s="47"/>
      <c r="G359" s="50"/>
      <c r="H359" s="50"/>
    </row>
    <row r="360" ht="12.75" customHeight="1">
      <c r="A360" s="36">
        <f t="shared" si="2"/>
        <v>90</v>
      </c>
      <c r="B360" s="40">
        <f t="shared" si="3"/>
        <v>2</v>
      </c>
      <c r="C360" s="36">
        <f t="shared" si="1"/>
        <v>1</v>
      </c>
      <c r="D360" s="45">
        <v>54.76765743863226</v>
      </c>
      <c r="E360" s="47"/>
      <c r="G360" s="50"/>
      <c r="H360" s="50"/>
    </row>
    <row r="361" ht="12.75" customHeight="1">
      <c r="A361" s="36">
        <f t="shared" si="2"/>
        <v>90</v>
      </c>
      <c r="B361" s="40">
        <f t="shared" si="3"/>
        <v>2</v>
      </c>
      <c r="C361" s="36">
        <f t="shared" si="1"/>
        <v>2</v>
      </c>
      <c r="D361" s="45">
        <v>8.284714924319662</v>
      </c>
      <c r="E361" s="47"/>
      <c r="G361" s="50"/>
      <c r="H361" s="50"/>
    </row>
    <row r="362" ht="12.75" customHeight="1">
      <c r="A362" s="36">
        <f t="shared" si="2"/>
        <v>91</v>
      </c>
      <c r="B362" s="40">
        <f t="shared" si="3"/>
        <v>1</v>
      </c>
      <c r="C362" s="36">
        <f t="shared" si="1"/>
        <v>1</v>
      </c>
      <c r="D362" s="45">
        <v>283.6740044521395</v>
      </c>
      <c r="E362" s="46"/>
      <c r="G362" s="50"/>
      <c r="H362" s="50"/>
    </row>
    <row r="363" ht="12.75" customHeight="1">
      <c r="A363" s="36">
        <f t="shared" si="2"/>
        <v>91</v>
      </c>
      <c r="B363" s="40">
        <f t="shared" si="3"/>
        <v>1</v>
      </c>
      <c r="C363" s="36">
        <f t="shared" si="1"/>
        <v>2</v>
      </c>
      <c r="D363" s="45">
        <v>69.92282958199357</v>
      </c>
      <c r="E363" s="47"/>
      <c r="G363" s="50"/>
      <c r="H363" s="50"/>
    </row>
    <row r="364" ht="12.75" customHeight="1">
      <c r="A364" s="36">
        <f t="shared" si="2"/>
        <v>91</v>
      </c>
      <c r="B364" s="40">
        <f t="shared" si="3"/>
        <v>2</v>
      </c>
      <c r="C364" s="36">
        <f t="shared" si="1"/>
        <v>1</v>
      </c>
      <c r="D364" s="45">
        <v>54.63600441594325</v>
      </c>
      <c r="E364" s="47"/>
      <c r="G364" s="50"/>
      <c r="H364" s="50"/>
    </row>
    <row r="365" ht="12.75" customHeight="1">
      <c r="A365" s="36">
        <f t="shared" si="2"/>
        <v>91</v>
      </c>
      <c r="B365" s="40">
        <f t="shared" si="3"/>
        <v>2</v>
      </c>
      <c r="C365" s="36">
        <f t="shared" si="1"/>
        <v>2</v>
      </c>
      <c r="D365" s="45">
        <v>8.264799744213123</v>
      </c>
      <c r="E365" s="47"/>
      <c r="G365" s="50"/>
      <c r="H365" s="50"/>
    </row>
    <row r="366" ht="12.75" customHeight="1">
      <c r="A366" s="36">
        <f t="shared" si="2"/>
        <v>92</v>
      </c>
      <c r="B366" s="40">
        <f t="shared" si="3"/>
        <v>1</v>
      </c>
      <c r="C366" s="36">
        <f t="shared" si="1"/>
        <v>1</v>
      </c>
      <c r="D366" s="45">
        <v>283.6740044521395</v>
      </c>
      <c r="E366" s="46"/>
      <c r="G366" s="50"/>
      <c r="H366" s="50"/>
    </row>
    <row r="367" ht="12.75" customHeight="1">
      <c r="A367" s="36">
        <f t="shared" si="2"/>
        <v>92</v>
      </c>
      <c r="B367" s="40">
        <f t="shared" si="3"/>
        <v>1</v>
      </c>
      <c r="C367" s="36">
        <f t="shared" si="1"/>
        <v>2</v>
      </c>
      <c r="D367" s="45">
        <v>69.92282958199357</v>
      </c>
      <c r="E367" s="47"/>
      <c r="G367" s="50"/>
      <c r="H367" s="50"/>
    </row>
    <row r="368" ht="12.75" customHeight="1">
      <c r="A368" s="36">
        <f t="shared" si="2"/>
        <v>92</v>
      </c>
      <c r="B368" s="40">
        <f t="shared" si="3"/>
        <v>2</v>
      </c>
      <c r="C368" s="36">
        <f t="shared" si="1"/>
        <v>1</v>
      </c>
      <c r="D368" s="45">
        <v>54.63600441594325</v>
      </c>
      <c r="E368" s="47"/>
      <c r="G368" s="50"/>
      <c r="H368" s="50"/>
    </row>
    <row r="369" ht="12.75" customHeight="1">
      <c r="A369" s="36">
        <f t="shared" si="2"/>
        <v>92</v>
      </c>
      <c r="B369" s="40">
        <f t="shared" si="3"/>
        <v>2</v>
      </c>
      <c r="C369" s="36">
        <f t="shared" si="1"/>
        <v>2</v>
      </c>
      <c r="D369" s="45">
        <v>8.264799744213123</v>
      </c>
      <c r="E369" s="47"/>
      <c r="G369" s="50"/>
      <c r="H369" s="50"/>
    </row>
    <row r="370" ht="12.75" customHeight="1">
      <c r="A370" s="36">
        <f t="shared" si="2"/>
        <v>93</v>
      </c>
      <c r="B370" s="40">
        <f t="shared" si="3"/>
        <v>1</v>
      </c>
      <c r="C370" s="36">
        <f t="shared" si="1"/>
        <v>1</v>
      </c>
      <c r="D370" s="45">
        <v>282.99045263418253</v>
      </c>
      <c r="E370" s="46"/>
      <c r="G370" s="50"/>
      <c r="H370" s="50"/>
    </row>
    <row r="371" ht="12.75" customHeight="1">
      <c r="A371" s="36">
        <f t="shared" si="2"/>
        <v>93</v>
      </c>
      <c r="B371" s="40">
        <f t="shared" si="3"/>
        <v>1</v>
      </c>
      <c r="C371" s="36">
        <f t="shared" si="1"/>
        <v>2</v>
      </c>
      <c r="D371" s="45">
        <v>69.75434083601287</v>
      </c>
      <c r="E371" s="47"/>
      <c r="G371" s="50"/>
      <c r="H371" s="50"/>
    </row>
    <row r="372" ht="12.75" customHeight="1">
      <c r="A372" s="36">
        <f t="shared" si="2"/>
        <v>93</v>
      </c>
      <c r="B372" s="40">
        <f t="shared" si="3"/>
        <v>2</v>
      </c>
      <c r="C372" s="36">
        <f t="shared" si="1"/>
        <v>1</v>
      </c>
      <c r="D372" s="45">
        <v>54.50435139325423</v>
      </c>
      <c r="E372" s="47"/>
      <c r="G372" s="50"/>
      <c r="H372" s="50"/>
    </row>
    <row r="373" ht="12.75" customHeight="1">
      <c r="A373" s="36">
        <f t="shared" si="2"/>
        <v>93</v>
      </c>
      <c r="B373" s="40">
        <f t="shared" si="3"/>
        <v>2</v>
      </c>
      <c r="C373" s="36">
        <f t="shared" si="1"/>
        <v>2</v>
      </c>
      <c r="D373" s="45">
        <v>8.244884564106586</v>
      </c>
      <c r="E373" s="47"/>
      <c r="G373" s="50"/>
      <c r="H373" s="50"/>
    </row>
    <row r="374" ht="12.75" customHeight="1">
      <c r="A374" s="36">
        <f t="shared" si="2"/>
        <v>94</v>
      </c>
      <c r="B374" s="40">
        <f t="shared" si="3"/>
        <v>1</v>
      </c>
      <c r="C374" s="36">
        <f t="shared" si="1"/>
        <v>1</v>
      </c>
      <c r="D374" s="45">
        <v>282.99045263418253</v>
      </c>
      <c r="E374" s="46"/>
      <c r="G374" s="50"/>
      <c r="H374" s="50"/>
    </row>
    <row r="375" ht="12.75" customHeight="1">
      <c r="A375" s="36">
        <f t="shared" si="2"/>
        <v>94</v>
      </c>
      <c r="B375" s="40">
        <f t="shared" si="3"/>
        <v>1</v>
      </c>
      <c r="C375" s="36">
        <f t="shared" si="1"/>
        <v>2</v>
      </c>
      <c r="D375" s="45">
        <v>69.75434083601287</v>
      </c>
      <c r="E375" s="47"/>
      <c r="G375" s="50"/>
      <c r="H375" s="50"/>
    </row>
    <row r="376" ht="12.75" customHeight="1">
      <c r="A376" s="36">
        <f t="shared" si="2"/>
        <v>94</v>
      </c>
      <c r="B376" s="40">
        <f t="shared" si="3"/>
        <v>2</v>
      </c>
      <c r="C376" s="36">
        <f t="shared" si="1"/>
        <v>1</v>
      </c>
      <c r="D376" s="45">
        <v>54.50435139325423</v>
      </c>
      <c r="E376" s="47"/>
      <c r="G376" s="50"/>
      <c r="H376" s="50"/>
    </row>
    <row r="377" ht="12.75" customHeight="1">
      <c r="A377" s="36">
        <f t="shared" si="2"/>
        <v>94</v>
      </c>
      <c r="B377" s="40">
        <f t="shared" si="3"/>
        <v>2</v>
      </c>
      <c r="C377" s="36">
        <f t="shared" si="1"/>
        <v>2</v>
      </c>
      <c r="D377" s="45">
        <v>8.244884564106586</v>
      </c>
      <c r="E377" s="47"/>
      <c r="G377" s="50"/>
      <c r="H377" s="50"/>
    </row>
    <row r="378" ht="12.75" customHeight="1">
      <c r="A378" s="36">
        <f t="shared" si="2"/>
        <v>95</v>
      </c>
      <c r="B378" s="40">
        <f t="shared" si="3"/>
        <v>1</v>
      </c>
      <c r="C378" s="36">
        <f t="shared" si="1"/>
        <v>1</v>
      </c>
      <c r="D378" s="45">
        <v>282.99045263418253</v>
      </c>
      <c r="E378" s="46"/>
      <c r="G378" s="50"/>
      <c r="H378" s="50"/>
    </row>
    <row r="379" ht="12.75" customHeight="1">
      <c r="A379" s="36">
        <f t="shared" si="2"/>
        <v>95</v>
      </c>
      <c r="B379" s="40">
        <f t="shared" si="3"/>
        <v>1</v>
      </c>
      <c r="C379" s="36">
        <f t="shared" si="1"/>
        <v>2</v>
      </c>
      <c r="D379" s="45">
        <v>69.75434083601287</v>
      </c>
      <c r="E379" s="47"/>
      <c r="G379" s="50"/>
      <c r="H379" s="50"/>
    </row>
    <row r="380" ht="12.75" customHeight="1">
      <c r="A380" s="36">
        <f t="shared" si="2"/>
        <v>95</v>
      </c>
      <c r="B380" s="40">
        <f t="shared" si="3"/>
        <v>2</v>
      </c>
      <c r="C380" s="36">
        <f t="shared" si="1"/>
        <v>1</v>
      </c>
      <c r="D380" s="45">
        <v>54.50435139325423</v>
      </c>
      <c r="E380" s="47"/>
      <c r="G380" s="50"/>
      <c r="H380" s="50"/>
    </row>
    <row r="381" ht="12.75" customHeight="1">
      <c r="A381" s="36">
        <f t="shared" si="2"/>
        <v>95</v>
      </c>
      <c r="B381" s="40">
        <f t="shared" si="3"/>
        <v>2</v>
      </c>
      <c r="C381" s="36">
        <f t="shared" si="1"/>
        <v>2</v>
      </c>
      <c r="D381" s="45">
        <v>8.244884564106586</v>
      </c>
      <c r="E381" s="47"/>
      <c r="G381" s="50"/>
      <c r="H381" s="50"/>
    </row>
    <row r="382" ht="12.75" customHeight="1">
      <c r="A382" s="36">
        <f t="shared" si="2"/>
        <v>96</v>
      </c>
      <c r="B382" s="40">
        <f t="shared" si="3"/>
        <v>1</v>
      </c>
      <c r="C382" s="36">
        <f t="shared" si="1"/>
        <v>1</v>
      </c>
      <c r="D382" s="45">
        <v>282.3069008162256</v>
      </c>
      <c r="E382" s="46"/>
      <c r="G382" s="50"/>
      <c r="H382" s="50"/>
    </row>
    <row r="383" ht="12.75" customHeight="1">
      <c r="A383" s="36">
        <f t="shared" si="2"/>
        <v>96</v>
      </c>
      <c r="B383" s="40">
        <f t="shared" si="3"/>
        <v>1</v>
      </c>
      <c r="C383" s="36">
        <f t="shared" si="1"/>
        <v>2</v>
      </c>
      <c r="D383" s="45">
        <v>69.58585209003216</v>
      </c>
      <c r="E383" s="47"/>
      <c r="G383" s="50"/>
      <c r="H383" s="50"/>
    </row>
    <row r="384" ht="12.75" customHeight="1">
      <c r="A384" s="36">
        <f t="shared" si="2"/>
        <v>96</v>
      </c>
      <c r="B384" s="40">
        <f t="shared" si="3"/>
        <v>2</v>
      </c>
      <c r="C384" s="36">
        <f t="shared" si="1"/>
        <v>1</v>
      </c>
      <c r="D384" s="45">
        <v>54.3726983705652</v>
      </c>
      <c r="E384" s="47"/>
      <c r="G384" s="50"/>
      <c r="H384" s="50"/>
    </row>
    <row r="385" ht="12.75" customHeight="1">
      <c r="A385" s="36">
        <f t="shared" si="2"/>
        <v>96</v>
      </c>
      <c r="B385" s="40">
        <f t="shared" si="3"/>
        <v>2</v>
      </c>
      <c r="C385" s="36">
        <f t="shared" si="1"/>
        <v>2</v>
      </c>
      <c r="D385" s="45">
        <v>8.22496938400005</v>
      </c>
      <c r="E385" s="47"/>
      <c r="G385" s="50"/>
      <c r="H385" s="50"/>
    </row>
    <row r="386" ht="12.75" customHeight="1">
      <c r="A386" s="36">
        <f t="shared" si="2"/>
        <v>97</v>
      </c>
      <c r="B386" s="40">
        <f t="shared" si="3"/>
        <v>1</v>
      </c>
      <c r="C386" s="36">
        <f t="shared" si="1"/>
        <v>1</v>
      </c>
      <c r="D386" s="45">
        <v>282.3069008162256</v>
      </c>
      <c r="E386" s="46"/>
      <c r="G386" s="50"/>
      <c r="H386" s="50"/>
    </row>
    <row r="387" ht="12.75" customHeight="1">
      <c r="A387" s="36">
        <f t="shared" si="2"/>
        <v>97</v>
      </c>
      <c r="B387" s="40">
        <f t="shared" si="3"/>
        <v>1</v>
      </c>
      <c r="C387" s="36">
        <f t="shared" si="1"/>
        <v>2</v>
      </c>
      <c r="D387" s="45">
        <v>69.58585209003216</v>
      </c>
      <c r="E387" s="47"/>
      <c r="G387" s="50"/>
      <c r="H387" s="50"/>
    </row>
    <row r="388" ht="12.75" customHeight="1">
      <c r="A388" s="36">
        <f t="shared" si="2"/>
        <v>97</v>
      </c>
      <c r="B388" s="40">
        <f t="shared" si="3"/>
        <v>2</v>
      </c>
      <c r="C388" s="36">
        <f t="shared" si="1"/>
        <v>1</v>
      </c>
      <c r="D388" s="45">
        <v>54.3726983705652</v>
      </c>
      <c r="E388" s="47"/>
      <c r="G388" s="50"/>
      <c r="H388" s="50"/>
    </row>
    <row r="389" ht="12.75" customHeight="1">
      <c r="A389" s="36">
        <f t="shared" si="2"/>
        <v>97</v>
      </c>
      <c r="B389" s="40">
        <f t="shared" si="3"/>
        <v>2</v>
      </c>
      <c r="C389" s="36">
        <f t="shared" si="1"/>
        <v>2</v>
      </c>
      <c r="D389" s="45">
        <v>8.22496938400005</v>
      </c>
      <c r="E389" s="47"/>
      <c r="G389" s="50"/>
      <c r="H389" s="50"/>
    </row>
    <row r="390" ht="12.75" customHeight="1">
      <c r="A390" s="36">
        <f t="shared" si="2"/>
        <v>98</v>
      </c>
      <c r="B390" s="40">
        <f t="shared" si="3"/>
        <v>1</v>
      </c>
      <c r="C390" s="36">
        <f t="shared" si="1"/>
        <v>1</v>
      </c>
      <c r="D390" s="45">
        <v>281.6233489982686</v>
      </c>
      <c r="E390" s="46"/>
      <c r="G390" s="50"/>
      <c r="H390" s="50"/>
    </row>
    <row r="391" ht="12.75" customHeight="1">
      <c r="A391" s="36">
        <f t="shared" si="2"/>
        <v>98</v>
      </c>
      <c r="B391" s="40">
        <f t="shared" si="3"/>
        <v>1</v>
      </c>
      <c r="C391" s="36">
        <f t="shared" si="1"/>
        <v>2</v>
      </c>
      <c r="D391" s="45">
        <v>69.41736334405145</v>
      </c>
      <c r="E391" s="47"/>
      <c r="G391" s="50"/>
      <c r="H391" s="50"/>
    </row>
    <row r="392" ht="12.75" customHeight="1">
      <c r="A392" s="36">
        <f t="shared" si="2"/>
        <v>98</v>
      </c>
      <c r="B392" s="40">
        <f t="shared" si="3"/>
        <v>2</v>
      </c>
      <c r="C392" s="36">
        <f t="shared" si="1"/>
        <v>1</v>
      </c>
      <c r="D392" s="45">
        <v>54.24104534787619</v>
      </c>
      <c r="E392" s="47"/>
      <c r="G392" s="50"/>
      <c r="H392" s="50"/>
    </row>
    <row r="393" ht="12.75" customHeight="1">
      <c r="A393" s="36">
        <f t="shared" si="2"/>
        <v>98</v>
      </c>
      <c r="B393" s="40">
        <f t="shared" si="3"/>
        <v>2</v>
      </c>
      <c r="C393" s="36">
        <f t="shared" si="1"/>
        <v>2</v>
      </c>
      <c r="D393" s="45">
        <v>8.20505420389351</v>
      </c>
      <c r="E393" s="47"/>
      <c r="G393" s="50"/>
      <c r="H393" s="50"/>
    </row>
    <row r="394" ht="12.75" customHeight="1">
      <c r="A394" s="36">
        <f t="shared" si="2"/>
        <v>99</v>
      </c>
      <c r="B394" s="40">
        <f t="shared" si="3"/>
        <v>1</v>
      </c>
      <c r="C394" s="36">
        <f t="shared" si="1"/>
        <v>1</v>
      </c>
      <c r="D394" s="45">
        <v>281.6233489982686</v>
      </c>
      <c r="E394" s="46"/>
      <c r="G394" s="50"/>
      <c r="H394" s="50"/>
    </row>
    <row r="395" ht="12.75" customHeight="1">
      <c r="A395" s="36">
        <f t="shared" si="2"/>
        <v>99</v>
      </c>
      <c r="B395" s="40">
        <f t="shared" si="3"/>
        <v>1</v>
      </c>
      <c r="C395" s="36">
        <f t="shared" si="1"/>
        <v>2</v>
      </c>
      <c r="D395" s="45">
        <v>69.41736334405145</v>
      </c>
      <c r="E395" s="47"/>
      <c r="G395" s="50"/>
      <c r="H395" s="50"/>
    </row>
    <row r="396" ht="12.75" customHeight="1">
      <c r="A396" s="36">
        <f t="shared" si="2"/>
        <v>99</v>
      </c>
      <c r="B396" s="40">
        <f t="shared" si="3"/>
        <v>2</v>
      </c>
      <c r="C396" s="36">
        <f t="shared" si="1"/>
        <v>1</v>
      </c>
      <c r="D396" s="45">
        <v>54.24104534787619</v>
      </c>
      <c r="E396" s="47"/>
      <c r="G396" s="50"/>
      <c r="H396" s="50"/>
    </row>
    <row r="397" ht="12.75" customHeight="1">
      <c r="A397" s="36">
        <f t="shared" si="2"/>
        <v>99</v>
      </c>
      <c r="B397" s="40">
        <f t="shared" si="3"/>
        <v>2</v>
      </c>
      <c r="C397" s="36">
        <f t="shared" si="1"/>
        <v>2</v>
      </c>
      <c r="D397" s="45">
        <v>8.20505420389351</v>
      </c>
      <c r="E397" s="47"/>
      <c r="G397" s="50"/>
      <c r="H397" s="50"/>
    </row>
    <row r="398" ht="12.75" customHeight="1">
      <c r="A398" s="36">
        <f t="shared" si="2"/>
        <v>100</v>
      </c>
      <c r="B398" s="40">
        <f t="shared" si="3"/>
        <v>1</v>
      </c>
      <c r="C398" s="36">
        <f t="shared" si="1"/>
        <v>1</v>
      </c>
      <c r="D398" s="45">
        <v>281.6233489982686</v>
      </c>
      <c r="E398" s="46"/>
      <c r="G398" s="50"/>
      <c r="H398" s="50"/>
    </row>
    <row r="399" ht="12.75" customHeight="1">
      <c r="A399" s="36">
        <f t="shared" si="2"/>
        <v>100</v>
      </c>
      <c r="B399" s="40">
        <f t="shared" si="3"/>
        <v>1</v>
      </c>
      <c r="C399" s="36">
        <f t="shared" si="1"/>
        <v>2</v>
      </c>
      <c r="D399" s="45">
        <v>69.41736334405145</v>
      </c>
      <c r="E399" s="47"/>
      <c r="G399" s="50"/>
      <c r="H399" s="50"/>
    </row>
    <row r="400" ht="12.75" customHeight="1">
      <c r="A400" s="36">
        <f t="shared" si="2"/>
        <v>100</v>
      </c>
      <c r="B400" s="40">
        <f t="shared" si="3"/>
        <v>2</v>
      </c>
      <c r="C400" s="36">
        <f t="shared" si="1"/>
        <v>1</v>
      </c>
      <c r="D400" s="45">
        <v>54.24104534787619</v>
      </c>
      <c r="E400" s="47"/>
      <c r="G400" s="50"/>
      <c r="H400" s="50"/>
    </row>
    <row r="401" ht="12.75" customHeight="1">
      <c r="A401" s="36">
        <f t="shared" si="2"/>
        <v>100</v>
      </c>
      <c r="B401" s="40">
        <f t="shared" si="3"/>
        <v>2</v>
      </c>
      <c r="C401" s="36">
        <f t="shared" si="1"/>
        <v>2</v>
      </c>
      <c r="D401" s="45">
        <v>8.20505420389351</v>
      </c>
      <c r="E401" s="47"/>
      <c r="G401" s="50"/>
      <c r="H401" s="50"/>
    </row>
    <row r="402" ht="12.75" customHeight="1">
      <c r="A402" s="36">
        <f t="shared" si="2"/>
        <v>101</v>
      </c>
      <c r="B402" s="40">
        <f t="shared" si="3"/>
        <v>1</v>
      </c>
      <c r="C402" s="36">
        <f t="shared" si="1"/>
        <v>1</v>
      </c>
      <c r="D402" s="45">
        <v>280.93979718031164</v>
      </c>
      <c r="E402" s="46"/>
      <c r="G402" s="50"/>
      <c r="H402" s="50"/>
    </row>
    <row r="403" ht="12.75" customHeight="1">
      <c r="A403" s="36">
        <f t="shared" si="2"/>
        <v>101</v>
      </c>
      <c r="B403" s="40">
        <f t="shared" si="3"/>
        <v>1</v>
      </c>
      <c r="C403" s="36">
        <f t="shared" si="1"/>
        <v>2</v>
      </c>
      <c r="D403" s="45">
        <v>69.24887459807076</v>
      </c>
      <c r="E403" s="47"/>
      <c r="G403" s="50"/>
      <c r="H403" s="50"/>
    </row>
    <row r="404" ht="12.75" customHeight="1">
      <c r="A404" s="36">
        <f t="shared" si="2"/>
        <v>101</v>
      </c>
      <c r="B404" s="40">
        <f t="shared" si="3"/>
        <v>2</v>
      </c>
      <c r="C404" s="36">
        <f t="shared" si="1"/>
        <v>1</v>
      </c>
      <c r="D404" s="45">
        <v>54.109392325187166</v>
      </c>
      <c r="E404" s="47"/>
      <c r="G404" s="50"/>
      <c r="H404" s="50"/>
    </row>
    <row r="405" ht="12.75" customHeight="1">
      <c r="A405" s="36">
        <f t="shared" si="2"/>
        <v>101</v>
      </c>
      <c r="B405" s="40">
        <f t="shared" si="3"/>
        <v>2</v>
      </c>
      <c r="C405" s="36">
        <f t="shared" si="1"/>
        <v>2</v>
      </c>
      <c r="D405" s="45">
        <v>8.185139023786974</v>
      </c>
      <c r="E405" s="47"/>
      <c r="G405" s="50"/>
      <c r="H405" s="50"/>
    </row>
    <row r="406" ht="12.75" customHeight="1">
      <c r="A406" s="36">
        <f t="shared" si="2"/>
        <v>102</v>
      </c>
      <c r="B406" s="40">
        <f t="shared" si="3"/>
        <v>1</v>
      </c>
      <c r="C406" s="36">
        <f t="shared" si="1"/>
        <v>1</v>
      </c>
      <c r="D406" s="45">
        <v>280.93979718031164</v>
      </c>
      <c r="E406" s="46"/>
      <c r="G406" s="50"/>
      <c r="H406" s="50"/>
    </row>
    <row r="407" ht="12.75" customHeight="1">
      <c r="A407" s="36">
        <f t="shared" si="2"/>
        <v>102</v>
      </c>
      <c r="B407" s="40">
        <f t="shared" si="3"/>
        <v>1</v>
      </c>
      <c r="C407" s="36">
        <f t="shared" si="1"/>
        <v>2</v>
      </c>
      <c r="D407" s="45">
        <v>69.24887459807076</v>
      </c>
      <c r="E407" s="47"/>
      <c r="G407" s="50"/>
      <c r="H407" s="50"/>
    </row>
    <row r="408" ht="12.75" customHeight="1">
      <c r="A408" s="36">
        <f t="shared" si="2"/>
        <v>102</v>
      </c>
      <c r="B408" s="40">
        <f t="shared" si="3"/>
        <v>2</v>
      </c>
      <c r="C408" s="36">
        <f t="shared" si="1"/>
        <v>1</v>
      </c>
      <c r="D408" s="45">
        <v>54.109392325187166</v>
      </c>
      <c r="E408" s="47"/>
      <c r="G408" s="50"/>
      <c r="H408" s="50"/>
    </row>
    <row r="409" ht="12.75" customHeight="1">
      <c r="A409" s="36">
        <f t="shared" si="2"/>
        <v>102</v>
      </c>
      <c r="B409" s="40">
        <f t="shared" si="3"/>
        <v>2</v>
      </c>
      <c r="C409" s="36">
        <f t="shared" si="1"/>
        <v>2</v>
      </c>
      <c r="D409" s="45">
        <v>8.185139023786974</v>
      </c>
      <c r="E409" s="47"/>
      <c r="G409" s="50"/>
      <c r="H409" s="50"/>
    </row>
    <row r="410" ht="12.75" customHeight="1">
      <c r="A410" s="36">
        <f t="shared" si="2"/>
        <v>103</v>
      </c>
      <c r="B410" s="40">
        <f t="shared" si="3"/>
        <v>1</v>
      </c>
      <c r="C410" s="36">
        <f t="shared" si="1"/>
        <v>1</v>
      </c>
      <c r="D410" s="45">
        <v>280.2562453623547</v>
      </c>
      <c r="E410" s="46"/>
      <c r="G410" s="50"/>
      <c r="H410" s="50"/>
    </row>
    <row r="411" ht="12.75" customHeight="1">
      <c r="A411" s="36">
        <f t="shared" si="2"/>
        <v>103</v>
      </c>
      <c r="B411" s="40">
        <f t="shared" si="3"/>
        <v>1</v>
      </c>
      <c r="C411" s="36">
        <f t="shared" si="1"/>
        <v>2</v>
      </c>
      <c r="D411" s="45">
        <v>69.08038585209003</v>
      </c>
      <c r="E411" s="47"/>
      <c r="G411" s="50"/>
      <c r="H411" s="50"/>
    </row>
    <row r="412" ht="12.75" customHeight="1">
      <c r="A412" s="36">
        <f t="shared" si="2"/>
        <v>103</v>
      </c>
      <c r="B412" s="40">
        <f t="shared" si="3"/>
        <v>2</v>
      </c>
      <c r="C412" s="36">
        <f t="shared" si="1"/>
        <v>1</v>
      </c>
      <c r="D412" s="45">
        <v>53.977739302498144</v>
      </c>
      <c r="E412" s="47"/>
      <c r="G412" s="50"/>
      <c r="H412" s="50"/>
    </row>
    <row r="413" ht="12.75" customHeight="1">
      <c r="A413" s="36">
        <f t="shared" si="2"/>
        <v>103</v>
      </c>
      <c r="B413" s="40">
        <f t="shared" si="3"/>
        <v>2</v>
      </c>
      <c r="C413" s="36">
        <f t="shared" si="1"/>
        <v>2</v>
      </c>
      <c r="D413" s="45">
        <v>8.165223843680435</v>
      </c>
      <c r="E413" s="47"/>
      <c r="G413" s="50"/>
      <c r="H413" s="50"/>
    </row>
    <row r="414" ht="12.75" customHeight="1">
      <c r="A414" s="36">
        <f t="shared" si="2"/>
        <v>104</v>
      </c>
      <c r="B414" s="40">
        <f t="shared" si="3"/>
        <v>1</v>
      </c>
      <c r="C414" s="36">
        <f t="shared" si="1"/>
        <v>1</v>
      </c>
      <c r="D414" s="45">
        <v>280.2562453623547</v>
      </c>
      <c r="E414" s="46"/>
      <c r="G414" s="50"/>
      <c r="H414" s="50"/>
    </row>
    <row r="415" ht="12.75" customHeight="1">
      <c r="A415" s="36">
        <f t="shared" si="2"/>
        <v>104</v>
      </c>
      <c r="B415" s="40">
        <f t="shared" si="3"/>
        <v>1</v>
      </c>
      <c r="C415" s="36">
        <f t="shared" si="1"/>
        <v>2</v>
      </c>
      <c r="D415" s="45">
        <v>69.08038585209003</v>
      </c>
      <c r="E415" s="47"/>
      <c r="G415" s="50"/>
      <c r="H415" s="50"/>
    </row>
    <row r="416" ht="12.75" customHeight="1">
      <c r="A416" s="36">
        <f t="shared" si="2"/>
        <v>104</v>
      </c>
      <c r="B416" s="40">
        <f t="shared" si="3"/>
        <v>2</v>
      </c>
      <c r="C416" s="36">
        <f t="shared" si="1"/>
        <v>1</v>
      </c>
      <c r="D416" s="45">
        <v>53.977739302498144</v>
      </c>
      <c r="E416" s="47"/>
      <c r="G416" s="50"/>
      <c r="H416" s="50"/>
    </row>
    <row r="417" ht="12.75" customHeight="1">
      <c r="A417" s="36">
        <f t="shared" si="2"/>
        <v>104</v>
      </c>
      <c r="B417" s="40">
        <f t="shared" si="3"/>
        <v>2</v>
      </c>
      <c r="C417" s="36">
        <f t="shared" si="1"/>
        <v>2</v>
      </c>
      <c r="D417" s="45">
        <v>8.165223843680435</v>
      </c>
      <c r="E417" s="47"/>
      <c r="G417" s="50"/>
      <c r="H417" s="50"/>
    </row>
    <row r="418" ht="12.75" customHeight="1">
      <c r="A418" s="36">
        <f t="shared" si="2"/>
        <v>105</v>
      </c>
      <c r="B418" s="40">
        <f t="shared" si="3"/>
        <v>1</v>
      </c>
      <c r="C418" s="36">
        <f t="shared" si="1"/>
        <v>1</v>
      </c>
      <c r="D418" s="45">
        <v>280.2562453623547</v>
      </c>
      <c r="E418" s="46"/>
      <c r="G418" s="50"/>
      <c r="H418" s="50"/>
    </row>
    <row r="419" ht="12.75" customHeight="1">
      <c r="A419" s="36">
        <f t="shared" si="2"/>
        <v>105</v>
      </c>
      <c r="B419" s="40">
        <f t="shared" si="3"/>
        <v>1</v>
      </c>
      <c r="C419" s="36">
        <f t="shared" si="1"/>
        <v>2</v>
      </c>
      <c r="D419" s="45">
        <v>69.08038585209003</v>
      </c>
      <c r="E419" s="47"/>
      <c r="G419" s="50"/>
      <c r="H419" s="50"/>
    </row>
    <row r="420" ht="12.75" customHeight="1">
      <c r="A420" s="36">
        <f t="shared" si="2"/>
        <v>105</v>
      </c>
      <c r="B420" s="40">
        <f t="shared" si="3"/>
        <v>2</v>
      </c>
      <c r="C420" s="36">
        <f t="shared" si="1"/>
        <v>1</v>
      </c>
      <c r="D420" s="45">
        <v>53.977739302498144</v>
      </c>
      <c r="E420" s="47"/>
      <c r="G420" s="50"/>
      <c r="H420" s="50"/>
    </row>
    <row r="421" ht="12.75" customHeight="1">
      <c r="A421" s="36">
        <f t="shared" si="2"/>
        <v>105</v>
      </c>
      <c r="B421" s="40">
        <f t="shared" si="3"/>
        <v>2</v>
      </c>
      <c r="C421" s="36">
        <f t="shared" si="1"/>
        <v>2</v>
      </c>
      <c r="D421" s="45">
        <v>8.165223843680435</v>
      </c>
      <c r="E421" s="47"/>
      <c r="G421" s="50"/>
      <c r="H421" s="50"/>
    </row>
    <row r="422" ht="12.75" customHeight="1">
      <c r="A422" s="36">
        <f t="shared" si="2"/>
        <v>106</v>
      </c>
      <c r="B422" s="40">
        <f t="shared" si="3"/>
        <v>1</v>
      </c>
      <c r="C422" s="36">
        <f t="shared" si="1"/>
        <v>1</v>
      </c>
      <c r="D422" s="45">
        <v>279.57269354439774</v>
      </c>
      <c r="E422" s="46"/>
      <c r="G422" s="50"/>
      <c r="H422" s="50"/>
    </row>
    <row r="423" ht="12.75" customHeight="1">
      <c r="A423" s="36">
        <f t="shared" si="2"/>
        <v>106</v>
      </c>
      <c r="B423" s="40">
        <f t="shared" si="3"/>
        <v>1</v>
      </c>
      <c r="C423" s="36">
        <f t="shared" si="1"/>
        <v>2</v>
      </c>
      <c r="D423" s="45">
        <v>68.91189710610932</v>
      </c>
      <c r="E423" s="47"/>
      <c r="G423" s="50"/>
      <c r="H423" s="50"/>
    </row>
    <row r="424" ht="12.75" customHeight="1">
      <c r="A424" s="36">
        <f t="shared" si="2"/>
        <v>106</v>
      </c>
      <c r="B424" s="40">
        <f t="shared" si="3"/>
        <v>2</v>
      </c>
      <c r="C424" s="36">
        <f t="shared" si="1"/>
        <v>1</v>
      </c>
      <c r="D424" s="45">
        <v>53.84608627980913</v>
      </c>
      <c r="E424" s="47"/>
      <c r="G424" s="50"/>
      <c r="H424" s="50"/>
    </row>
    <row r="425" ht="12.75" customHeight="1">
      <c r="A425" s="36">
        <f t="shared" si="2"/>
        <v>106</v>
      </c>
      <c r="B425" s="40">
        <f t="shared" si="3"/>
        <v>2</v>
      </c>
      <c r="C425" s="36">
        <f t="shared" si="1"/>
        <v>2</v>
      </c>
      <c r="D425" s="45">
        <v>8.145308663573898</v>
      </c>
      <c r="E425" s="47"/>
      <c r="G425" s="50"/>
      <c r="H425" s="50"/>
    </row>
    <row r="426" ht="12.75" customHeight="1">
      <c r="A426" s="36">
        <f t="shared" si="2"/>
        <v>107</v>
      </c>
      <c r="B426" s="40">
        <f t="shared" si="3"/>
        <v>1</v>
      </c>
      <c r="C426" s="36">
        <f t="shared" si="1"/>
        <v>1</v>
      </c>
      <c r="D426" s="45">
        <v>279.57269354439774</v>
      </c>
      <c r="E426" s="46"/>
      <c r="G426" s="50"/>
      <c r="H426" s="50"/>
    </row>
    <row r="427" ht="12.75" customHeight="1">
      <c r="A427" s="36">
        <f t="shared" si="2"/>
        <v>107</v>
      </c>
      <c r="B427" s="40">
        <f t="shared" si="3"/>
        <v>1</v>
      </c>
      <c r="C427" s="36">
        <f t="shared" si="1"/>
        <v>2</v>
      </c>
      <c r="D427" s="45">
        <v>68.91189710610932</v>
      </c>
      <c r="E427" s="47"/>
      <c r="G427" s="50"/>
      <c r="H427" s="50"/>
    </row>
    <row r="428" ht="12.75" customHeight="1">
      <c r="A428" s="36">
        <f t="shared" si="2"/>
        <v>107</v>
      </c>
      <c r="B428" s="40">
        <f t="shared" si="3"/>
        <v>2</v>
      </c>
      <c r="C428" s="36">
        <f t="shared" si="1"/>
        <v>1</v>
      </c>
      <c r="D428" s="45">
        <v>53.84608627980913</v>
      </c>
      <c r="E428" s="47"/>
      <c r="G428" s="50"/>
      <c r="H428" s="50"/>
    </row>
    <row r="429" ht="12.75" customHeight="1">
      <c r="A429" s="36">
        <f t="shared" si="2"/>
        <v>107</v>
      </c>
      <c r="B429" s="40">
        <f t="shared" si="3"/>
        <v>2</v>
      </c>
      <c r="C429" s="36">
        <f t="shared" si="1"/>
        <v>2</v>
      </c>
      <c r="D429" s="45">
        <v>8.145308663573898</v>
      </c>
      <c r="E429" s="47"/>
      <c r="G429" s="50"/>
      <c r="H429" s="50"/>
    </row>
    <row r="430" ht="12.75" customHeight="1">
      <c r="A430" s="36">
        <f t="shared" si="2"/>
        <v>108</v>
      </c>
      <c r="B430" s="40">
        <f t="shared" si="3"/>
        <v>1</v>
      </c>
      <c r="C430" s="36">
        <f t="shared" si="1"/>
        <v>1</v>
      </c>
      <c r="D430" s="45">
        <v>278.88914172644076</v>
      </c>
      <c r="E430" s="46"/>
      <c r="G430" s="50"/>
      <c r="H430" s="50"/>
    </row>
    <row r="431" ht="12.75" customHeight="1">
      <c r="A431" s="36">
        <f t="shared" si="2"/>
        <v>108</v>
      </c>
      <c r="B431" s="40">
        <f t="shared" si="3"/>
        <v>1</v>
      </c>
      <c r="C431" s="36">
        <f t="shared" si="1"/>
        <v>2</v>
      </c>
      <c r="D431" s="45">
        <v>68.74340836012863</v>
      </c>
      <c r="E431" s="47"/>
      <c r="G431" s="50"/>
      <c r="H431" s="50"/>
    </row>
    <row r="432" ht="12.75" customHeight="1">
      <c r="A432" s="36">
        <f t="shared" si="2"/>
        <v>108</v>
      </c>
      <c r="B432" s="40">
        <f t="shared" si="3"/>
        <v>2</v>
      </c>
      <c r="C432" s="36">
        <f t="shared" si="1"/>
        <v>1</v>
      </c>
      <c r="D432" s="45">
        <v>53.714433257120106</v>
      </c>
      <c r="E432" s="47"/>
      <c r="G432" s="50"/>
      <c r="H432" s="50"/>
    </row>
    <row r="433" ht="12.75" customHeight="1">
      <c r="A433" s="36">
        <f t="shared" si="2"/>
        <v>108</v>
      </c>
      <c r="B433" s="40">
        <f t="shared" si="3"/>
        <v>2</v>
      </c>
      <c r="C433" s="36">
        <f t="shared" si="1"/>
        <v>2</v>
      </c>
      <c r="D433" s="45">
        <v>8.125393483467361</v>
      </c>
      <c r="E433" s="47"/>
      <c r="G433" s="50"/>
      <c r="H433" s="50"/>
    </row>
    <row r="434" ht="12.75" customHeight="1">
      <c r="D434" s="45"/>
    </row>
    <row r="435" ht="12.75" customHeight="1">
      <c r="D435" s="45"/>
    </row>
    <row r="436" ht="12.75" customHeight="1">
      <c r="D436" s="45"/>
    </row>
    <row r="437" ht="12.75" customHeight="1">
      <c r="D437" s="45"/>
    </row>
    <row r="438" ht="12.75" customHeight="1">
      <c r="D438" s="45"/>
    </row>
    <row r="439" ht="12.75" customHeight="1">
      <c r="D439" s="45"/>
    </row>
    <row r="440" ht="12.75" customHeight="1">
      <c r="D440" s="45"/>
    </row>
    <row r="441" ht="12.75" customHeight="1">
      <c r="D441" s="45"/>
    </row>
    <row r="442" ht="12.75" customHeight="1">
      <c r="D442" s="45"/>
    </row>
    <row r="443" ht="12.75" customHeight="1">
      <c r="D443" s="45"/>
    </row>
    <row r="444" ht="12.75" customHeight="1">
      <c r="D444" s="45"/>
    </row>
    <row r="445" ht="12.75" customHeight="1">
      <c r="D445" s="45"/>
    </row>
    <row r="446" ht="12.75" customHeight="1">
      <c r="D446" s="45"/>
    </row>
    <row r="447" ht="12.75" customHeight="1">
      <c r="D447" s="45"/>
    </row>
    <row r="448" ht="12.75" customHeight="1">
      <c r="D448" s="45"/>
    </row>
    <row r="449" ht="12.75" customHeight="1">
      <c r="D449" s="45"/>
    </row>
    <row r="450" ht="12.75" customHeight="1">
      <c r="D450" s="45"/>
    </row>
    <row r="451" ht="12.75" customHeight="1">
      <c r="D451" s="45"/>
    </row>
    <row r="452" ht="12.75" customHeight="1">
      <c r="D452" s="45"/>
    </row>
    <row r="453" ht="12.75" customHeight="1">
      <c r="D453" s="45"/>
    </row>
    <row r="454" ht="12.75" customHeight="1">
      <c r="D454" s="45"/>
    </row>
    <row r="455" ht="12.75" customHeight="1">
      <c r="D455" s="45"/>
    </row>
    <row r="456" ht="12.75" customHeight="1">
      <c r="D456" s="45"/>
    </row>
    <row r="457" ht="12.75" customHeight="1">
      <c r="D457" s="45"/>
    </row>
    <row r="458" ht="12.75" customHeight="1">
      <c r="D458" s="45"/>
    </row>
    <row r="459" ht="12.75" customHeight="1">
      <c r="D459" s="45"/>
    </row>
    <row r="460" ht="12.75" customHeight="1">
      <c r="D460" s="45"/>
    </row>
    <row r="461" ht="12.75" customHeight="1">
      <c r="D461" s="45"/>
    </row>
    <row r="462" ht="12.75" customHeight="1">
      <c r="D462" s="45"/>
    </row>
    <row r="463" ht="12.75" customHeight="1">
      <c r="D463" s="45"/>
    </row>
    <row r="464" ht="12.75" customHeight="1">
      <c r="D464" s="45"/>
    </row>
    <row r="465" ht="12.75" customHeight="1">
      <c r="D465" s="45"/>
    </row>
    <row r="466" ht="12.75" customHeight="1">
      <c r="D466" s="45"/>
    </row>
    <row r="467" ht="12.75" customHeight="1">
      <c r="D467" s="45"/>
    </row>
    <row r="468" ht="12.75" customHeight="1">
      <c r="D468" s="45"/>
    </row>
    <row r="469" ht="12.75" customHeight="1">
      <c r="D469" s="45"/>
    </row>
    <row r="470" ht="12.75" customHeight="1">
      <c r="D470" s="45"/>
    </row>
    <row r="471" ht="12.75" customHeight="1">
      <c r="D471" s="45"/>
    </row>
    <row r="472" ht="12.75" customHeight="1">
      <c r="D472" s="45"/>
    </row>
    <row r="473" ht="12.75" customHeight="1">
      <c r="D473" s="45"/>
    </row>
    <row r="474" ht="12.75" customHeight="1">
      <c r="D474" s="45"/>
    </row>
    <row r="475" ht="12.75" customHeight="1">
      <c r="D475" s="45"/>
    </row>
    <row r="476" ht="12.75" customHeight="1">
      <c r="D476" s="45"/>
    </row>
    <row r="477" ht="12.75" customHeight="1">
      <c r="D477" s="45"/>
    </row>
    <row r="478" ht="12.75" customHeight="1">
      <c r="D478" s="45"/>
    </row>
    <row r="479" ht="12.75" customHeight="1">
      <c r="D479" s="45"/>
    </row>
    <row r="480" ht="12.75" customHeight="1">
      <c r="D480" s="45"/>
    </row>
    <row r="481" ht="12.75" customHeight="1">
      <c r="D481" s="45"/>
    </row>
    <row r="482" ht="12.75" customHeight="1">
      <c r="D482" s="45"/>
    </row>
    <row r="483" ht="12.75" customHeight="1">
      <c r="D483" s="45"/>
    </row>
    <row r="484" ht="12.75" customHeight="1">
      <c r="D484" s="45"/>
    </row>
    <row r="485" ht="12.75" customHeight="1">
      <c r="D485" s="45"/>
    </row>
    <row r="486" ht="12.75" customHeight="1">
      <c r="D486" s="45"/>
    </row>
    <row r="487" ht="12.75" customHeight="1">
      <c r="D487" s="45"/>
    </row>
    <row r="488" ht="12.75" customHeight="1">
      <c r="D488" s="45"/>
    </row>
    <row r="489" ht="12.75" customHeight="1">
      <c r="D489" s="45"/>
    </row>
    <row r="490" ht="12.75" customHeight="1">
      <c r="D490" s="45"/>
    </row>
    <row r="491" ht="12.75" customHeight="1">
      <c r="D491" s="45"/>
    </row>
    <row r="492" ht="12.75" customHeight="1">
      <c r="D492" s="45"/>
    </row>
    <row r="493" ht="12.75" customHeight="1">
      <c r="D493" s="45"/>
    </row>
    <row r="494" ht="12.75" customHeight="1">
      <c r="D494" s="45"/>
    </row>
    <row r="495" ht="12.75" customHeight="1">
      <c r="D495" s="45"/>
    </row>
    <row r="496" ht="12.75" customHeight="1">
      <c r="D496" s="45"/>
    </row>
    <row r="497" ht="12.75" customHeight="1">
      <c r="D497" s="45"/>
    </row>
    <row r="498" ht="12.75" customHeight="1">
      <c r="D498" s="45"/>
    </row>
    <row r="499" ht="12.75" customHeight="1">
      <c r="D499" s="45"/>
    </row>
    <row r="500" ht="12.75" customHeight="1">
      <c r="D500" s="45"/>
    </row>
    <row r="501" ht="12.75" customHeight="1">
      <c r="D501" s="45"/>
    </row>
    <row r="502" ht="12.75" customHeight="1">
      <c r="D502" s="45"/>
    </row>
    <row r="503" ht="12.75" customHeight="1">
      <c r="D503" s="45"/>
    </row>
    <row r="504" ht="12.75" customHeight="1">
      <c r="D504" s="45"/>
    </row>
    <row r="505" ht="12.75" customHeight="1">
      <c r="D505" s="45"/>
    </row>
    <row r="506" ht="12.75" customHeight="1">
      <c r="D506" s="45"/>
    </row>
    <row r="507" ht="12.75" customHeight="1">
      <c r="D507" s="45"/>
    </row>
    <row r="508" ht="12.75" customHeight="1">
      <c r="D508" s="45"/>
    </row>
    <row r="509" ht="12.75" customHeight="1">
      <c r="D509" s="45"/>
    </row>
    <row r="510" ht="12.75" customHeight="1">
      <c r="D510" s="45"/>
    </row>
    <row r="511" ht="12.75" customHeight="1">
      <c r="D511" s="45"/>
    </row>
    <row r="512" ht="12.75" customHeight="1">
      <c r="D512" s="45"/>
    </row>
    <row r="513" ht="12.75" customHeight="1">
      <c r="D513" s="45"/>
    </row>
    <row r="514" ht="12.75" customHeight="1">
      <c r="D514" s="45"/>
    </row>
    <row r="515" ht="12.75" customHeight="1">
      <c r="D515" s="45"/>
    </row>
    <row r="516" ht="12.75" customHeight="1">
      <c r="D516" s="45"/>
    </row>
    <row r="517" ht="12.75" customHeight="1">
      <c r="D517" s="45"/>
    </row>
    <row r="518" ht="12.75" customHeight="1">
      <c r="D518" s="45"/>
    </row>
    <row r="519" ht="12.75" customHeight="1">
      <c r="D519" s="45"/>
    </row>
    <row r="520" ht="12.75" customHeight="1">
      <c r="D520" s="45"/>
    </row>
    <row r="521" ht="12.75" customHeight="1">
      <c r="D521" s="45"/>
    </row>
    <row r="522" ht="12.75" customHeight="1">
      <c r="D522" s="45"/>
    </row>
    <row r="523" ht="12.75" customHeight="1">
      <c r="D523" s="45"/>
    </row>
    <row r="524" ht="12.75" customHeight="1">
      <c r="D524" s="45"/>
    </row>
    <row r="525" ht="12.75" customHeight="1">
      <c r="D525" s="45"/>
    </row>
    <row r="526" ht="12.75" customHeight="1">
      <c r="D526" s="45"/>
    </row>
    <row r="527" ht="12.75" customHeight="1">
      <c r="D527" s="45"/>
    </row>
    <row r="528" ht="12.75" customHeight="1">
      <c r="D528" s="45"/>
    </row>
    <row r="529" ht="12.75" customHeight="1">
      <c r="D529" s="45"/>
    </row>
    <row r="530" ht="12.75" customHeight="1">
      <c r="D530" s="45"/>
    </row>
    <row r="531" ht="12.75" customHeight="1">
      <c r="D531" s="45"/>
    </row>
    <row r="532" ht="12.75" customHeight="1">
      <c r="D532" s="45"/>
    </row>
    <row r="533" ht="12.75" customHeight="1">
      <c r="D533" s="45"/>
    </row>
    <row r="534" ht="12.75" customHeight="1">
      <c r="D534" s="45"/>
    </row>
    <row r="535" ht="12.75" customHeight="1">
      <c r="D535" s="45"/>
    </row>
    <row r="536" ht="12.75" customHeight="1">
      <c r="D536" s="45"/>
    </row>
    <row r="537" ht="12.75" customHeight="1">
      <c r="D537" s="45"/>
    </row>
    <row r="538" ht="12.75" customHeight="1">
      <c r="D538" s="45"/>
    </row>
    <row r="539" ht="12.75" customHeight="1">
      <c r="D539" s="45"/>
    </row>
    <row r="540" ht="12.75" customHeight="1">
      <c r="D540" s="45"/>
    </row>
    <row r="541" ht="12.75" customHeight="1">
      <c r="D541" s="45"/>
    </row>
    <row r="542" ht="12.75" customHeight="1">
      <c r="D542" s="45"/>
    </row>
    <row r="543" ht="12.75" customHeight="1">
      <c r="D543" s="45"/>
    </row>
    <row r="544" ht="12.75" customHeight="1">
      <c r="D544" s="45"/>
    </row>
    <row r="545" ht="12.75" customHeight="1">
      <c r="D545" s="45"/>
    </row>
    <row r="546" ht="12.75" customHeight="1">
      <c r="D546" s="45"/>
    </row>
    <row r="547" ht="12.75" customHeight="1">
      <c r="D547" s="45"/>
    </row>
    <row r="548" ht="12.75" customHeight="1">
      <c r="D548" s="45"/>
    </row>
    <row r="549" ht="12.75" customHeight="1">
      <c r="D549" s="45"/>
    </row>
    <row r="550" ht="12.75" customHeight="1">
      <c r="D550" s="45"/>
    </row>
    <row r="551" ht="12.75" customHeight="1">
      <c r="D551" s="45"/>
    </row>
    <row r="552" ht="12.75" customHeight="1">
      <c r="D552" s="45"/>
    </row>
    <row r="553" ht="12.75" customHeight="1">
      <c r="D553" s="45"/>
    </row>
    <row r="554" ht="12.75" customHeight="1">
      <c r="D554" s="45"/>
    </row>
    <row r="555" ht="12.75" customHeight="1">
      <c r="D555" s="45"/>
    </row>
    <row r="556" ht="12.75" customHeight="1">
      <c r="D556" s="45"/>
    </row>
    <row r="557" ht="12.75" customHeight="1">
      <c r="D557" s="45"/>
    </row>
    <row r="558" ht="12.75" customHeight="1">
      <c r="D558" s="45"/>
    </row>
    <row r="559" ht="12.75" customHeight="1">
      <c r="D559" s="45"/>
    </row>
    <row r="560" ht="12.75" customHeight="1">
      <c r="D560" s="45"/>
    </row>
    <row r="561" ht="12.75" customHeight="1">
      <c r="D561" s="45"/>
    </row>
    <row r="562" ht="12.75" customHeight="1">
      <c r="D562" s="45"/>
    </row>
    <row r="563" ht="12.75" customHeight="1">
      <c r="D563" s="45"/>
    </row>
    <row r="564" ht="12.75" customHeight="1">
      <c r="D564" s="45"/>
    </row>
    <row r="565" ht="12.75" customHeight="1">
      <c r="D565" s="45"/>
    </row>
    <row r="566" ht="12.75" customHeight="1">
      <c r="D566" s="45"/>
    </row>
    <row r="567" ht="12.75" customHeight="1">
      <c r="D567" s="45"/>
    </row>
    <row r="568" ht="12.75" customHeight="1">
      <c r="D568" s="45"/>
    </row>
    <row r="569" ht="12.75" customHeight="1">
      <c r="D569" s="45"/>
    </row>
    <row r="570" ht="12.75" customHeight="1">
      <c r="D570" s="45"/>
    </row>
    <row r="571" ht="12.75" customHeight="1">
      <c r="D571" s="45"/>
    </row>
    <row r="572" ht="12.75" customHeight="1">
      <c r="D572" s="45"/>
    </row>
    <row r="573" ht="12.75" customHeight="1">
      <c r="D573" s="45"/>
    </row>
    <row r="574" ht="12.75" customHeight="1">
      <c r="D574" s="45"/>
    </row>
    <row r="575" ht="12.75" customHeight="1">
      <c r="D575" s="45"/>
    </row>
    <row r="576" ht="12.75" customHeight="1">
      <c r="D576" s="45"/>
    </row>
    <row r="577" ht="12.75" customHeight="1">
      <c r="D577" s="45"/>
    </row>
    <row r="578" ht="12.75" customHeight="1">
      <c r="D578" s="45"/>
    </row>
    <row r="579" ht="12.75" customHeight="1">
      <c r="D579" s="45"/>
    </row>
    <row r="580" ht="12.75" customHeight="1">
      <c r="D580" s="45"/>
    </row>
    <row r="581" ht="12.75" customHeight="1">
      <c r="D581" s="45"/>
    </row>
    <row r="582" ht="12.75" customHeight="1">
      <c r="D582" s="45"/>
    </row>
    <row r="583" ht="12.75" customHeight="1">
      <c r="D583" s="45"/>
    </row>
    <row r="584" ht="12.75" customHeight="1">
      <c r="D584" s="45"/>
    </row>
    <row r="585" ht="12.75" customHeight="1">
      <c r="D585" s="45"/>
    </row>
    <row r="586" ht="12.75" customHeight="1">
      <c r="D586" s="45"/>
    </row>
    <row r="587" ht="12.75" customHeight="1">
      <c r="D587" s="45"/>
    </row>
    <row r="588" ht="12.75" customHeight="1">
      <c r="D588" s="45"/>
    </row>
    <row r="589" ht="12.75" customHeight="1">
      <c r="D589" s="45"/>
    </row>
    <row r="590" ht="12.75" customHeight="1">
      <c r="D590" s="45"/>
    </row>
    <row r="591" ht="12.75" customHeight="1">
      <c r="D591" s="45"/>
    </row>
    <row r="592" ht="12.75" customHeight="1">
      <c r="D592" s="45"/>
    </row>
    <row r="593" ht="12.75" customHeight="1">
      <c r="D593" s="45"/>
    </row>
    <row r="594" ht="12.75" customHeight="1">
      <c r="D594" s="45"/>
    </row>
    <row r="595" ht="12.75" customHeight="1">
      <c r="D595" s="45"/>
    </row>
    <row r="596" ht="12.75" customHeight="1">
      <c r="D596" s="45"/>
    </row>
    <row r="597" ht="12.75" customHeight="1">
      <c r="D597" s="45"/>
    </row>
    <row r="598" ht="12.75" customHeight="1">
      <c r="D598" s="45"/>
    </row>
    <row r="599" ht="12.75" customHeight="1">
      <c r="D599" s="45"/>
    </row>
    <row r="600" ht="12.75" customHeight="1">
      <c r="D600" s="45"/>
    </row>
    <row r="601" ht="12.75" customHeight="1">
      <c r="D601" s="45"/>
    </row>
    <row r="602" ht="12.75" customHeight="1">
      <c r="D602" s="45"/>
    </row>
    <row r="603" ht="12.75" customHeight="1">
      <c r="D603" s="45"/>
    </row>
    <row r="604" ht="12.75" customHeight="1">
      <c r="D604" s="45"/>
    </row>
    <row r="605" ht="12.75" customHeight="1">
      <c r="D605" s="45"/>
    </row>
    <row r="606" ht="12.75" customHeight="1">
      <c r="D606" s="45"/>
    </row>
    <row r="607" ht="12.75" customHeight="1">
      <c r="D607" s="45"/>
    </row>
    <row r="608" ht="12.75" customHeight="1">
      <c r="D608" s="45"/>
    </row>
    <row r="609" ht="12.75" customHeight="1">
      <c r="D609" s="45"/>
    </row>
    <row r="610" ht="12.75" customHeight="1">
      <c r="D610" s="45"/>
    </row>
    <row r="611" ht="12.75" customHeight="1">
      <c r="D611" s="45"/>
    </row>
    <row r="612" ht="12.75" customHeight="1">
      <c r="D612" s="45"/>
    </row>
    <row r="613" ht="12.75" customHeight="1">
      <c r="D613" s="45"/>
    </row>
    <row r="614" ht="12.75" customHeight="1">
      <c r="D614" s="45"/>
    </row>
    <row r="615" ht="12.75" customHeight="1">
      <c r="D615" s="45"/>
    </row>
    <row r="616" ht="12.75" customHeight="1">
      <c r="D616" s="45"/>
    </row>
    <row r="617" ht="12.75" customHeight="1">
      <c r="D617" s="45"/>
    </row>
    <row r="618" ht="12.75" customHeight="1">
      <c r="D618" s="45"/>
    </row>
    <row r="619" ht="12.75" customHeight="1">
      <c r="D619" s="45"/>
    </row>
    <row r="620" ht="12.75" customHeight="1">
      <c r="D620" s="45"/>
    </row>
    <row r="621" ht="12.75" customHeight="1">
      <c r="D621" s="45"/>
    </row>
    <row r="622" ht="12.75" customHeight="1">
      <c r="D622" s="45"/>
    </row>
    <row r="623" ht="12.75" customHeight="1">
      <c r="D623" s="45"/>
    </row>
    <row r="624" ht="12.75" customHeight="1">
      <c r="D624" s="45"/>
    </row>
    <row r="625" ht="12.75" customHeight="1">
      <c r="D625" s="45"/>
    </row>
    <row r="626" ht="12.75" customHeight="1">
      <c r="D626" s="45"/>
    </row>
    <row r="627" ht="12.75" customHeight="1">
      <c r="D627" s="45"/>
    </row>
    <row r="628" ht="12.75" customHeight="1">
      <c r="D628" s="45"/>
    </row>
    <row r="629" ht="12.75" customHeight="1">
      <c r="D629" s="45"/>
    </row>
    <row r="630" ht="12.75" customHeight="1">
      <c r="D630" s="45"/>
    </row>
    <row r="631" ht="12.75" customHeight="1">
      <c r="D631" s="45"/>
    </row>
    <row r="632" ht="12.75" customHeight="1">
      <c r="D632" s="45"/>
    </row>
    <row r="633" ht="12.75" customHeight="1">
      <c r="D633" s="45"/>
    </row>
    <row r="634" ht="12.75" customHeight="1">
      <c r="D634" s="45"/>
    </row>
    <row r="635" ht="12.75" customHeight="1">
      <c r="D635" s="45"/>
    </row>
    <row r="636" ht="12.75" customHeight="1">
      <c r="D636" s="45"/>
    </row>
    <row r="637" ht="12.75" customHeight="1">
      <c r="D637" s="45"/>
    </row>
    <row r="638" ht="12.75" customHeight="1">
      <c r="D638" s="45"/>
    </row>
    <row r="639" ht="12.75" customHeight="1">
      <c r="D639" s="45"/>
    </row>
    <row r="640" ht="12.75" customHeight="1">
      <c r="D640" s="45"/>
    </row>
    <row r="641" ht="12.75" customHeight="1">
      <c r="D641" s="45"/>
    </row>
    <row r="642" ht="12.75" customHeight="1">
      <c r="D642" s="45"/>
    </row>
    <row r="643" ht="12.75" customHeight="1">
      <c r="D643" s="45"/>
    </row>
    <row r="644" ht="12.75" customHeight="1">
      <c r="D644" s="45"/>
    </row>
    <row r="645" ht="12.75" customHeight="1">
      <c r="D645" s="45"/>
    </row>
    <row r="646" ht="12.75" customHeight="1">
      <c r="D646" s="45"/>
    </row>
    <row r="647" ht="12.75" customHeight="1">
      <c r="D647" s="45"/>
    </row>
    <row r="648" ht="12.75" customHeight="1">
      <c r="D648" s="45"/>
    </row>
    <row r="649" ht="12.75" customHeight="1">
      <c r="D649" s="45"/>
    </row>
    <row r="650" ht="12.75" customHeight="1">
      <c r="D650" s="45"/>
    </row>
    <row r="651" ht="12.75" customHeight="1">
      <c r="D651" s="45"/>
    </row>
    <row r="652" ht="12.75" customHeight="1">
      <c r="D652" s="45"/>
    </row>
    <row r="653" ht="12.75" customHeight="1">
      <c r="D653" s="45"/>
    </row>
    <row r="654" ht="12.75" customHeight="1">
      <c r="D654" s="45"/>
    </row>
    <row r="655" ht="12.75" customHeight="1">
      <c r="D655" s="45"/>
    </row>
    <row r="656" ht="12.75" customHeight="1">
      <c r="D656" s="45"/>
    </row>
    <row r="657" ht="12.75" customHeight="1">
      <c r="D657" s="45"/>
    </row>
    <row r="658" ht="12.75" customHeight="1">
      <c r="D658" s="45"/>
    </row>
    <row r="659" ht="12.75" customHeight="1">
      <c r="D659" s="45"/>
    </row>
    <row r="660" ht="12.75" customHeight="1">
      <c r="D660" s="45"/>
    </row>
    <row r="661" ht="12.75" customHeight="1">
      <c r="D661" s="45"/>
    </row>
    <row r="662" ht="12.75" customHeight="1">
      <c r="D662" s="45"/>
    </row>
    <row r="663" ht="12.75" customHeight="1">
      <c r="D663" s="45"/>
    </row>
    <row r="664" ht="12.75" customHeight="1">
      <c r="D664" s="45"/>
    </row>
    <row r="665" ht="12.75" customHeight="1">
      <c r="D665" s="45"/>
    </row>
    <row r="666" ht="12.75" customHeight="1">
      <c r="D666" s="45"/>
    </row>
    <row r="667" ht="12.75" customHeight="1">
      <c r="D667" s="45"/>
    </row>
    <row r="668" ht="12.75" customHeight="1">
      <c r="D668" s="45"/>
    </row>
    <row r="669" ht="12.75" customHeight="1">
      <c r="D669" s="45"/>
    </row>
    <row r="670" ht="12.75" customHeight="1">
      <c r="D670" s="45"/>
    </row>
    <row r="671" ht="12.75" customHeight="1">
      <c r="D671" s="45"/>
    </row>
    <row r="672" ht="12.75" customHeight="1">
      <c r="D672" s="45"/>
    </row>
    <row r="673" ht="12.75" customHeight="1">
      <c r="D673" s="45"/>
    </row>
    <row r="674" ht="12.75" customHeight="1">
      <c r="D674" s="45"/>
    </row>
    <row r="675" ht="12.75" customHeight="1">
      <c r="D675" s="45"/>
    </row>
    <row r="676" ht="12.75" customHeight="1">
      <c r="D676" s="45"/>
    </row>
    <row r="677" ht="12.75" customHeight="1">
      <c r="D677" s="45"/>
    </row>
    <row r="678" ht="12.75" customHeight="1">
      <c r="D678" s="45"/>
    </row>
    <row r="679" ht="12.75" customHeight="1">
      <c r="D679" s="45"/>
    </row>
    <row r="680" ht="12.75" customHeight="1">
      <c r="D680" s="45"/>
    </row>
    <row r="681" ht="12.75" customHeight="1">
      <c r="D681" s="45"/>
    </row>
    <row r="682" ht="12.75" customHeight="1">
      <c r="D682" s="45"/>
    </row>
    <row r="683" ht="12.75" customHeight="1">
      <c r="D683" s="45"/>
    </row>
    <row r="684" ht="12.75" customHeight="1">
      <c r="D684" s="45"/>
    </row>
    <row r="685" ht="12.75" customHeight="1">
      <c r="D685" s="45"/>
    </row>
    <row r="686" ht="12.75" customHeight="1">
      <c r="D686" s="45"/>
    </row>
    <row r="687" ht="12.75" customHeight="1">
      <c r="D687" s="45"/>
    </row>
    <row r="688" ht="12.75" customHeight="1">
      <c r="D688" s="45"/>
    </row>
    <row r="689" ht="12.75" customHeight="1">
      <c r="D689" s="45"/>
    </row>
    <row r="690" ht="12.75" customHeight="1">
      <c r="D690" s="45"/>
    </row>
    <row r="691" ht="12.75" customHeight="1">
      <c r="D691" s="45"/>
    </row>
    <row r="692" ht="12.75" customHeight="1">
      <c r="D692" s="45"/>
    </row>
    <row r="693" ht="12.75" customHeight="1">
      <c r="D693" s="45"/>
    </row>
    <row r="694" ht="12.75" customHeight="1">
      <c r="D694" s="45"/>
    </row>
    <row r="695" ht="12.75" customHeight="1">
      <c r="D695" s="45"/>
    </row>
    <row r="696" ht="12.75" customHeight="1">
      <c r="D696" s="45"/>
    </row>
    <row r="697" ht="12.75" customHeight="1">
      <c r="D697" s="45"/>
    </row>
    <row r="698" ht="12.75" customHeight="1">
      <c r="D698" s="45"/>
    </row>
    <row r="699" ht="12.75" customHeight="1">
      <c r="D699" s="45"/>
    </row>
    <row r="700" ht="12.75" customHeight="1">
      <c r="D700" s="45"/>
    </row>
    <row r="701" ht="12.75" customHeight="1">
      <c r="D701" s="45"/>
    </row>
    <row r="702" ht="12.75" customHeight="1">
      <c r="D702" s="45"/>
    </row>
    <row r="703" ht="12.75" customHeight="1">
      <c r="D703" s="45"/>
    </row>
    <row r="704" ht="12.75" customHeight="1">
      <c r="D704" s="45"/>
    </row>
    <row r="705" ht="12.75" customHeight="1">
      <c r="D705" s="45"/>
    </row>
    <row r="706" ht="12.75" customHeight="1">
      <c r="D706" s="45"/>
    </row>
    <row r="707" ht="12.75" customHeight="1">
      <c r="D707" s="45"/>
    </row>
    <row r="708" ht="12.75" customHeight="1">
      <c r="D708" s="45"/>
    </row>
    <row r="709" ht="12.75" customHeight="1">
      <c r="D709" s="45"/>
    </row>
    <row r="710" ht="12.75" customHeight="1">
      <c r="D710" s="45"/>
    </row>
    <row r="711" ht="12.75" customHeight="1">
      <c r="D711" s="45"/>
    </row>
    <row r="712" ht="12.75" customHeight="1">
      <c r="D712" s="45"/>
    </row>
    <row r="713" ht="12.75" customHeight="1">
      <c r="D713" s="45"/>
    </row>
    <row r="714" ht="12.75" customHeight="1">
      <c r="D714" s="45"/>
    </row>
    <row r="715" ht="12.75" customHeight="1">
      <c r="D715" s="45"/>
    </row>
    <row r="716" ht="12.75" customHeight="1">
      <c r="D716" s="45"/>
    </row>
    <row r="717" ht="12.75" customHeight="1">
      <c r="D717" s="45"/>
    </row>
    <row r="718" ht="12.75" customHeight="1">
      <c r="D718" s="45"/>
    </row>
    <row r="719" ht="12.75" customHeight="1">
      <c r="D719" s="45"/>
    </row>
    <row r="720" ht="12.75" customHeight="1">
      <c r="D720" s="45"/>
    </row>
    <row r="721" ht="12.75" customHeight="1">
      <c r="D721" s="45"/>
    </row>
    <row r="722" ht="12.75" customHeight="1">
      <c r="D722" s="45"/>
    </row>
    <row r="723" ht="12.75" customHeight="1">
      <c r="D723" s="45"/>
    </row>
    <row r="724" ht="12.75" customHeight="1">
      <c r="D724" s="45"/>
    </row>
    <row r="725" ht="12.75" customHeight="1">
      <c r="D725" s="45"/>
    </row>
    <row r="726" ht="12.75" customHeight="1">
      <c r="D726" s="45"/>
    </row>
    <row r="727" ht="12.75" customHeight="1">
      <c r="D727" s="45"/>
    </row>
    <row r="728" ht="12.75" customHeight="1">
      <c r="D728" s="45"/>
    </row>
    <row r="729" ht="12.75" customHeight="1">
      <c r="D729" s="45"/>
    </row>
    <row r="730" ht="12.75" customHeight="1">
      <c r="D730" s="45"/>
    </row>
    <row r="731" ht="12.75" customHeight="1">
      <c r="D731" s="45"/>
    </row>
    <row r="732" ht="12.75" customHeight="1">
      <c r="D732" s="45"/>
    </row>
    <row r="733" ht="12.75" customHeight="1">
      <c r="D733" s="45"/>
    </row>
    <row r="734" ht="12.75" customHeight="1">
      <c r="D734" s="45"/>
    </row>
    <row r="735" ht="12.75" customHeight="1">
      <c r="D735" s="45"/>
    </row>
    <row r="736" ht="12.75" customHeight="1">
      <c r="D736" s="45"/>
    </row>
    <row r="737" ht="12.75" customHeight="1">
      <c r="D737" s="45"/>
    </row>
    <row r="738" ht="12.75" customHeight="1">
      <c r="D738" s="45"/>
    </row>
    <row r="739" ht="12.75" customHeight="1">
      <c r="D739" s="45"/>
    </row>
    <row r="740" ht="12.75" customHeight="1">
      <c r="D740" s="45"/>
    </row>
    <row r="741" ht="12.75" customHeight="1">
      <c r="D741" s="45"/>
    </row>
    <row r="742" ht="12.75" customHeight="1">
      <c r="D742" s="45"/>
    </row>
    <row r="743" ht="12.75" customHeight="1">
      <c r="D743" s="45"/>
    </row>
    <row r="744" ht="12.75" customHeight="1">
      <c r="D744" s="45"/>
    </row>
    <row r="745" ht="12.75" customHeight="1">
      <c r="D745" s="45"/>
    </row>
    <row r="746" ht="12.75" customHeight="1">
      <c r="D746" s="45"/>
    </row>
    <row r="747" ht="12.75" customHeight="1">
      <c r="D747" s="45"/>
    </row>
    <row r="748" ht="12.75" customHeight="1">
      <c r="D748" s="45"/>
    </row>
    <row r="749" ht="12.75" customHeight="1">
      <c r="D749" s="45"/>
    </row>
    <row r="750" ht="12.75" customHeight="1">
      <c r="D750" s="45"/>
    </row>
    <row r="751" ht="12.75" customHeight="1">
      <c r="D751" s="45"/>
    </row>
    <row r="752" ht="12.75" customHeight="1">
      <c r="D752" s="45"/>
    </row>
    <row r="753" ht="12.75" customHeight="1">
      <c r="D753" s="45"/>
    </row>
    <row r="754" ht="12.75" customHeight="1">
      <c r="D754" s="45"/>
    </row>
    <row r="755" ht="12.75" customHeight="1">
      <c r="D755" s="45"/>
    </row>
    <row r="756" ht="12.75" customHeight="1">
      <c r="D756" s="45"/>
    </row>
    <row r="757" ht="12.75" customHeight="1">
      <c r="D757" s="45"/>
    </row>
    <row r="758" ht="12.75" customHeight="1">
      <c r="D758" s="45"/>
    </row>
    <row r="759" ht="12.75" customHeight="1">
      <c r="D759" s="45"/>
    </row>
    <row r="760" ht="12.75" customHeight="1">
      <c r="D760" s="45"/>
    </row>
    <row r="761" ht="12.75" customHeight="1">
      <c r="D761" s="45"/>
    </row>
    <row r="762" ht="12.75" customHeight="1">
      <c r="D762" s="45"/>
    </row>
    <row r="763" ht="12.75" customHeight="1">
      <c r="D763" s="45"/>
    </row>
    <row r="764" ht="12.75" customHeight="1">
      <c r="D764" s="45"/>
    </row>
    <row r="765" ht="12.75" customHeight="1">
      <c r="D765" s="45"/>
    </row>
    <row r="766" ht="12.75" customHeight="1">
      <c r="D766" s="45"/>
    </row>
    <row r="767" ht="12.75" customHeight="1">
      <c r="D767" s="45"/>
    </row>
    <row r="768" ht="12.75" customHeight="1">
      <c r="D768" s="45"/>
    </row>
    <row r="769" ht="12.75" customHeight="1">
      <c r="D769" s="45"/>
    </row>
    <row r="770" ht="12.75" customHeight="1">
      <c r="D770" s="45"/>
    </row>
    <row r="771" ht="12.75" customHeight="1">
      <c r="D771" s="45"/>
    </row>
    <row r="772" ht="12.75" customHeight="1">
      <c r="D772" s="45"/>
    </row>
    <row r="773" ht="12.75" customHeight="1">
      <c r="D773" s="45"/>
    </row>
    <row r="774" ht="12.75" customHeight="1">
      <c r="D774" s="45"/>
    </row>
    <row r="775" ht="12.75" customHeight="1">
      <c r="D775" s="45"/>
    </row>
    <row r="776" ht="12.75" customHeight="1">
      <c r="D776" s="45"/>
    </row>
    <row r="777" ht="12.75" customHeight="1">
      <c r="D777" s="45"/>
    </row>
    <row r="778" ht="12.75" customHeight="1">
      <c r="D778" s="45"/>
    </row>
    <row r="779" ht="12.75" customHeight="1">
      <c r="D779" s="45"/>
    </row>
    <row r="780" ht="12.75" customHeight="1">
      <c r="D780" s="45"/>
    </row>
    <row r="781" ht="12.75" customHeight="1">
      <c r="D781" s="45"/>
    </row>
    <row r="782" ht="12.75" customHeight="1">
      <c r="D782" s="45"/>
    </row>
    <row r="783" ht="12.75" customHeight="1">
      <c r="D783" s="45"/>
    </row>
    <row r="784" ht="12.75" customHeight="1">
      <c r="D784" s="45"/>
    </row>
    <row r="785" ht="12.75" customHeight="1">
      <c r="D785" s="45"/>
    </row>
    <row r="786" ht="12.75" customHeight="1">
      <c r="D786" s="45"/>
    </row>
    <row r="787" ht="12.75" customHeight="1">
      <c r="D787" s="45"/>
    </row>
    <row r="788" ht="12.75" customHeight="1">
      <c r="D788" s="45"/>
    </row>
    <row r="789" ht="12.75" customHeight="1">
      <c r="D789" s="45"/>
    </row>
    <row r="790" ht="12.75" customHeight="1">
      <c r="D790" s="45"/>
    </row>
    <row r="791" ht="12.75" customHeight="1">
      <c r="D791" s="45"/>
    </row>
    <row r="792" ht="12.75" customHeight="1">
      <c r="D792" s="45"/>
    </row>
    <row r="793" ht="12.75" customHeight="1">
      <c r="D793" s="45"/>
    </row>
    <row r="794" ht="12.75" customHeight="1">
      <c r="D794" s="45"/>
    </row>
    <row r="795" ht="12.75" customHeight="1">
      <c r="D795" s="45"/>
    </row>
    <row r="796" ht="12.75" customHeight="1">
      <c r="D796" s="45"/>
    </row>
    <row r="797" ht="12.75" customHeight="1">
      <c r="D797" s="45"/>
    </row>
    <row r="798" ht="12.75" customHeight="1">
      <c r="D798" s="45"/>
    </row>
    <row r="799" ht="12.75" customHeight="1">
      <c r="D799" s="45"/>
    </row>
    <row r="800" ht="12.75" customHeight="1">
      <c r="D800" s="45"/>
    </row>
    <row r="801" ht="12.75" customHeight="1">
      <c r="D801" s="45"/>
    </row>
    <row r="802" ht="12.75" customHeight="1">
      <c r="D802" s="45"/>
    </row>
    <row r="803" ht="12.75" customHeight="1">
      <c r="D803" s="45"/>
    </row>
    <row r="804" ht="12.75" customHeight="1">
      <c r="D804" s="45"/>
    </row>
    <row r="805" ht="12.75" customHeight="1">
      <c r="D805" s="45"/>
    </row>
    <row r="806" ht="12.75" customHeight="1">
      <c r="D806" s="45"/>
    </row>
    <row r="807" ht="12.75" customHeight="1">
      <c r="D807" s="45"/>
    </row>
    <row r="808" ht="12.75" customHeight="1">
      <c r="D808" s="45"/>
    </row>
    <row r="809" ht="12.75" customHeight="1">
      <c r="D809" s="45"/>
    </row>
    <row r="810" ht="12.75" customHeight="1">
      <c r="D810" s="45"/>
    </row>
    <row r="811" ht="12.75" customHeight="1">
      <c r="D811" s="45"/>
    </row>
    <row r="812" ht="12.75" customHeight="1">
      <c r="D812" s="45"/>
    </row>
    <row r="813" ht="12.75" customHeight="1">
      <c r="D813" s="45"/>
    </row>
    <row r="814" ht="12.75" customHeight="1">
      <c r="D814" s="45"/>
    </row>
    <row r="815" ht="12.75" customHeight="1">
      <c r="D815" s="45"/>
    </row>
    <row r="816" ht="12.75" customHeight="1">
      <c r="D816" s="45"/>
    </row>
    <row r="817" ht="12.75" customHeight="1">
      <c r="D817" s="45"/>
    </row>
    <row r="818" ht="12.75" customHeight="1">
      <c r="D818" s="45"/>
    </row>
    <row r="819" ht="12.75" customHeight="1">
      <c r="D819" s="45"/>
    </row>
    <row r="820" ht="12.75" customHeight="1">
      <c r="D820" s="45"/>
    </row>
    <row r="821" ht="12.75" customHeight="1">
      <c r="D821" s="45"/>
    </row>
    <row r="822" ht="12.75" customHeight="1">
      <c r="D822" s="45"/>
    </row>
    <row r="823" ht="12.75" customHeight="1">
      <c r="D823" s="45"/>
    </row>
    <row r="824" ht="12.75" customHeight="1">
      <c r="D824" s="45"/>
    </row>
    <row r="825" ht="12.75" customHeight="1">
      <c r="D825" s="45"/>
    </row>
    <row r="826" ht="12.75" customHeight="1">
      <c r="D826" s="45"/>
    </row>
    <row r="827" ht="12.75" customHeight="1">
      <c r="D827" s="45"/>
    </row>
    <row r="828" ht="12.75" customHeight="1">
      <c r="D828" s="45"/>
    </row>
    <row r="829" ht="12.75" customHeight="1">
      <c r="D829" s="45"/>
    </row>
    <row r="830" ht="12.75" customHeight="1">
      <c r="D830" s="45"/>
    </row>
    <row r="831" ht="12.75" customHeight="1">
      <c r="D831" s="45"/>
    </row>
    <row r="832" ht="12.75" customHeight="1">
      <c r="D832" s="45"/>
    </row>
    <row r="833" ht="12.75" customHeight="1">
      <c r="D833" s="45"/>
    </row>
    <row r="834" ht="12.75" customHeight="1">
      <c r="D834" s="45"/>
    </row>
    <row r="835" ht="12.75" customHeight="1">
      <c r="D835" s="45"/>
    </row>
    <row r="836" ht="12.75" customHeight="1">
      <c r="D836" s="45"/>
    </row>
    <row r="837" ht="12.75" customHeight="1">
      <c r="D837" s="45"/>
    </row>
    <row r="838" ht="12.75" customHeight="1">
      <c r="D838" s="45"/>
    </row>
    <row r="839" ht="12.75" customHeight="1">
      <c r="D839" s="45"/>
    </row>
    <row r="840" ht="12.75" customHeight="1">
      <c r="D840" s="45"/>
    </row>
    <row r="841" ht="12.75" customHeight="1">
      <c r="D841" s="45"/>
    </row>
    <row r="842" ht="12.75" customHeight="1">
      <c r="D842" s="45"/>
    </row>
    <row r="843" ht="12.75" customHeight="1">
      <c r="D843" s="45"/>
    </row>
    <row r="844" ht="12.75" customHeight="1">
      <c r="D844" s="45"/>
    </row>
    <row r="845" ht="12.75" customHeight="1">
      <c r="D845" s="45"/>
    </row>
    <row r="846" ht="12.75" customHeight="1">
      <c r="D846" s="45"/>
    </row>
    <row r="847" ht="12.75" customHeight="1">
      <c r="D847" s="45"/>
    </row>
    <row r="848" ht="12.75" customHeight="1">
      <c r="D848" s="45"/>
    </row>
    <row r="849" ht="12.75" customHeight="1">
      <c r="D849" s="45"/>
    </row>
    <row r="850" ht="12.75" customHeight="1">
      <c r="D850" s="45"/>
    </row>
    <row r="851" ht="12.75" customHeight="1">
      <c r="D851" s="45"/>
    </row>
    <row r="852" ht="12.75" customHeight="1">
      <c r="D852" s="45"/>
    </row>
    <row r="853" ht="12.75" customHeight="1">
      <c r="D853" s="45"/>
    </row>
    <row r="854" ht="12.75" customHeight="1">
      <c r="D854" s="45"/>
    </row>
    <row r="855" ht="12.75" customHeight="1">
      <c r="D855" s="45"/>
    </row>
    <row r="856" ht="12.75" customHeight="1">
      <c r="D856" s="45"/>
    </row>
    <row r="857" ht="12.75" customHeight="1">
      <c r="D857" s="45"/>
    </row>
    <row r="858" ht="12.75" customHeight="1">
      <c r="D858" s="45"/>
    </row>
    <row r="859" ht="12.75" customHeight="1">
      <c r="D859" s="45"/>
    </row>
    <row r="860" ht="12.75" customHeight="1">
      <c r="D860" s="45"/>
    </row>
    <row r="861" ht="12.75" customHeight="1">
      <c r="D861" s="45"/>
    </row>
    <row r="862" ht="12.75" customHeight="1">
      <c r="D862" s="45"/>
    </row>
    <row r="863" ht="12.75" customHeight="1">
      <c r="D863" s="45"/>
    </row>
    <row r="864" ht="12.75" customHeight="1">
      <c r="D864" s="45"/>
    </row>
    <row r="865" ht="12.75" customHeight="1">
      <c r="D865" s="45"/>
    </row>
    <row r="866" ht="12.75" customHeight="1">
      <c r="D866" s="45"/>
    </row>
    <row r="867" ht="12.75" customHeight="1">
      <c r="D867" s="45"/>
    </row>
    <row r="868" ht="12.75" customHeight="1">
      <c r="D868" s="45"/>
    </row>
    <row r="869" ht="12.75" customHeight="1">
      <c r="D869" s="45"/>
    </row>
    <row r="870" ht="12.75" customHeight="1">
      <c r="D870" s="45"/>
    </row>
    <row r="871" ht="12.75" customHeight="1">
      <c r="D871" s="45"/>
    </row>
    <row r="872" ht="12.75" customHeight="1">
      <c r="D872" s="45"/>
    </row>
    <row r="873" ht="12.75" customHeight="1">
      <c r="D873" s="45"/>
    </row>
    <row r="874" ht="12.75" customHeight="1">
      <c r="D874" s="45"/>
    </row>
    <row r="875" ht="12.75" customHeight="1">
      <c r="D875" s="45"/>
    </row>
    <row r="876" ht="12.75" customHeight="1">
      <c r="D876" s="45"/>
    </row>
    <row r="877" ht="12.75" customHeight="1">
      <c r="D877" s="45"/>
    </row>
    <row r="878" ht="12.75" customHeight="1">
      <c r="D878" s="45"/>
    </row>
    <row r="879" ht="12.75" customHeight="1">
      <c r="D879" s="45"/>
    </row>
    <row r="880" ht="12.75" customHeight="1">
      <c r="D880" s="45"/>
    </row>
    <row r="881" ht="12.75" customHeight="1">
      <c r="D881" s="45"/>
    </row>
    <row r="882" ht="12.75" customHeight="1">
      <c r="D882" s="45"/>
    </row>
    <row r="883" ht="12.75" customHeight="1">
      <c r="D883" s="45"/>
    </row>
    <row r="884" ht="12.75" customHeight="1">
      <c r="D884" s="45"/>
    </row>
    <row r="885" ht="12.75" customHeight="1">
      <c r="D885" s="45"/>
    </row>
    <row r="886" ht="12.75" customHeight="1">
      <c r="D886" s="45"/>
    </row>
    <row r="887" ht="12.75" customHeight="1">
      <c r="D887" s="45"/>
    </row>
    <row r="888" ht="12.75" customHeight="1">
      <c r="D888" s="45"/>
    </row>
    <row r="889" ht="12.75" customHeight="1">
      <c r="D889" s="45"/>
    </row>
    <row r="890" ht="12.75" customHeight="1">
      <c r="D890" s="45"/>
    </row>
    <row r="891" ht="12.75" customHeight="1">
      <c r="D891" s="45"/>
    </row>
    <row r="892" ht="12.75" customHeight="1">
      <c r="D892" s="45"/>
    </row>
    <row r="893" ht="12.75" customHeight="1">
      <c r="D893" s="45"/>
    </row>
    <row r="894" ht="12.75" customHeight="1">
      <c r="D894" s="45"/>
    </row>
    <row r="895" ht="12.75" customHeight="1">
      <c r="D895" s="45"/>
    </row>
    <row r="896" ht="12.75" customHeight="1">
      <c r="D896" s="45"/>
    </row>
    <row r="897" ht="12.75" customHeight="1">
      <c r="D897" s="45"/>
    </row>
    <row r="898" ht="12.75" customHeight="1">
      <c r="D898" s="45"/>
    </row>
    <row r="899" ht="12.75" customHeight="1">
      <c r="D899" s="45"/>
    </row>
    <row r="900" ht="12.75" customHeight="1">
      <c r="D900" s="45"/>
    </row>
    <row r="901" ht="12.75" customHeight="1">
      <c r="D901" s="45"/>
    </row>
    <row r="902" ht="12.75" customHeight="1">
      <c r="D902" s="45"/>
    </row>
    <row r="903" ht="12.75" customHeight="1">
      <c r="D903" s="45"/>
    </row>
    <row r="904" ht="12.75" customHeight="1">
      <c r="D904" s="45"/>
    </row>
    <row r="905" ht="12.75" customHeight="1">
      <c r="D905" s="45"/>
    </row>
    <row r="906" ht="12.75" customHeight="1">
      <c r="D906" s="45"/>
    </row>
    <row r="907" ht="12.75" customHeight="1">
      <c r="D907" s="45"/>
    </row>
    <row r="908" ht="12.75" customHeight="1">
      <c r="D908" s="45"/>
    </row>
    <row r="909" ht="12.75" customHeight="1">
      <c r="D909" s="45"/>
    </row>
    <row r="910" ht="12.75" customHeight="1">
      <c r="D910" s="45"/>
    </row>
    <row r="911" ht="12.75" customHeight="1">
      <c r="D911" s="45"/>
    </row>
    <row r="912" ht="12.75" customHeight="1">
      <c r="D912" s="45"/>
    </row>
    <row r="913" ht="12.75" customHeight="1">
      <c r="D913" s="45"/>
    </row>
    <row r="914" ht="12.75" customHeight="1">
      <c r="D914" s="45"/>
    </row>
    <row r="915" ht="12.75" customHeight="1">
      <c r="D915" s="45"/>
    </row>
    <row r="916" ht="12.75" customHeight="1">
      <c r="D916" s="45"/>
    </row>
    <row r="917" ht="12.75" customHeight="1">
      <c r="D917" s="45"/>
    </row>
    <row r="918" ht="12.75" customHeight="1">
      <c r="D918" s="45"/>
    </row>
    <row r="919" ht="12.75" customHeight="1">
      <c r="D919" s="45"/>
    </row>
    <row r="920" ht="12.75" customHeight="1">
      <c r="D920" s="45"/>
    </row>
    <row r="921" ht="12.75" customHeight="1">
      <c r="D921" s="45"/>
    </row>
    <row r="922" ht="12.75" customHeight="1">
      <c r="D922" s="45"/>
    </row>
    <row r="923" ht="12.75" customHeight="1">
      <c r="D923" s="45"/>
    </row>
    <row r="924" ht="12.75" customHeight="1">
      <c r="D924" s="45"/>
    </row>
    <row r="925" ht="12.75" customHeight="1">
      <c r="D925" s="45"/>
    </row>
    <row r="926" ht="12.75" customHeight="1">
      <c r="D926" s="45"/>
    </row>
    <row r="927" ht="12.75" customHeight="1">
      <c r="D927" s="45"/>
    </row>
    <row r="928" ht="12.75" customHeight="1">
      <c r="D928" s="45"/>
    </row>
    <row r="929" ht="12.75" customHeight="1">
      <c r="D929" s="45"/>
    </row>
    <row r="930" ht="12.75" customHeight="1">
      <c r="D930" s="45"/>
    </row>
    <row r="931" ht="12.75" customHeight="1">
      <c r="D931" s="45"/>
    </row>
    <row r="932" ht="12.75" customHeight="1">
      <c r="D932" s="45"/>
    </row>
    <row r="933" ht="12.75" customHeight="1">
      <c r="D933" s="45"/>
    </row>
    <row r="934" ht="12.75" customHeight="1">
      <c r="D934" s="45"/>
    </row>
    <row r="935" ht="12.75" customHeight="1">
      <c r="D935" s="45"/>
    </row>
    <row r="936" ht="12.75" customHeight="1">
      <c r="D936" s="45"/>
    </row>
    <row r="937" ht="12.75" customHeight="1">
      <c r="D937" s="45"/>
    </row>
    <row r="938" ht="12.75" customHeight="1">
      <c r="D938" s="45"/>
    </row>
    <row r="939" ht="12.75" customHeight="1">
      <c r="D939" s="45"/>
    </row>
    <row r="940" ht="12.75" customHeight="1">
      <c r="D940" s="45"/>
    </row>
    <row r="941" ht="12.75" customHeight="1">
      <c r="D941" s="45"/>
    </row>
    <row r="942" ht="12.75" customHeight="1">
      <c r="D942" s="45"/>
    </row>
    <row r="943" ht="12.75" customHeight="1">
      <c r="D943" s="45"/>
    </row>
    <row r="944" ht="12.75" customHeight="1">
      <c r="D944" s="45"/>
    </row>
    <row r="945" ht="12.75" customHeight="1">
      <c r="D945" s="45"/>
    </row>
    <row r="946" ht="12.75" customHeight="1">
      <c r="D946" s="45"/>
    </row>
    <row r="947" ht="12.75" customHeight="1">
      <c r="D947" s="45"/>
    </row>
    <row r="948" ht="12.75" customHeight="1">
      <c r="D948" s="45"/>
    </row>
    <row r="949" ht="12.75" customHeight="1">
      <c r="D949" s="45"/>
    </row>
    <row r="950" ht="12.75" customHeight="1">
      <c r="D950" s="45"/>
    </row>
    <row r="951" ht="12.75" customHeight="1">
      <c r="D951" s="45"/>
    </row>
    <row r="952" ht="12.75" customHeight="1">
      <c r="D952" s="45"/>
    </row>
    <row r="953" ht="12.75" customHeight="1">
      <c r="D953" s="45"/>
    </row>
    <row r="954" ht="12.75" customHeight="1">
      <c r="D954" s="45"/>
    </row>
    <row r="955" ht="12.75" customHeight="1">
      <c r="D955" s="45"/>
    </row>
    <row r="956" ht="12.75" customHeight="1">
      <c r="D956" s="45"/>
    </row>
    <row r="957" ht="12.75" customHeight="1">
      <c r="D957" s="45"/>
    </row>
    <row r="958" ht="12.75" customHeight="1">
      <c r="D958" s="45"/>
    </row>
    <row r="959" ht="12.75" customHeight="1">
      <c r="D959" s="45"/>
    </row>
    <row r="960" ht="12.75" customHeight="1">
      <c r="D960" s="45"/>
    </row>
    <row r="961" ht="12.75" customHeight="1">
      <c r="D961" s="45"/>
    </row>
    <row r="962" ht="12.75" customHeight="1">
      <c r="D962" s="45"/>
    </row>
    <row r="963" ht="12.75" customHeight="1">
      <c r="D963" s="45"/>
    </row>
    <row r="964" ht="12.75" customHeight="1">
      <c r="D964" s="45"/>
    </row>
    <row r="965" ht="12.75" customHeight="1">
      <c r="D965" s="45"/>
    </row>
    <row r="966" ht="12.75" customHeight="1">
      <c r="D966" s="45"/>
    </row>
    <row r="967" ht="12.75" customHeight="1">
      <c r="D967" s="45"/>
    </row>
    <row r="968" ht="12.75" customHeight="1">
      <c r="D968" s="45"/>
    </row>
    <row r="969" ht="12.75" customHeight="1">
      <c r="D969" s="45"/>
    </row>
    <row r="970" ht="12.75" customHeight="1">
      <c r="D970" s="45"/>
    </row>
    <row r="971" ht="12.75" customHeight="1">
      <c r="D971" s="45"/>
    </row>
    <row r="972" ht="12.75" customHeight="1">
      <c r="D972" s="45"/>
    </row>
    <row r="973" ht="12.75" customHeight="1">
      <c r="D973" s="45"/>
    </row>
    <row r="974" ht="12.75" customHeight="1">
      <c r="D974" s="45"/>
    </row>
    <row r="975" ht="12.75" customHeight="1">
      <c r="D975" s="45"/>
    </row>
    <row r="976" ht="12.75" customHeight="1">
      <c r="D976" s="45"/>
    </row>
    <row r="977" ht="12.75" customHeight="1">
      <c r="D977" s="45"/>
    </row>
    <row r="978" ht="12.75" customHeight="1">
      <c r="D978" s="45"/>
    </row>
    <row r="979" ht="12.75" customHeight="1">
      <c r="D979" s="45"/>
    </row>
    <row r="980" ht="12.75" customHeight="1">
      <c r="D980" s="45"/>
    </row>
    <row r="981" ht="12.75" customHeight="1">
      <c r="D981" s="45"/>
    </row>
    <row r="982" ht="12.75" customHeight="1">
      <c r="D982" s="45"/>
    </row>
    <row r="983" ht="12.75" customHeight="1">
      <c r="D983" s="45"/>
    </row>
    <row r="984" ht="12.75" customHeight="1">
      <c r="D984" s="45"/>
    </row>
    <row r="985" ht="12.75" customHeight="1">
      <c r="D985" s="45"/>
    </row>
    <row r="986" ht="12.75" customHeight="1">
      <c r="D986" s="45"/>
    </row>
    <row r="987" ht="12.75" customHeight="1">
      <c r="D987" s="45"/>
    </row>
    <row r="988" ht="12.75" customHeight="1">
      <c r="D988" s="45"/>
    </row>
    <row r="989" ht="12.75" customHeight="1">
      <c r="D989" s="45"/>
    </row>
    <row r="990" ht="12.75" customHeight="1">
      <c r="D990" s="45"/>
    </row>
    <row r="991" ht="12.75" customHeight="1">
      <c r="D991" s="45"/>
    </row>
    <row r="992" ht="12.75" customHeight="1">
      <c r="D992" s="45"/>
    </row>
    <row r="993" ht="12.75" customHeight="1">
      <c r="D993" s="45"/>
    </row>
    <row r="994" ht="12.75" customHeight="1">
      <c r="D994" s="45"/>
    </row>
    <row r="995" ht="12.75" customHeight="1">
      <c r="D995" s="45"/>
    </row>
    <row r="996" ht="12.75" customHeight="1">
      <c r="D996" s="45"/>
    </row>
    <row r="997" ht="12.75" customHeight="1">
      <c r="D997" s="45"/>
    </row>
    <row r="998" ht="12.75" customHeight="1">
      <c r="D998" s="45"/>
    </row>
    <row r="999" ht="12.75" customHeight="1">
      <c r="D999" s="45"/>
    </row>
    <row r="1000" ht="12.75" customHeight="1">
      <c r="D1000" s="45"/>
    </row>
  </sheetData>
  <printOptions/>
  <pageMargins bottom="0.984027777777778" footer="0.0" header="0.0" left="0.7875" right="0.7875" top="0.984027777777778"/>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FF9900"/>
    <pageSetUpPr/>
  </sheetPr>
  <sheetViews>
    <sheetView workbookViewId="0"/>
  </sheetViews>
  <sheetFormatPr customHeight="1" defaultColWidth="12.63" defaultRowHeight="15.0"/>
  <cols>
    <col customWidth="1" min="1" max="3" width="10.63"/>
    <col customWidth="1" min="4" max="4" width="15.13"/>
    <col customWidth="1" min="5" max="5" width="7.88"/>
    <col customWidth="1" min="6" max="104" width="10.63"/>
  </cols>
  <sheetData>
    <row r="1" ht="12.75" customHeight="1">
      <c r="A1" s="35" t="s">
        <v>25</v>
      </c>
      <c r="B1" s="35" t="s">
        <v>31</v>
      </c>
      <c r="C1" s="35" t="s">
        <v>39</v>
      </c>
      <c r="D1" s="52" t="s">
        <v>38</v>
      </c>
    </row>
    <row r="2" ht="12.75" customHeight="1">
      <c r="A2" s="35">
        <v>1.0</v>
      </c>
      <c r="B2" s="39">
        <v>1.0</v>
      </c>
      <c r="C2" s="35">
        <v>1.0</v>
      </c>
      <c r="D2" s="50">
        <f>IFERROR(__xludf.DUMMYFUNCTION(" sum (filter (ZONE (MOIS_VERS_ANNEE (A2), address (2, C2 + 1) &amp; "":"" &amp; address (9999, C2 + 1)), month (ZONE (MOIS_VERS_ANNEE (A2), ""A2:A"")) = mod (A2 - 1, 12) + 1, ZONE (MOIS_VERS_ANNEE (A2), ""A2:A"") &lt;&gt; """"))"),7322.2)</f>
        <v>7322.2</v>
      </c>
    </row>
    <row r="3" ht="12.75" customHeight="1">
      <c r="A3" s="35">
        <v>1.0</v>
      </c>
      <c r="B3" s="39">
        <v>1.0</v>
      </c>
      <c r="C3" s="35">
        <v>2.0</v>
      </c>
      <c r="D3" s="50">
        <f>IFERROR(__xludf.DUMMYFUNCTION(" sum (filter (ZONE (MOIS_VERS_ANNEE (A3), address (2, C3 + 1) &amp; "":"" &amp; address (9999, C3 + 1)), month (ZONE (MOIS_VERS_ANNEE (A3), ""A2:A"")) = mod (A3 - 1, 12) + 1, ZONE (MOIS_VERS_ANNEE (A3), ""A2:A"") &lt;&gt; """"))"),3861.1800000000003)</f>
        <v>3861.18</v>
      </c>
    </row>
    <row r="4" ht="12.75" customHeight="1">
      <c r="A4" s="35">
        <v>1.0</v>
      </c>
      <c r="B4" s="39">
        <v>1.0</v>
      </c>
      <c r="C4" s="35">
        <v>3.0</v>
      </c>
      <c r="D4" s="50">
        <f>IFERROR(__xludf.DUMMYFUNCTION(" sum (filter (ZONE (MOIS_VERS_ANNEE (A4), address (2, C4 + 1) &amp; "":"" &amp; address (9999, C4 + 1)), month (ZONE (MOIS_VERS_ANNEE (A4), ""A2:A"")) = mod (A4 - 1, 12) + 1, ZONE (MOIS_VERS_ANNEE (A4), ""A2:A"") &lt;&gt; """"))"),13070.0)</f>
        <v>13070</v>
      </c>
    </row>
    <row r="5" ht="12.75" customHeight="1">
      <c r="A5" s="35">
        <v>1.0</v>
      </c>
      <c r="B5" s="39">
        <v>1.0</v>
      </c>
      <c r="C5" s="35">
        <v>4.0</v>
      </c>
      <c r="D5" s="50">
        <f>IFERROR(__xludf.DUMMYFUNCTION(" sum (filter (ZONE (MOIS_VERS_ANNEE (A5), address (2, C5 + 1) &amp; "":"" &amp; address (9999, C5 + 1)), month (ZONE (MOIS_VERS_ANNEE (A5), ""A2:A"")) = mod (A5 - 1, 12) + 1, ZONE (MOIS_VERS_ANNEE (A5), ""A2:A"") &lt;&gt; """"))"),2820.0)</f>
        <v>2820</v>
      </c>
    </row>
    <row r="6" ht="12.75" customHeight="1">
      <c r="A6" s="35">
        <v>1.0</v>
      </c>
      <c r="B6" s="39">
        <v>2.0</v>
      </c>
      <c r="C6" s="35">
        <v>5.0</v>
      </c>
      <c r="D6" s="50">
        <f> indirect(address(match("Nbre " &amp; vlookup(A6, Mois!$A$2:$C1000, 3), ZONE(MOIS_VERS_ANNEE(A6), "K:K"), 0) - 1, 14, 4, true, MOIS_VERS_ANNEE(A6)))</f>
        <v>4823.64</v>
      </c>
    </row>
    <row r="7" ht="12.75" customHeight="1">
      <c r="A7" s="35">
        <f t="shared" ref="A7:A541" si="2"> A2 + 1</f>
        <v>2</v>
      </c>
      <c r="B7" s="40">
        <f t="shared" ref="B7:C7" si="1"> B2</f>
        <v>1</v>
      </c>
      <c r="C7" s="36">
        <f t="shared" si="1"/>
        <v>1</v>
      </c>
      <c r="D7" s="50">
        <f>IFERROR(__xludf.DUMMYFUNCTION(" sum (filter (ZONE (MOIS_VERS_ANNEE (A7), address (2, C7 + 1) &amp; "":"" &amp; address (9999, C7 + 1)), month (ZONE (MOIS_VERS_ANNEE (A7), ""A2:A"")) = mod (A7 - 1, 12) + 1, ZONE (MOIS_VERS_ANNEE (A7), ""A2:A"") &lt;&gt; """"))"),8330.0)</f>
        <v>8330</v>
      </c>
    </row>
    <row r="8" ht="12.75" customHeight="1">
      <c r="A8" s="35">
        <f t="shared" si="2"/>
        <v>2</v>
      </c>
      <c r="B8" s="40">
        <f t="shared" ref="B8:C8" si="3"> B3</f>
        <v>1</v>
      </c>
      <c r="C8" s="36">
        <f t="shared" si="3"/>
        <v>2</v>
      </c>
      <c r="D8" s="50">
        <f>IFERROR(__xludf.DUMMYFUNCTION(" sum (filter (ZONE (MOIS_VERS_ANNEE (A8), address (2, C8 + 1) &amp; "":"" &amp; address (9999, C8 + 1)), month (ZONE (MOIS_VERS_ANNEE (A8), ""A2:A"")) = mod (A8 - 1, 12) + 1, ZONE (MOIS_VERS_ANNEE (A8), ""A2:A"") &lt;&gt; """"))"),3864.1099999999997)</f>
        <v>3864.11</v>
      </c>
    </row>
    <row r="9" ht="12.75" customHeight="1">
      <c r="A9" s="35">
        <f t="shared" si="2"/>
        <v>2</v>
      </c>
      <c r="B9" s="40">
        <f t="shared" ref="B9:C9" si="4"> B4</f>
        <v>1</v>
      </c>
      <c r="C9" s="36">
        <f t="shared" si="4"/>
        <v>3</v>
      </c>
      <c r="D9" s="50">
        <f>IFERROR(__xludf.DUMMYFUNCTION(" sum (filter (ZONE (MOIS_VERS_ANNEE (A9), address (2, C9 + 1) &amp; "":"" &amp; address (9999, C9 + 1)), month (ZONE (MOIS_VERS_ANNEE (A9), ""A2:A"")) = mod (A9 - 1, 12) + 1, ZONE (MOIS_VERS_ANNEE (A9), ""A2:A"") &lt;&gt; """"))"),14727.12)</f>
        <v>14727.12</v>
      </c>
    </row>
    <row r="10" ht="12.75" customHeight="1">
      <c r="A10" s="35">
        <f t="shared" si="2"/>
        <v>2</v>
      </c>
      <c r="B10" s="40">
        <f t="shared" ref="B10:C10" si="5"> B5</f>
        <v>1</v>
      </c>
      <c r="C10" s="36">
        <f t="shared" si="5"/>
        <v>4</v>
      </c>
      <c r="D10" s="50">
        <f>IFERROR(__xludf.DUMMYFUNCTION(" sum (filter (ZONE (MOIS_VERS_ANNEE (A10), address (2, C10 + 1) &amp; "":"" &amp; address (9999, C10 + 1)), month (ZONE (MOIS_VERS_ANNEE (A10), ""A2:A"")) = mod (A10 - 1, 12) + 1, ZONE (MOIS_VERS_ANNEE (A10), ""A2:A"") &lt;&gt; """"))"),3240.0)</f>
        <v>3240</v>
      </c>
    </row>
    <row r="11" ht="12.75" customHeight="1">
      <c r="A11" s="35">
        <f t="shared" si="2"/>
        <v>2</v>
      </c>
      <c r="B11" s="40">
        <f t="shared" ref="B11:C11" si="6"> B6</f>
        <v>2</v>
      </c>
      <c r="C11" s="36">
        <f t="shared" si="6"/>
        <v>5</v>
      </c>
      <c r="D11" s="50">
        <f> indirect(address(match("Nbre " &amp; vlookup(A11, Mois!$A$2:$C1000, 3), ZONE(MOIS_VERS_ANNEE(A11), "K:K"), 0) - 1, 14, 4, true, MOIS_VERS_ANNEE(A11)))</f>
        <v>8710.92</v>
      </c>
    </row>
    <row r="12" ht="12.75" customHeight="1">
      <c r="A12" s="35">
        <f t="shared" si="2"/>
        <v>3</v>
      </c>
      <c r="B12" s="40">
        <f t="shared" ref="B12:C12" si="7"> B7</f>
        <v>1</v>
      </c>
      <c r="C12" s="36">
        <f t="shared" si="7"/>
        <v>1</v>
      </c>
      <c r="D12" s="50">
        <f>IFERROR(__xludf.DUMMYFUNCTION(" sum (filter (ZONE (MOIS_VERS_ANNEE (A12), address (2, C12 + 1) &amp; "":"" &amp; address (9999, C12 + 1)), month (ZONE (MOIS_VERS_ANNEE (A12), ""A2:A"")) = mod (A12 - 1, 12) + 1, ZONE (MOIS_VERS_ANNEE (A12), ""A2:A"") &lt;&gt; """"))"),7584.29)</f>
        <v>7584.29</v>
      </c>
    </row>
    <row r="13" ht="12.75" customHeight="1">
      <c r="A13" s="35">
        <f t="shared" si="2"/>
        <v>3</v>
      </c>
      <c r="B13" s="40">
        <f t="shared" ref="B13:C13" si="8"> B8</f>
        <v>1</v>
      </c>
      <c r="C13" s="36">
        <f t="shared" si="8"/>
        <v>2</v>
      </c>
      <c r="D13" s="50">
        <f>IFERROR(__xludf.DUMMYFUNCTION(" sum (filter (ZONE (MOIS_VERS_ANNEE (A13), address (2, C13 + 1) &amp; "":"" &amp; address (9999, C13 + 1)), month (ZONE (MOIS_VERS_ANNEE (A13), ""A2:A"")) = mod (A13 - 1, 12) + 1, ZONE (MOIS_VERS_ANNEE (A13), ""A2:A"") &lt;&gt; """"))"),4549.280000000001)</f>
        <v>4549.28</v>
      </c>
    </row>
    <row r="14" ht="12.75" customHeight="1">
      <c r="A14" s="35">
        <f t="shared" si="2"/>
        <v>3</v>
      </c>
      <c r="B14" s="40">
        <f t="shared" ref="B14:C14" si="9"> B9</f>
        <v>1</v>
      </c>
      <c r="C14" s="36">
        <f t="shared" si="9"/>
        <v>3</v>
      </c>
      <c r="D14" s="50">
        <f>IFERROR(__xludf.DUMMYFUNCTION(" sum (filter (ZONE (MOIS_VERS_ANNEE (A14), address (2, C14 + 1) &amp; "":"" &amp; address (9999, C14 + 1)), month (ZONE (MOIS_VERS_ANNEE (A14), ""A2:A"")) = mod (A14 - 1, 12) + 1, ZONE (MOIS_VERS_ANNEE (A14), ""A2:A"") &lt;&gt; """"))"),16078.9)</f>
        <v>16078.9</v>
      </c>
    </row>
    <row r="15" ht="12.75" customHeight="1">
      <c r="A15" s="35">
        <f t="shared" si="2"/>
        <v>3</v>
      </c>
      <c r="B15" s="40">
        <f t="shared" ref="B15:C15" si="10"> B10</f>
        <v>1</v>
      </c>
      <c r="C15" s="36">
        <f t="shared" si="10"/>
        <v>4</v>
      </c>
      <c r="D15" s="50">
        <f>IFERROR(__xludf.DUMMYFUNCTION(" sum (filter (ZONE (MOIS_VERS_ANNEE (A15), address (2, C15 + 1) &amp; "":"" &amp; address (9999, C15 + 1)), month (ZONE (MOIS_VERS_ANNEE (A15), ""A2:A"")) = mod (A15 - 1, 12) + 1, ZONE (MOIS_VERS_ANNEE (A15), ""A2:A"") &lt;&gt; """"))"),3190.0)</f>
        <v>3190</v>
      </c>
    </row>
    <row r="16" ht="12.75" customHeight="1">
      <c r="A16" s="35">
        <f t="shared" si="2"/>
        <v>3</v>
      </c>
      <c r="B16" s="40">
        <f t="shared" ref="B16:C16" si="11"> B11</f>
        <v>2</v>
      </c>
      <c r="C16" s="36">
        <f t="shared" si="11"/>
        <v>5</v>
      </c>
      <c r="D16" s="50">
        <f> indirect(address(match("Nbre " &amp; vlookup(A16, Mois!$A$2:$C1000, 3), ZONE(MOIS_VERS_ANNEE(A16), "K:K"), 0) - 1, 14, 4, true, MOIS_VERS_ANNEE(A16)))</f>
        <v>7612.74</v>
      </c>
    </row>
    <row r="17" ht="12.75" customHeight="1">
      <c r="A17" s="35">
        <f t="shared" si="2"/>
        <v>4</v>
      </c>
      <c r="B17" s="40">
        <f t="shared" ref="B17:C17" si="12"> B12</f>
        <v>1</v>
      </c>
      <c r="C17" s="36">
        <f t="shared" si="12"/>
        <v>1</v>
      </c>
      <c r="D17" s="50">
        <f>IFERROR(__xludf.DUMMYFUNCTION(" sum (filter (ZONE (MOIS_VERS_ANNEE (A17), address (2, C17 + 1) &amp; "":"" &amp; address (9999, C17 + 1)), month (ZONE (MOIS_VERS_ANNEE (A17), ""A2:A"")) = mod (A17 - 1, 12) + 1, ZONE (MOIS_VERS_ANNEE (A17), ""A2:A"") &lt;&gt; """"))"),6972.2)</f>
        <v>6972.2</v>
      </c>
    </row>
    <row r="18" ht="12.75" customHeight="1">
      <c r="A18" s="35">
        <f t="shared" si="2"/>
        <v>4</v>
      </c>
      <c r="B18" s="40">
        <f t="shared" ref="B18:C18" si="13"> B13</f>
        <v>1</v>
      </c>
      <c r="C18" s="36">
        <f t="shared" si="13"/>
        <v>2</v>
      </c>
      <c r="D18" s="50">
        <f>IFERROR(__xludf.DUMMYFUNCTION(" sum (filter (ZONE (MOIS_VERS_ANNEE (A18), address (2, C18 + 1) &amp; "":"" &amp; address (9999, C18 + 1)), month (ZONE (MOIS_VERS_ANNEE (A18), ""A2:A"")) = mod (A18 - 1, 12) + 1, ZONE (MOIS_VERS_ANNEE (A18), ""A2:A"") &lt;&gt; """"))"),3866.63)</f>
        <v>3866.63</v>
      </c>
    </row>
    <row r="19" ht="12.75" customHeight="1">
      <c r="A19" s="35">
        <f t="shared" si="2"/>
        <v>4</v>
      </c>
      <c r="B19" s="40">
        <f t="shared" ref="B19:C19" si="14"> B14</f>
        <v>1</v>
      </c>
      <c r="C19" s="36">
        <f t="shared" si="14"/>
        <v>3</v>
      </c>
      <c r="D19" s="50">
        <f>IFERROR(__xludf.DUMMYFUNCTION(" sum (filter (ZONE (MOIS_VERS_ANNEE (A19), address (2, C19 + 1) &amp; "":"" &amp; address (9999, C19 + 1)), month (ZONE (MOIS_VERS_ANNEE (A19), ""A2:A"")) = mod (A19 - 1, 12) + 1, ZONE (MOIS_VERS_ANNEE (A19), ""A2:A"") &lt;&gt; """"))"),12210.0)</f>
        <v>12210</v>
      </c>
    </row>
    <row r="20" ht="12.75" customHeight="1">
      <c r="A20" s="35">
        <f t="shared" si="2"/>
        <v>4</v>
      </c>
      <c r="B20" s="40">
        <f t="shared" ref="B20:C20" si="15"> B15</f>
        <v>1</v>
      </c>
      <c r="C20" s="36">
        <f t="shared" si="15"/>
        <v>4</v>
      </c>
      <c r="D20" s="50">
        <f>IFERROR(__xludf.DUMMYFUNCTION(" sum (filter (ZONE (MOIS_VERS_ANNEE (A20), address (2, C20 + 1) &amp; "":"" &amp; address (9999, C20 + 1)), month (ZONE (MOIS_VERS_ANNEE (A20), ""A2:A"")) = mod (A20 - 1, 12) + 1, ZONE (MOIS_VERS_ANNEE (A20), ""A2:A"") &lt;&gt; """"))"),2530.0)</f>
        <v>2530</v>
      </c>
    </row>
    <row r="21" ht="12.75" customHeight="1">
      <c r="A21" s="35">
        <f t="shared" si="2"/>
        <v>4</v>
      </c>
      <c r="B21" s="40">
        <f t="shared" ref="B21:C21" si="16"> B16</f>
        <v>2</v>
      </c>
      <c r="C21" s="36">
        <f t="shared" si="16"/>
        <v>5</v>
      </c>
      <c r="D21" s="50">
        <f> indirect(address(match("Nbre " &amp; vlookup(A21, Mois!$A$2:$C1000, 3), ZONE(MOIS_VERS_ANNEE(A21), "K:K"), 0) - 1, 14, 4, true, MOIS_VERS_ANNEE(A21)))</f>
        <v>7198.2</v>
      </c>
    </row>
    <row r="22" ht="12.75" customHeight="1">
      <c r="A22" s="35">
        <f t="shared" si="2"/>
        <v>5</v>
      </c>
      <c r="B22" s="40">
        <f t="shared" ref="B22:C22" si="17"> B17</f>
        <v>1</v>
      </c>
      <c r="C22" s="36">
        <f t="shared" si="17"/>
        <v>1</v>
      </c>
      <c r="D22" s="50">
        <f>IFERROR(__xludf.DUMMYFUNCTION(" sum (filter (ZONE (MOIS_VERS_ANNEE (A22), address (2, C22 + 1) &amp; "":"" &amp; address (9999, C22 + 1)), month (ZONE (MOIS_VERS_ANNEE (A22), ""A2:A"")) = mod (A22 - 1, 12) + 1, ZONE (MOIS_VERS_ANNEE (A22), ""A2:A"") &lt;&gt; """"))"),7070.0)</f>
        <v>7070</v>
      </c>
    </row>
    <row r="23" ht="12.75" customHeight="1">
      <c r="A23" s="35">
        <f t="shared" si="2"/>
        <v>5</v>
      </c>
      <c r="B23" s="40">
        <f t="shared" ref="B23:C23" si="18"> B18</f>
        <v>1</v>
      </c>
      <c r="C23" s="36">
        <f t="shared" si="18"/>
        <v>2</v>
      </c>
      <c r="D23" s="50">
        <f>IFERROR(__xludf.DUMMYFUNCTION(" sum (filter (ZONE (MOIS_VERS_ANNEE (A23), address (2, C23 + 1) &amp; "":"" &amp; address (9999, C23 + 1)), month (ZONE (MOIS_VERS_ANNEE (A23), ""A2:A"")) = mod (A23 - 1, 12) + 1, ZONE (MOIS_VERS_ANNEE (A23), ""A2:A"") &lt;&gt; """"))"),4057.62)</f>
        <v>4057.62</v>
      </c>
    </row>
    <row r="24" ht="12.75" customHeight="1">
      <c r="A24" s="35">
        <f t="shared" si="2"/>
        <v>5</v>
      </c>
      <c r="B24" s="40">
        <f t="shared" ref="B24:C24" si="19"> B19</f>
        <v>1</v>
      </c>
      <c r="C24" s="36">
        <f t="shared" si="19"/>
        <v>3</v>
      </c>
      <c r="D24" s="50">
        <f>IFERROR(__xludf.DUMMYFUNCTION(" sum (filter (ZONE (MOIS_VERS_ANNEE (A24), address (2, C24 + 1) &amp; "":"" &amp; address (9999, C24 + 1)), month (ZONE (MOIS_VERS_ANNEE (A24), ""A2:A"")) = mod (A24 - 1, 12) + 1, ZONE (MOIS_VERS_ANNEE (A24), ""A2:A"") &lt;&gt; """"))"),11980.0)</f>
        <v>11980</v>
      </c>
    </row>
    <row r="25" ht="12.75" customHeight="1">
      <c r="A25" s="35">
        <f t="shared" si="2"/>
        <v>5</v>
      </c>
      <c r="B25" s="40">
        <f t="shared" ref="B25:C25" si="20"> B20</f>
        <v>1</v>
      </c>
      <c r="C25" s="36">
        <f t="shared" si="20"/>
        <v>4</v>
      </c>
      <c r="D25" s="50">
        <f>IFERROR(__xludf.DUMMYFUNCTION(" sum (filter (ZONE (MOIS_VERS_ANNEE (A25), address (2, C25 + 1) &amp; "":"" &amp; address (9999, C25 + 1)), month (ZONE (MOIS_VERS_ANNEE (A25), ""A2:A"")) = mod (A25 - 1, 12) + 1, ZONE (MOIS_VERS_ANNEE (A25), ""A2:A"") &lt;&gt; """"))"),2176.0)</f>
        <v>2176</v>
      </c>
    </row>
    <row r="26" ht="12.75" customHeight="1">
      <c r="A26" s="35">
        <f t="shared" si="2"/>
        <v>5</v>
      </c>
      <c r="B26" s="40">
        <f t="shared" ref="B26:C26" si="21"> B21</f>
        <v>2</v>
      </c>
      <c r="C26" s="36">
        <f t="shared" si="21"/>
        <v>5</v>
      </c>
      <c r="D26" s="50">
        <f> indirect(address(match("Nbre " &amp; vlookup(A26, Mois!$A$2:$C1000, 3), ZONE(MOIS_VERS_ANNEE(A26), "K:K"), 0) - 1, 14, 4, true, MOIS_VERS_ANNEE(A26)))</f>
        <v>6083.64</v>
      </c>
    </row>
    <row r="27" ht="12.75" customHeight="1">
      <c r="A27" s="35">
        <f t="shared" si="2"/>
        <v>6</v>
      </c>
      <c r="B27" s="40">
        <f t="shared" ref="B27:C27" si="22"> B22</f>
        <v>1</v>
      </c>
      <c r="C27" s="36">
        <f t="shared" si="22"/>
        <v>1</v>
      </c>
      <c r="D27" s="50">
        <f>IFERROR(__xludf.DUMMYFUNCTION(" sum (filter (ZONE (MOIS_VERS_ANNEE (A27), address (2, C27 + 1) &amp; "":"" &amp; address (9999, C27 + 1)), month (ZONE (MOIS_VERS_ANNEE (A27), ""A2:A"")) = mod (A27 - 1, 12) + 1, ZONE (MOIS_VERS_ANNEE (A27), ""A2:A"") &lt;&gt; """"))"),7182.62)</f>
        <v>7182.62</v>
      </c>
    </row>
    <row r="28" ht="12.75" customHeight="1">
      <c r="A28" s="35">
        <f t="shared" si="2"/>
        <v>6</v>
      </c>
      <c r="B28" s="40">
        <f t="shared" ref="B28:C28" si="23"> B23</f>
        <v>1</v>
      </c>
      <c r="C28" s="36">
        <f t="shared" si="23"/>
        <v>2</v>
      </c>
      <c r="D28" s="50">
        <f>IFERROR(__xludf.DUMMYFUNCTION(" sum (filter (ZONE (MOIS_VERS_ANNEE (A28), address (2, C28 + 1) &amp; "":"" &amp; address (9999, C28 + 1)), month (ZONE (MOIS_VERS_ANNEE (A28), ""A2:A"")) = mod (A28 - 1, 12) + 1, ZONE (MOIS_VERS_ANNEE (A28), ""A2:A"") &lt;&gt; """"))"),3084.36)</f>
        <v>3084.36</v>
      </c>
    </row>
    <row r="29" ht="12.75" customHeight="1">
      <c r="A29" s="35">
        <f t="shared" si="2"/>
        <v>6</v>
      </c>
      <c r="B29" s="40">
        <f t="shared" ref="B29:C29" si="24"> B24</f>
        <v>1</v>
      </c>
      <c r="C29" s="36">
        <f t="shared" si="24"/>
        <v>3</v>
      </c>
      <c r="D29" s="50">
        <f>IFERROR(__xludf.DUMMYFUNCTION(" sum (filter (ZONE (MOIS_VERS_ANNEE (A29), address (2, C29 + 1) &amp; "":"" &amp; address (9999, C29 + 1)), month (ZONE (MOIS_VERS_ANNEE (A29), ""A2:A"")) = mod (A29 - 1, 12) + 1, ZONE (MOIS_VERS_ANNEE (A29), ""A2:A"") &lt;&gt; """"))"),14090.0)</f>
        <v>14090</v>
      </c>
    </row>
    <row r="30" ht="12.75" customHeight="1">
      <c r="A30" s="35">
        <f t="shared" si="2"/>
        <v>6</v>
      </c>
      <c r="B30" s="40">
        <f t="shared" ref="B30:C30" si="25"> B25</f>
        <v>1</v>
      </c>
      <c r="C30" s="36">
        <f t="shared" si="25"/>
        <v>4</v>
      </c>
      <c r="D30" s="50">
        <f>IFERROR(__xludf.DUMMYFUNCTION(" sum (filter (ZONE (MOIS_VERS_ANNEE (A30), address (2, C30 + 1) &amp; "":"" &amp; address (9999, C30 + 1)), month (ZONE (MOIS_VERS_ANNEE (A30), ""A2:A"")) = mod (A30 - 1, 12) + 1, ZONE (MOIS_VERS_ANNEE (A30), ""A2:A"") &lt;&gt; """"))"),2070.0)</f>
        <v>2070</v>
      </c>
    </row>
    <row r="31" ht="12.75" customHeight="1">
      <c r="A31" s="35">
        <f t="shared" si="2"/>
        <v>6</v>
      </c>
      <c r="B31" s="40">
        <f t="shared" ref="B31:C31" si="26"> B26</f>
        <v>2</v>
      </c>
      <c r="C31" s="36">
        <f t="shared" si="26"/>
        <v>5</v>
      </c>
      <c r="D31" s="50">
        <f> indirect(address(match("Nbre " &amp; vlookup(A31, Mois!$A$2:$C1000, 3), ZONE(MOIS_VERS_ANNEE(A31), "K:K"), 0) - 1, 14, 4, true, MOIS_VERS_ANNEE(A31)))</f>
        <v>8800.92</v>
      </c>
    </row>
    <row r="32" ht="12.75" customHeight="1">
      <c r="A32" s="35">
        <f t="shared" si="2"/>
        <v>7</v>
      </c>
      <c r="B32" s="40">
        <f t="shared" ref="B32:C32" si="27"> B27</f>
        <v>1</v>
      </c>
      <c r="C32" s="36">
        <f t="shared" si="27"/>
        <v>1</v>
      </c>
      <c r="D32" s="50">
        <f>IFERROR(__xludf.DUMMYFUNCTION(" sum (filter (ZONE (MOIS_VERS_ANNEE (A32), address (2, C32 + 1) &amp; "":"" &amp; address (9999, C32 + 1)), month (ZONE (MOIS_VERS_ANNEE (A32), ""A2:A"")) = mod (A32 - 1, 12) + 1, ZONE (MOIS_VERS_ANNEE (A32), ""A2:A"") &lt;&gt; """"))"),6900.0)</f>
        <v>6900</v>
      </c>
    </row>
    <row r="33" ht="12.75" customHeight="1">
      <c r="A33" s="35">
        <f t="shared" si="2"/>
        <v>7</v>
      </c>
      <c r="B33" s="40">
        <f t="shared" ref="B33:C33" si="28"> B28</f>
        <v>1</v>
      </c>
      <c r="C33" s="36">
        <f t="shared" si="28"/>
        <v>2</v>
      </c>
      <c r="D33" s="50">
        <f>IFERROR(__xludf.DUMMYFUNCTION(" sum (filter (ZONE (MOIS_VERS_ANNEE (A33), address (2, C33 + 1) &amp; "":"" &amp; address (9999, C33 + 1)), month (ZONE (MOIS_VERS_ANNEE (A33), ""A2:A"")) = mod (A33 - 1, 12) + 1, ZONE (MOIS_VERS_ANNEE (A33), ""A2:A"") &lt;&gt; """"))"),2776.0299999999997)</f>
        <v>2776.03</v>
      </c>
    </row>
    <row r="34" ht="12.75" customHeight="1">
      <c r="A34" s="35">
        <f t="shared" si="2"/>
        <v>7</v>
      </c>
      <c r="B34" s="40">
        <f t="shared" ref="B34:C34" si="29"> B29</f>
        <v>1</v>
      </c>
      <c r="C34" s="36">
        <f t="shared" si="29"/>
        <v>3</v>
      </c>
      <c r="D34" s="50">
        <f>IFERROR(__xludf.DUMMYFUNCTION(" sum (filter (ZONE (MOIS_VERS_ANNEE (A34), address (2, C34 + 1) &amp; "":"" &amp; address (9999, C34 + 1)), month (ZONE (MOIS_VERS_ANNEE (A34), ""A2:A"")) = mod (A34 - 1, 12) + 1, ZONE (MOIS_VERS_ANNEE (A34), ""A2:A"") &lt;&gt; """"))"),12700.0)</f>
        <v>12700</v>
      </c>
    </row>
    <row r="35" ht="12.75" customHeight="1">
      <c r="A35" s="35">
        <f t="shared" si="2"/>
        <v>7</v>
      </c>
      <c r="B35" s="40">
        <f t="shared" ref="B35:C35" si="30"> B30</f>
        <v>1</v>
      </c>
      <c r="C35" s="36">
        <f t="shared" si="30"/>
        <v>4</v>
      </c>
      <c r="D35" s="50">
        <f>IFERROR(__xludf.DUMMYFUNCTION(" sum (filter (ZONE (MOIS_VERS_ANNEE (A35), address (2, C35 + 1) &amp; "":"" &amp; address (9999, C35 + 1)), month (ZONE (MOIS_VERS_ANNEE (A35), ""A2:A"")) = mod (A35 - 1, 12) + 1, ZONE (MOIS_VERS_ANNEE (A35), ""A2:A"") &lt;&gt; """"))"),2150.0)</f>
        <v>2150</v>
      </c>
    </row>
    <row r="36" ht="12.75" customHeight="1">
      <c r="A36" s="35">
        <f t="shared" si="2"/>
        <v>7</v>
      </c>
      <c r="B36" s="40">
        <f t="shared" ref="B36:C36" si="31"> B31</f>
        <v>2</v>
      </c>
      <c r="C36" s="36">
        <f t="shared" si="31"/>
        <v>5</v>
      </c>
      <c r="D36" s="50">
        <f> indirect(address(match("Nbre " &amp; vlookup(A36, Mois!$A$2:$C1000, 3), ZONE(MOIS_VERS_ANNEE(A36), "K:K"), 0) - 1, 14, 4, true, MOIS_VERS_ANNEE(A36)))</f>
        <v>6749.1</v>
      </c>
    </row>
    <row r="37" ht="12.75" customHeight="1">
      <c r="A37" s="35">
        <f t="shared" si="2"/>
        <v>8</v>
      </c>
      <c r="B37" s="40">
        <f t="shared" ref="B37:C37" si="32"> B32</f>
        <v>1</v>
      </c>
      <c r="C37" s="36">
        <f t="shared" si="32"/>
        <v>1</v>
      </c>
      <c r="D37" s="50">
        <f>IFERROR(__xludf.DUMMYFUNCTION(" sum (filter (ZONE (MOIS_VERS_ANNEE (A37), address (2, C37 + 1) &amp; "":"" &amp; address (9999, C37 + 1)), month (ZONE (MOIS_VERS_ANNEE (A37), ""A2:A"")) = mod (A37 - 1, 12) + 1, ZONE (MOIS_VERS_ANNEE (A37), ""A2:A"") &lt;&gt; """"))"),4290.0)</f>
        <v>4290</v>
      </c>
    </row>
    <row r="38" ht="12.75" customHeight="1">
      <c r="A38" s="35">
        <f t="shared" si="2"/>
        <v>8</v>
      </c>
      <c r="B38" s="40">
        <f t="shared" ref="B38:C38" si="33"> B33</f>
        <v>1</v>
      </c>
      <c r="C38" s="36">
        <f t="shared" si="33"/>
        <v>2</v>
      </c>
      <c r="D38" s="50">
        <f>IFERROR(__xludf.DUMMYFUNCTION(" sum (filter (ZONE (MOIS_VERS_ANNEE (A38), address (2, C38 + 1) &amp; "":"" &amp; address (9999, C38 + 1)), month (ZONE (MOIS_VERS_ANNEE (A38), ""A2:A"")) = mod (A38 - 1, 12) + 1, ZONE (MOIS_VERS_ANNEE (A38), ""A2:A"") &lt;&gt; """"))"),3914.83)</f>
        <v>3914.83</v>
      </c>
    </row>
    <row r="39" ht="12.75" customHeight="1">
      <c r="A39" s="35">
        <f t="shared" si="2"/>
        <v>8</v>
      </c>
      <c r="B39" s="40">
        <f t="shared" ref="B39:C39" si="34"> B34</f>
        <v>1</v>
      </c>
      <c r="C39" s="36">
        <f t="shared" si="34"/>
        <v>3</v>
      </c>
      <c r="D39" s="50">
        <f>IFERROR(__xludf.DUMMYFUNCTION(" sum (filter (ZONE (MOIS_VERS_ANNEE (A39), address (2, C39 + 1) &amp; "":"" &amp; address (9999, C39 + 1)), month (ZONE (MOIS_VERS_ANNEE (A39), ""A2:A"")) = mod (A39 - 1, 12) + 1, ZONE (MOIS_VERS_ANNEE (A39), ""A2:A"") &lt;&gt; """"))"),8000.0)</f>
        <v>8000</v>
      </c>
    </row>
    <row r="40" ht="12.75" customHeight="1">
      <c r="A40" s="35">
        <f t="shared" si="2"/>
        <v>8</v>
      </c>
      <c r="B40" s="40">
        <f t="shared" ref="B40:C40" si="35"> B35</f>
        <v>1</v>
      </c>
      <c r="C40" s="36">
        <f t="shared" si="35"/>
        <v>4</v>
      </c>
      <c r="D40" s="50">
        <f>IFERROR(__xludf.DUMMYFUNCTION(" sum (filter (ZONE (MOIS_VERS_ANNEE (A40), address (2, C40 + 1) &amp; "":"" &amp; address (9999, C40 + 1)), month (ZONE (MOIS_VERS_ANNEE (A40), ""A2:A"")) = mod (A40 - 1, 12) + 1, ZONE (MOIS_VERS_ANNEE (A40), ""A2:A"") &lt;&gt; """"))"),1670.0)</f>
        <v>1670</v>
      </c>
    </row>
    <row r="41" ht="12.75" customHeight="1">
      <c r="A41" s="35">
        <f t="shared" si="2"/>
        <v>8</v>
      </c>
      <c r="B41" s="40">
        <f t="shared" ref="B41:C41" si="36"> B36</f>
        <v>2</v>
      </c>
      <c r="C41" s="36">
        <f t="shared" si="36"/>
        <v>5</v>
      </c>
      <c r="D41" s="50">
        <f> indirect(address(match("Nbre " &amp; vlookup(A41, Mois!$A$2:$C1000, 3), ZONE(MOIS_VERS_ANNEE(A41), "K:K"), 0) - 1, 14, 4, true, MOIS_VERS_ANNEE(A41)))</f>
        <v>2033.64</v>
      </c>
    </row>
    <row r="42" ht="12.75" customHeight="1">
      <c r="A42" s="35">
        <f t="shared" si="2"/>
        <v>9</v>
      </c>
      <c r="B42" s="40">
        <f t="shared" ref="B42:C42" si="37"> B37</f>
        <v>1</v>
      </c>
      <c r="C42" s="36">
        <f t="shared" si="37"/>
        <v>1</v>
      </c>
      <c r="D42" s="50">
        <f>IFERROR(__xludf.DUMMYFUNCTION(" sum (filter (ZONE (MOIS_VERS_ANNEE (A42), address (2, C42 + 1) &amp; "":"" &amp; address (9999, C42 + 1)), month (ZONE (MOIS_VERS_ANNEE (A42), ""A2:A"")) = mod (A42 - 1, 12) + 1, ZONE (MOIS_VERS_ANNEE (A42), ""A2:A"") &lt;&gt; """"))"),5190.0)</f>
        <v>5190</v>
      </c>
    </row>
    <row r="43" ht="12.75" customHeight="1">
      <c r="A43" s="35">
        <f t="shared" si="2"/>
        <v>9</v>
      </c>
      <c r="B43" s="40">
        <f t="shared" ref="B43:C43" si="38"> B38</f>
        <v>1</v>
      </c>
      <c r="C43" s="36">
        <f t="shared" si="38"/>
        <v>2</v>
      </c>
      <c r="D43" s="50">
        <f>IFERROR(__xludf.DUMMYFUNCTION(" sum (filter (ZONE (MOIS_VERS_ANNEE (A43), address (2, C43 + 1) &amp; "":"" &amp; address (9999, C43 + 1)), month (ZONE (MOIS_VERS_ANNEE (A43), ""A2:A"")) = mod (A43 - 1, 12) + 1, ZONE (MOIS_VERS_ANNEE (A43), ""A2:A"") &lt;&gt; """"))"),3868.42)</f>
        <v>3868.42</v>
      </c>
    </row>
    <row r="44" ht="12.75" customHeight="1">
      <c r="A44" s="35">
        <f t="shared" si="2"/>
        <v>9</v>
      </c>
      <c r="B44" s="40">
        <f t="shared" ref="B44:C44" si="39"> B39</f>
        <v>1</v>
      </c>
      <c r="C44" s="36">
        <f t="shared" si="39"/>
        <v>3</v>
      </c>
      <c r="D44" s="50">
        <f>IFERROR(__xludf.DUMMYFUNCTION(" sum (filter (ZONE (MOIS_VERS_ANNEE (A44), address (2, C44 + 1) &amp; "":"" &amp; address (9999, C44 + 1)), month (ZONE (MOIS_VERS_ANNEE (A44), ""A2:A"")) = mod (A44 - 1, 12) + 1, ZONE (MOIS_VERS_ANNEE (A44), ""A2:A"") &lt;&gt; """"))"),11330.0)</f>
        <v>11330</v>
      </c>
    </row>
    <row r="45" ht="12.75" customHeight="1">
      <c r="A45" s="35">
        <f t="shared" si="2"/>
        <v>9</v>
      </c>
      <c r="B45" s="40">
        <f t="shared" ref="B45:C45" si="40"> B40</f>
        <v>1</v>
      </c>
      <c r="C45" s="36">
        <f t="shared" si="40"/>
        <v>4</v>
      </c>
      <c r="D45" s="50">
        <f>IFERROR(__xludf.DUMMYFUNCTION(" sum (filter (ZONE (MOIS_VERS_ANNEE (A45), address (2, C45 + 1) &amp; "":"" &amp; address (9999, C45 + 1)), month (ZONE (MOIS_VERS_ANNEE (A45), ""A2:A"")) = mod (A45 - 1, 12) + 1, ZONE (MOIS_VERS_ANNEE (A45), ""A2:A"") &lt;&gt; """"))"),1790.0)</f>
        <v>1790</v>
      </c>
    </row>
    <row r="46" ht="12.75" customHeight="1">
      <c r="A46" s="35">
        <f t="shared" si="2"/>
        <v>9</v>
      </c>
      <c r="B46" s="40">
        <f t="shared" ref="B46:C46" si="41"> B41</f>
        <v>2</v>
      </c>
      <c r="C46" s="36">
        <f t="shared" si="41"/>
        <v>5</v>
      </c>
      <c r="D46" s="50">
        <f> indirect(address(match("Nbre " &amp; vlookup(A46, Mois!$A$2:$C1000, 3), ZONE(MOIS_VERS_ANNEE(A46), "K:K"), 0) - 1, 14, 4, true, MOIS_VERS_ANNEE(A46)))</f>
        <v>7400.92</v>
      </c>
    </row>
    <row r="47" ht="12.75" customHeight="1">
      <c r="A47" s="35">
        <f t="shared" si="2"/>
        <v>10</v>
      </c>
      <c r="B47" s="40">
        <f t="shared" ref="B47:C47" si="42"> B42</f>
        <v>1</v>
      </c>
      <c r="C47" s="36">
        <f t="shared" si="42"/>
        <v>1</v>
      </c>
      <c r="D47" s="50">
        <f>IFERROR(__xludf.DUMMYFUNCTION(" sum (filter (ZONE (MOIS_VERS_ANNEE (A47), address (2, C47 + 1) &amp; "":"" &amp; address (9999, C47 + 1)), month (ZONE (MOIS_VERS_ANNEE (A47), ""A2:A"")) = mod (A47 - 1, 12) + 1, ZONE (MOIS_VERS_ANNEE (A47), ""A2:A"") &lt;&gt; """"))"),7290.0)</f>
        <v>7290</v>
      </c>
    </row>
    <row r="48" ht="12.75" customHeight="1">
      <c r="A48" s="35">
        <f t="shared" si="2"/>
        <v>10</v>
      </c>
      <c r="B48" s="40">
        <f t="shared" ref="B48:C48" si="43"> B43</f>
        <v>1</v>
      </c>
      <c r="C48" s="36">
        <f t="shared" si="43"/>
        <v>2</v>
      </c>
      <c r="D48" s="50">
        <f>IFERROR(__xludf.DUMMYFUNCTION(" sum (filter (ZONE (MOIS_VERS_ANNEE (A48), address (2, C48 + 1) &amp; "":"" &amp; address (9999, C48 + 1)), month (ZONE (MOIS_VERS_ANNEE (A48), ""A2:A"")) = mod (A48 - 1, 12) + 1, ZONE (MOIS_VERS_ANNEE (A48), ""A2:A"") &lt;&gt; """"))"),4345.150000000001)</f>
        <v>4345.15</v>
      </c>
    </row>
    <row r="49" ht="12.75" customHeight="1">
      <c r="A49" s="35">
        <f t="shared" si="2"/>
        <v>10</v>
      </c>
      <c r="B49" s="40">
        <f t="shared" ref="B49:C49" si="44"> B44</f>
        <v>1</v>
      </c>
      <c r="C49" s="36">
        <f t="shared" si="44"/>
        <v>3</v>
      </c>
      <c r="D49" s="50">
        <f>IFERROR(__xludf.DUMMYFUNCTION(" sum (filter (ZONE (MOIS_VERS_ANNEE (A49), address (2, C49 + 1) &amp; "":"" &amp; address (9999, C49 + 1)), month (ZONE (MOIS_VERS_ANNEE (A49), ""A2:A"")) = mod (A49 - 1, 12) + 1, ZONE (MOIS_VERS_ANNEE (A49), ""A2:A"") &lt;&gt; """"))"),14580.0)</f>
        <v>14580</v>
      </c>
    </row>
    <row r="50" ht="12.75" customHeight="1">
      <c r="A50" s="35">
        <f t="shared" si="2"/>
        <v>10</v>
      </c>
      <c r="B50" s="40">
        <f t="shared" ref="B50:C50" si="45"> B45</f>
        <v>1</v>
      </c>
      <c r="C50" s="36">
        <f t="shared" si="45"/>
        <v>4</v>
      </c>
      <c r="D50" s="50">
        <f>IFERROR(__xludf.DUMMYFUNCTION(" sum (filter (ZONE (MOIS_VERS_ANNEE (A50), address (2, C50 + 1) &amp; "":"" &amp; address (9999, C50 + 1)), month (ZONE (MOIS_VERS_ANNEE (A50), ""A2:A"")) = mod (A50 - 1, 12) + 1, ZONE (MOIS_VERS_ANNEE (A50), ""A2:A"") &lt;&gt; """"))"),3280.0)</f>
        <v>3280</v>
      </c>
    </row>
    <row r="51" ht="12.75" customHeight="1">
      <c r="A51" s="35">
        <f t="shared" si="2"/>
        <v>10</v>
      </c>
      <c r="B51" s="40">
        <f t="shared" ref="B51:C51" si="46"> B46</f>
        <v>2</v>
      </c>
      <c r="C51" s="36">
        <f t="shared" si="46"/>
        <v>5</v>
      </c>
      <c r="D51" s="50">
        <f> indirect(address(match("Nbre " &amp; vlookup(A51, Mois!$A$2:$C1000, 3), ZONE(MOIS_VERS_ANNEE(A51), "K:K"), 0) - 1, 14, 4, true, MOIS_VERS_ANNEE(A51)))</f>
        <v>9520.92</v>
      </c>
    </row>
    <row r="52" ht="12.75" customHeight="1">
      <c r="A52" s="35">
        <f t="shared" si="2"/>
        <v>11</v>
      </c>
      <c r="B52" s="40">
        <f t="shared" ref="B52:C52" si="47"> B47</f>
        <v>1</v>
      </c>
      <c r="C52" s="36">
        <f t="shared" si="47"/>
        <v>1</v>
      </c>
      <c r="D52" s="50">
        <f>IFERROR(__xludf.DUMMYFUNCTION(" sum (filter (ZONE (MOIS_VERS_ANNEE (A52), address (2, C52 + 1) &amp; "":"" &amp; address (9999, C52 + 1)), month (ZONE (MOIS_VERS_ANNEE (A52), ""A2:A"")) = mod (A52 - 1, 12) + 1, ZONE (MOIS_VERS_ANNEE (A52), ""A2:A"") &lt;&gt; """"))"),4420.0)</f>
        <v>4420</v>
      </c>
    </row>
    <row r="53" ht="12.75" customHeight="1">
      <c r="A53" s="35">
        <f t="shared" si="2"/>
        <v>11</v>
      </c>
      <c r="B53" s="40">
        <f t="shared" ref="B53:C53" si="48"> B48</f>
        <v>1</v>
      </c>
      <c r="C53" s="36">
        <f t="shared" si="48"/>
        <v>2</v>
      </c>
      <c r="D53" s="50">
        <f>IFERROR(__xludf.DUMMYFUNCTION(" sum (filter (ZONE (MOIS_VERS_ANNEE (A53), address (2, C53 + 1) &amp; "":"" &amp; address (9999, C53 + 1)), month (ZONE (MOIS_VERS_ANNEE (A53), ""A2:A"")) = mod (A53 - 1, 12) + 1, ZONE (MOIS_VERS_ANNEE (A53), ""A2:A"") &lt;&gt; """"))"),3998.27)</f>
        <v>3998.27</v>
      </c>
    </row>
    <row r="54" ht="12.75" customHeight="1">
      <c r="A54" s="35">
        <f t="shared" si="2"/>
        <v>11</v>
      </c>
      <c r="B54" s="40">
        <f t="shared" ref="B54:C54" si="49"> B49</f>
        <v>1</v>
      </c>
      <c r="C54" s="36">
        <f t="shared" si="49"/>
        <v>3</v>
      </c>
      <c r="D54" s="50">
        <f>IFERROR(__xludf.DUMMYFUNCTION(" sum (filter (ZONE (MOIS_VERS_ANNEE (A54), address (2, C54 + 1) &amp; "":"" &amp; address (9999, C54 + 1)), month (ZONE (MOIS_VERS_ANNEE (A54), ""A2:A"")) = mod (A54 - 1, 12) + 1, ZONE (MOIS_VERS_ANNEE (A54), ""A2:A"") &lt;&gt; """"))"),10022.33)</f>
        <v>10022.33</v>
      </c>
    </row>
    <row r="55" ht="12.75" customHeight="1">
      <c r="A55" s="35">
        <f t="shared" si="2"/>
        <v>11</v>
      </c>
      <c r="B55" s="40">
        <f t="shared" ref="B55:C55" si="50"> B50</f>
        <v>1</v>
      </c>
      <c r="C55" s="36">
        <f t="shared" si="50"/>
        <v>4</v>
      </c>
      <c r="D55" s="50">
        <f>IFERROR(__xludf.DUMMYFUNCTION(" sum (filter (ZONE (MOIS_VERS_ANNEE (A55), address (2, C55 + 1) &amp; "":"" &amp; address (9999, C55 + 1)), month (ZONE (MOIS_VERS_ANNEE (A55), ""A2:A"")) = mod (A55 - 1, 12) + 1, ZONE (MOIS_VERS_ANNEE (A55), ""A2:A"") &lt;&gt; """"))"),2482.2)</f>
        <v>2482.2</v>
      </c>
    </row>
    <row r="56" ht="12.75" customHeight="1">
      <c r="A56" s="35">
        <f t="shared" si="2"/>
        <v>11</v>
      </c>
      <c r="B56" s="40">
        <f t="shared" ref="B56:C56" si="51"> B51</f>
        <v>2</v>
      </c>
      <c r="C56" s="36">
        <f t="shared" si="51"/>
        <v>5</v>
      </c>
      <c r="D56" s="50">
        <f> indirect(address(match("Nbre " &amp; vlookup(A56, Mois!$A$2:$C1000, 3), ZONE(MOIS_VERS_ANNEE(A56), "K:K"), 0) - 1, 14, 4, true, MOIS_VERS_ANNEE(A56)))</f>
        <v>5596.38</v>
      </c>
    </row>
    <row r="57" ht="12.75" customHeight="1">
      <c r="A57" s="35">
        <f t="shared" si="2"/>
        <v>12</v>
      </c>
      <c r="B57" s="40">
        <f t="shared" ref="B57:C57" si="52"> B52</f>
        <v>1</v>
      </c>
      <c r="C57" s="36">
        <f t="shared" si="52"/>
        <v>1</v>
      </c>
      <c r="D57" s="50">
        <f>IFERROR(__xludf.DUMMYFUNCTION(" sum (filter (ZONE (MOIS_VERS_ANNEE (A57), address (2, C57 + 1) &amp; "":"" &amp; address (9999, C57 + 1)), month (ZONE (MOIS_VERS_ANNEE (A57), ""A2:A"")) = mod (A57 - 1, 12) + 1, ZONE (MOIS_VERS_ANNEE (A57), ""A2:A"") &lt;&gt; """"))"),3720.0)</f>
        <v>3720</v>
      </c>
    </row>
    <row r="58" ht="12.75" customHeight="1">
      <c r="A58" s="35">
        <f t="shared" si="2"/>
        <v>12</v>
      </c>
      <c r="B58" s="40">
        <f t="shared" ref="B58:C58" si="53"> B53</f>
        <v>1</v>
      </c>
      <c r="C58" s="36">
        <f t="shared" si="53"/>
        <v>2</v>
      </c>
      <c r="D58" s="50">
        <f>IFERROR(__xludf.DUMMYFUNCTION(" sum (filter (ZONE (MOIS_VERS_ANNEE (A58), address (2, C58 + 1) &amp; "":"" &amp; address (9999, C58 + 1)), month (ZONE (MOIS_VERS_ANNEE (A58), ""A2:A"")) = mod (A58 - 1, 12) + 1, ZONE (MOIS_VERS_ANNEE (A58), ""A2:A"") &lt;&gt; """"))"),2757.2599999999998)</f>
        <v>2757.26</v>
      </c>
    </row>
    <row r="59" ht="12.75" customHeight="1">
      <c r="A59" s="35">
        <f t="shared" si="2"/>
        <v>12</v>
      </c>
      <c r="B59" s="40">
        <f t="shared" ref="B59:C59" si="54"> B54</f>
        <v>1</v>
      </c>
      <c r="C59" s="36">
        <f t="shared" si="54"/>
        <v>3</v>
      </c>
      <c r="D59" s="50">
        <f>IFERROR(__xludf.DUMMYFUNCTION(" sum (filter (ZONE (MOIS_VERS_ANNEE (A59), address (2, C59 + 1) &amp; "":"" &amp; address (9999, C59 + 1)), month (ZONE (MOIS_VERS_ANNEE (A59), ""A2:A"")) = mod (A59 - 1, 12) + 1, ZONE (MOIS_VERS_ANNEE (A59), ""A2:A"") &lt;&gt; """"))"),8850.0)</f>
        <v>8850</v>
      </c>
    </row>
    <row r="60" ht="12.75" customHeight="1">
      <c r="A60" s="35">
        <f t="shared" si="2"/>
        <v>12</v>
      </c>
      <c r="B60" s="40">
        <f t="shared" ref="B60:C60" si="55"> B55</f>
        <v>1</v>
      </c>
      <c r="C60" s="36">
        <f t="shared" si="55"/>
        <v>4</v>
      </c>
      <c r="D60" s="50">
        <f>IFERROR(__xludf.DUMMYFUNCTION(" sum (filter (ZONE (MOIS_VERS_ANNEE (A60), address (2, C60 + 1) &amp; "":"" &amp; address (9999, C60 + 1)), month (ZONE (MOIS_VERS_ANNEE (A60), ""A2:A"")) = mod (A60 - 1, 12) + 1, ZONE (MOIS_VERS_ANNEE (A60), ""A2:A"") &lt;&gt; """"))"),1340.0)</f>
        <v>1340</v>
      </c>
    </row>
    <row r="61" ht="12.75" customHeight="1">
      <c r="A61" s="35">
        <f t="shared" si="2"/>
        <v>12</v>
      </c>
      <c r="B61" s="40">
        <f t="shared" ref="B61:C61" si="56"> B56</f>
        <v>2</v>
      </c>
      <c r="C61" s="36">
        <f t="shared" si="56"/>
        <v>5</v>
      </c>
      <c r="D61" s="50">
        <f> indirect(address(match("Nbre " &amp; vlookup(A61, Mois!$A$2:$C1000, 3), ZONE(MOIS_VERS_ANNEE(A61), "K:K"), 0) - 1, 14, 4, true, MOIS_VERS_ANNEE(A61)))</f>
        <v>1853.64</v>
      </c>
    </row>
    <row r="62" ht="12.75" customHeight="1">
      <c r="A62" s="35">
        <f t="shared" si="2"/>
        <v>13</v>
      </c>
      <c r="B62" s="40">
        <f t="shared" ref="B62:C62" si="57"> B57</f>
        <v>1</v>
      </c>
      <c r="C62" s="36">
        <f t="shared" si="57"/>
        <v>1</v>
      </c>
      <c r="D62" s="50">
        <f>IFERROR(__xludf.DUMMYFUNCTION(" sum (filter (ZONE (MOIS_VERS_ANNEE (A62), address (2, C62 + 1) &amp; "":"" &amp; address (9999, C62 + 1)), month (ZONE (MOIS_VERS_ANNEE (A62), ""A2:A"")) = mod (A62 - 1, 12) + 1, ZONE (MOIS_VERS_ANNEE (A62), ""A2:A"") &lt;&gt; """"))"),5540.0)</f>
        <v>5540</v>
      </c>
      <c r="I62" s="48"/>
      <c r="J62" s="50"/>
    </row>
    <row r="63" ht="12.75" customHeight="1">
      <c r="A63" s="35">
        <f t="shared" si="2"/>
        <v>13</v>
      </c>
      <c r="B63" s="40">
        <f t="shared" ref="B63:C63" si="58"> B58</f>
        <v>1</v>
      </c>
      <c r="C63" s="36">
        <f t="shared" si="58"/>
        <v>2</v>
      </c>
      <c r="D63" s="50">
        <f>IFERROR(__xludf.DUMMYFUNCTION(" sum (filter (ZONE (MOIS_VERS_ANNEE (A63), address (2, C63 + 1) &amp; "":"" &amp; address (9999, C63 + 1)), month (ZONE (MOIS_VERS_ANNEE (A63), ""A2:A"")) = mod (A63 - 1, 12) + 1, ZONE (MOIS_VERS_ANNEE (A63), ""A2:A"") &lt;&gt; """"))"),4320.5)</f>
        <v>4320.5</v>
      </c>
      <c r="I63" s="48"/>
      <c r="J63" s="50"/>
    </row>
    <row r="64" ht="12.75" customHeight="1">
      <c r="A64" s="35">
        <f t="shared" si="2"/>
        <v>13</v>
      </c>
      <c r="B64" s="40">
        <f t="shared" ref="B64:C64" si="59"> B59</f>
        <v>1</v>
      </c>
      <c r="C64" s="36">
        <f t="shared" si="59"/>
        <v>3</v>
      </c>
      <c r="D64" s="50">
        <f>IFERROR(__xludf.DUMMYFUNCTION(" sum (filter (ZONE (MOIS_VERS_ANNEE (A64), address (2, C64 + 1) &amp; "":"" &amp; address (9999, C64 + 1)), month (ZONE (MOIS_VERS_ANNEE (A64), ""A2:A"")) = mod (A64 - 1, 12) + 1, ZONE (MOIS_VERS_ANNEE (A64), ""A2:A"") &lt;&gt; """"))"),13590.0)</f>
        <v>13590</v>
      </c>
      <c r="I64" s="48"/>
      <c r="J64" s="50"/>
    </row>
    <row r="65" ht="12.75" customHeight="1">
      <c r="A65" s="35">
        <f t="shared" si="2"/>
        <v>13</v>
      </c>
      <c r="B65" s="40">
        <f t="shared" ref="B65:C65" si="60"> B60</f>
        <v>1</v>
      </c>
      <c r="C65" s="36">
        <f t="shared" si="60"/>
        <v>4</v>
      </c>
      <c r="D65" s="50">
        <f>IFERROR(__xludf.DUMMYFUNCTION(" sum (filter (ZONE (MOIS_VERS_ANNEE (A65), address (2, C65 + 1) &amp; "":"" &amp; address (9999, C65 + 1)), month (ZONE (MOIS_VERS_ANNEE (A65), ""A2:A"")) = mod (A65 - 1, 12) + 1, ZONE (MOIS_VERS_ANNEE (A65), ""A2:A"") &lt;&gt; """"))"),1590.0)</f>
        <v>1590</v>
      </c>
      <c r="I65" s="48"/>
      <c r="J65" s="50"/>
    </row>
    <row r="66" ht="12.75" customHeight="1">
      <c r="A66" s="35">
        <f t="shared" si="2"/>
        <v>13</v>
      </c>
      <c r="B66" s="40">
        <f t="shared" ref="B66:C66" si="61"> B61</f>
        <v>2</v>
      </c>
      <c r="C66" s="36">
        <f t="shared" si="61"/>
        <v>5</v>
      </c>
      <c r="D66" s="50">
        <f> indirect(address(match("Nbre " &amp; vlookup(A66, Mois!$A$2:$C1000, 3), ZONE(MOIS_VERS_ANNEE(A66), "K:K"), 0) - 1, 14, 4, true, MOIS_VERS_ANNEE(A66)))</f>
        <v>6910.02</v>
      </c>
      <c r="I66" s="48"/>
      <c r="J66" s="50"/>
    </row>
    <row r="67" ht="12.75" customHeight="1">
      <c r="A67" s="35">
        <f t="shared" si="2"/>
        <v>14</v>
      </c>
      <c r="B67" s="40">
        <f t="shared" ref="B67:C67" si="62"> B62</f>
        <v>1</v>
      </c>
      <c r="C67" s="36">
        <f t="shared" si="62"/>
        <v>1</v>
      </c>
      <c r="D67" s="50">
        <f>IFERROR(__xludf.DUMMYFUNCTION(" sum (filter (ZONE (MOIS_VERS_ANNEE (A67), address (2, C67 + 1) &amp; "":"" &amp; address (9999, C67 + 1)), month (ZONE (MOIS_VERS_ANNEE (A67), ""A2:A"")) = mod (A67 - 1, 12) + 1, ZONE (MOIS_VERS_ANNEE (A67), ""A2:A"") &lt;&gt; """"))"),7380.0)</f>
        <v>7380</v>
      </c>
    </row>
    <row r="68" ht="12.75" customHeight="1">
      <c r="A68" s="35">
        <f t="shared" si="2"/>
        <v>14</v>
      </c>
      <c r="B68" s="40">
        <f t="shared" ref="B68:C68" si="63"> B63</f>
        <v>1</v>
      </c>
      <c r="C68" s="36">
        <f t="shared" si="63"/>
        <v>2</v>
      </c>
      <c r="D68" s="50">
        <f>IFERROR(__xludf.DUMMYFUNCTION(" sum (filter (ZONE (MOIS_VERS_ANNEE (A68), address (2, C68 + 1) &amp; "":"" &amp; address (9999, C68 + 1)), month (ZONE (MOIS_VERS_ANNEE (A68), ""A2:A"")) = mod (A68 - 1, 12) + 1, ZONE (MOIS_VERS_ANNEE (A68), ""A2:A"") &lt;&gt; """"))"),4236.84)</f>
        <v>4236.84</v>
      </c>
    </row>
    <row r="69" ht="12.75" customHeight="1">
      <c r="A69" s="35">
        <f t="shared" si="2"/>
        <v>14</v>
      </c>
      <c r="B69" s="40">
        <f t="shared" ref="B69:C69" si="64"> B64</f>
        <v>1</v>
      </c>
      <c r="C69" s="36">
        <f t="shared" si="64"/>
        <v>3</v>
      </c>
      <c r="D69" s="50">
        <f>IFERROR(__xludf.DUMMYFUNCTION(" sum (filter (ZONE (MOIS_VERS_ANNEE (A69), address (2, C69 + 1) &amp; "":"" &amp; address (9999, C69 + 1)), month (ZONE (MOIS_VERS_ANNEE (A69), ""A2:A"")) = mod (A69 - 1, 12) + 1, ZONE (MOIS_VERS_ANNEE (A69), ""A2:A"") &lt;&gt; """"))"),14890.16)</f>
        <v>14890.16</v>
      </c>
    </row>
    <row r="70" ht="12.75" customHeight="1">
      <c r="A70" s="35">
        <f t="shared" si="2"/>
        <v>14</v>
      </c>
      <c r="B70" s="40">
        <f t="shared" ref="B70:C70" si="65"> B65</f>
        <v>1</v>
      </c>
      <c r="C70" s="36">
        <f t="shared" si="65"/>
        <v>4</v>
      </c>
      <c r="D70" s="50">
        <f>IFERROR(__xludf.DUMMYFUNCTION(" sum (filter (ZONE (MOIS_VERS_ANNEE (A70), address (2, C70 + 1) &amp; "":"" &amp; address (9999, C70 + 1)), month (ZONE (MOIS_VERS_ANNEE (A70), ""A2:A"")) = mod (A70 - 1, 12) + 1, ZONE (MOIS_VERS_ANNEE (A70), ""A2:A"") &lt;&gt; """"))"),2650.0)</f>
        <v>2650</v>
      </c>
    </row>
    <row r="71" ht="12.75" customHeight="1">
      <c r="A71" s="35">
        <f t="shared" si="2"/>
        <v>14</v>
      </c>
      <c r="B71" s="40">
        <f t="shared" ref="B71:C71" si="66"> B66</f>
        <v>2</v>
      </c>
      <c r="C71" s="36">
        <f t="shared" si="66"/>
        <v>5</v>
      </c>
      <c r="D71" s="50">
        <f> indirect(address(match("Nbre " &amp; vlookup(A71, Mois!$A$2:$C1000, 3), ZONE(MOIS_VERS_ANNEE(A71), "K:K"), 0) - 1, 14, 4, true, MOIS_VERS_ANNEE(A71)))</f>
        <v>9592.74</v>
      </c>
    </row>
    <row r="72" ht="12.75" customHeight="1">
      <c r="A72" s="35">
        <f t="shared" si="2"/>
        <v>15</v>
      </c>
      <c r="B72" s="40">
        <f t="shared" ref="B72:C72" si="67"> B67</f>
        <v>1</v>
      </c>
      <c r="C72" s="36">
        <f t="shared" si="67"/>
        <v>1</v>
      </c>
      <c r="D72" s="50">
        <f>IFERROR(__xludf.DUMMYFUNCTION(" sum (filter (ZONE (MOIS_VERS_ANNEE (A72), address (2, C72 + 1) &amp; "":"" &amp; address (9999, C72 + 1)), month (ZONE (MOIS_VERS_ANNEE (A72), ""A2:A"")) = mod (A72 - 1, 12) + 1, ZONE (MOIS_VERS_ANNEE (A72), ""A2:A"") &lt;&gt; """"))"),6210.0)</f>
        <v>6210</v>
      </c>
    </row>
    <row r="73" ht="12.75" customHeight="1">
      <c r="A73" s="35">
        <f t="shared" si="2"/>
        <v>15</v>
      </c>
      <c r="B73" s="40">
        <f t="shared" ref="B73:C73" si="68"> B68</f>
        <v>1</v>
      </c>
      <c r="C73" s="36">
        <f t="shared" si="68"/>
        <v>2</v>
      </c>
      <c r="D73" s="50">
        <f>IFERROR(__xludf.DUMMYFUNCTION(" sum (filter (ZONE (MOIS_VERS_ANNEE (A73), address (2, C73 + 1) &amp; "":"" &amp; address (9999, C73 + 1)), month (ZONE (MOIS_VERS_ANNEE (A73), ""A2:A"")) = mod (A73 - 1, 12) + 1, ZONE (MOIS_VERS_ANNEE (A73), ""A2:A"") &lt;&gt; """"))"),4587.170000000001)</f>
        <v>4587.17</v>
      </c>
    </row>
    <row r="74" ht="12.75" customHeight="1">
      <c r="A74" s="35">
        <f t="shared" si="2"/>
        <v>15</v>
      </c>
      <c r="B74" s="40">
        <f t="shared" ref="B74:C74" si="69"> B69</f>
        <v>1</v>
      </c>
      <c r="C74" s="36">
        <f t="shared" si="69"/>
        <v>3</v>
      </c>
      <c r="D74" s="50">
        <f>IFERROR(__xludf.DUMMYFUNCTION(" sum (filter (ZONE (MOIS_VERS_ANNEE (A74), address (2, C74 + 1) &amp; "":"" &amp; address (9999, C74 + 1)), month (ZONE (MOIS_VERS_ANNEE (A74), ""A2:A"")) = mod (A74 - 1, 12) + 1, ZONE (MOIS_VERS_ANNEE (A74), ""A2:A"") &lt;&gt; """"))"),18172.62)</f>
        <v>18172.62</v>
      </c>
    </row>
    <row r="75" ht="12.75" customHeight="1">
      <c r="A75" s="35">
        <f t="shared" si="2"/>
        <v>15</v>
      </c>
      <c r="B75" s="40">
        <f t="shared" ref="B75:C75" si="70"> B70</f>
        <v>1</v>
      </c>
      <c r="C75" s="36">
        <f t="shared" si="70"/>
        <v>4</v>
      </c>
      <c r="D75" s="50">
        <f>IFERROR(__xludf.DUMMYFUNCTION(" sum (filter (ZONE (MOIS_VERS_ANNEE (A75), address (2, C75 + 1) &amp; "":"" &amp; address (9999, C75 + 1)), month (ZONE (MOIS_VERS_ANNEE (A75), ""A2:A"")) = mod (A75 - 1, 12) + 1, ZONE (MOIS_VERS_ANNEE (A75), ""A2:A"") &lt;&gt; """"))"),1930.0)</f>
        <v>1930</v>
      </c>
    </row>
    <row r="76" ht="12.75" customHeight="1">
      <c r="A76" s="35">
        <f t="shared" si="2"/>
        <v>15</v>
      </c>
      <c r="B76" s="40">
        <f t="shared" ref="B76:C76" si="71"> B71</f>
        <v>2</v>
      </c>
      <c r="C76" s="36">
        <f t="shared" si="71"/>
        <v>5</v>
      </c>
      <c r="D76" s="50">
        <f> indirect(address(match("Nbre " &amp; vlookup(A76, Mois!$A$2:$C1000, 3), ZONE(MOIS_VERS_ANNEE(A76), "K:K"), 0) - 1, 14, 4, true, MOIS_VERS_ANNEE(A76)))</f>
        <v>9844.56</v>
      </c>
    </row>
    <row r="77" ht="12.75" customHeight="1">
      <c r="A77" s="35">
        <f t="shared" si="2"/>
        <v>16</v>
      </c>
      <c r="B77" s="40">
        <f t="shared" ref="B77:C77" si="72"> B72</f>
        <v>1</v>
      </c>
      <c r="C77" s="36">
        <f t="shared" si="72"/>
        <v>1</v>
      </c>
      <c r="D77" s="50">
        <f>IFERROR(__xludf.DUMMYFUNCTION(" sum (filter (ZONE (MOIS_VERS_ANNEE (A77), address (2, C77 + 1) &amp; "":"" &amp; address (9999, C77 + 1)), month (ZONE (MOIS_VERS_ANNEE (A77), ""A2:A"")) = mod (A77 - 1, 12) + 1, ZONE (MOIS_VERS_ANNEE (A77), ""A2:A"") &lt;&gt; """"))"),6800.0)</f>
        <v>6800</v>
      </c>
    </row>
    <row r="78" ht="12.75" customHeight="1">
      <c r="A78" s="35">
        <f t="shared" si="2"/>
        <v>16</v>
      </c>
      <c r="B78" s="40">
        <f t="shared" ref="B78:C78" si="73"> B73</f>
        <v>1</v>
      </c>
      <c r="C78" s="36">
        <f t="shared" si="73"/>
        <v>2</v>
      </c>
      <c r="D78" s="50">
        <f>IFERROR(__xludf.DUMMYFUNCTION(" sum (filter (ZONE (MOIS_VERS_ANNEE (A78), address (2, C78 + 1) &amp; "":"" &amp; address (9999, C78 + 1)), month (ZONE (MOIS_VERS_ANNEE (A78), ""A2:A"")) = mod (A78 - 1, 12) + 1, ZONE (MOIS_VERS_ANNEE (A78), ""A2:A"") &lt;&gt; """"))"),3712.1700000000005)</f>
        <v>3712.17</v>
      </c>
    </row>
    <row r="79" ht="12.75" customHeight="1">
      <c r="A79" s="35">
        <f t="shared" si="2"/>
        <v>16</v>
      </c>
      <c r="B79" s="40">
        <f t="shared" ref="B79:C79" si="74"> B74</f>
        <v>1</v>
      </c>
      <c r="C79" s="36">
        <f t="shared" si="74"/>
        <v>3</v>
      </c>
      <c r="D79" s="50">
        <f>IFERROR(__xludf.DUMMYFUNCTION(" sum (filter (ZONE (MOIS_VERS_ANNEE (A79), address (2, C79 + 1) &amp; "":"" &amp; address (9999, C79 + 1)), month (ZONE (MOIS_VERS_ANNEE (A79), ""A2:A"")) = mod (A79 - 1, 12) + 1, ZONE (MOIS_VERS_ANNEE (A79), ""A2:A"") &lt;&gt; """"))"),15735.07)</f>
        <v>15735.07</v>
      </c>
    </row>
    <row r="80" ht="12.75" customHeight="1">
      <c r="A80" s="35">
        <f t="shared" si="2"/>
        <v>16</v>
      </c>
      <c r="B80" s="40">
        <f t="shared" ref="B80:C80" si="75"> B75</f>
        <v>1</v>
      </c>
      <c r="C80" s="36">
        <f t="shared" si="75"/>
        <v>4</v>
      </c>
      <c r="D80" s="50">
        <f>IFERROR(__xludf.DUMMYFUNCTION(" sum (filter (ZONE (MOIS_VERS_ANNEE (A80), address (2, C80 + 1) &amp; "":"" &amp; address (9999, C80 + 1)), month (ZONE (MOIS_VERS_ANNEE (A80), ""A2:A"")) = mod (A80 - 1, 12) + 1, ZONE (MOIS_VERS_ANNEE (A80), ""A2:A"") &lt;&gt; """"))"),1840.0)</f>
        <v>1840</v>
      </c>
    </row>
    <row r="81" ht="12.75" customHeight="1">
      <c r="A81" s="35">
        <f t="shared" si="2"/>
        <v>16</v>
      </c>
      <c r="B81" s="40">
        <f t="shared" ref="B81:C81" si="76"> B76</f>
        <v>2</v>
      </c>
      <c r="C81" s="36">
        <f t="shared" si="76"/>
        <v>5</v>
      </c>
      <c r="D81" s="50">
        <f> indirect(address(match("Nbre " &amp; vlookup(A81, Mois!$A$2:$C1000, 3), ZONE(MOIS_VERS_ANNEE(A81), "K:K"), 0) - 1, 14, 4, true, MOIS_VERS_ANNEE(A81)))</f>
        <v>8008.2</v>
      </c>
    </row>
    <row r="82" ht="12.75" customHeight="1">
      <c r="A82" s="35">
        <f t="shared" si="2"/>
        <v>17</v>
      </c>
      <c r="B82" s="40">
        <f t="shared" ref="B82:C82" si="77"> B77</f>
        <v>1</v>
      </c>
      <c r="C82" s="36">
        <f t="shared" si="77"/>
        <v>1</v>
      </c>
      <c r="D82" s="50">
        <f>IFERROR(__xludf.DUMMYFUNCTION(" sum (filter (ZONE (MOIS_VERS_ANNEE (A82), address (2, C82 + 1) &amp; "":"" &amp; address (9999, C82 + 1)), month (ZONE (MOIS_VERS_ANNEE (A82), ""A2:A"")) = mod (A82 - 1, 12) + 1, ZONE (MOIS_VERS_ANNEE (A82), ""A2:A"") &lt;&gt; """"))"),5000.0)</f>
        <v>5000</v>
      </c>
    </row>
    <row r="83" ht="12.75" customHeight="1">
      <c r="A83" s="35">
        <f t="shared" si="2"/>
        <v>17</v>
      </c>
      <c r="B83" s="40">
        <f t="shared" ref="B83:C83" si="78"> B78</f>
        <v>1</v>
      </c>
      <c r="C83" s="36">
        <f t="shared" si="78"/>
        <v>2</v>
      </c>
      <c r="D83" s="50">
        <f>IFERROR(__xludf.DUMMYFUNCTION(" sum (filter (ZONE (MOIS_VERS_ANNEE (A83), address (2, C83 + 1) &amp; "":"" &amp; address (9999, C83 + 1)), month (ZONE (MOIS_VERS_ANNEE (A83), ""A2:A"")) = mod (A83 - 1, 12) + 1, ZONE (MOIS_VERS_ANNEE (A83), ""A2:A"") &lt;&gt; """"))"),2941.2799999999997)</f>
        <v>2941.28</v>
      </c>
    </row>
    <row r="84" ht="12.75" customHeight="1">
      <c r="A84" s="35">
        <f t="shared" si="2"/>
        <v>17</v>
      </c>
      <c r="B84" s="40">
        <f t="shared" ref="B84:C84" si="79"> B79</f>
        <v>1</v>
      </c>
      <c r="C84" s="36">
        <f t="shared" si="79"/>
        <v>3</v>
      </c>
      <c r="D84" s="50">
        <f>IFERROR(__xludf.DUMMYFUNCTION(" sum (filter (ZONE (MOIS_VERS_ANNEE (A84), address (2, C84 + 1) &amp; "":"" &amp; address (9999, C84 + 1)), month (ZONE (MOIS_VERS_ANNEE (A84), ""A2:A"")) = mod (A84 - 1, 12) + 1, ZONE (MOIS_VERS_ANNEE (A84), ""A2:A"") &lt;&gt; """"))"),10383.099999999999)</f>
        <v>10383.1</v>
      </c>
    </row>
    <row r="85" ht="12.75" customHeight="1">
      <c r="A85" s="35">
        <f t="shared" si="2"/>
        <v>17</v>
      </c>
      <c r="B85" s="40">
        <f t="shared" ref="B85:C85" si="80"> B80</f>
        <v>1</v>
      </c>
      <c r="C85" s="36">
        <f t="shared" si="80"/>
        <v>4</v>
      </c>
      <c r="D85" s="50">
        <f>IFERROR(__xludf.DUMMYFUNCTION(" sum (filter (ZONE (MOIS_VERS_ANNEE (A85), address (2, C85 + 1) &amp; "":"" &amp; address (9999, C85 + 1)), month (ZONE (MOIS_VERS_ANNEE (A85), ""A2:A"")) = mod (A85 - 1, 12) + 1, ZONE (MOIS_VERS_ANNEE (A85), ""A2:A"") &lt;&gt; """"))"),1907.2)</f>
        <v>1907.2</v>
      </c>
    </row>
    <row r="86" ht="12.75" customHeight="1">
      <c r="A86" s="35">
        <f t="shared" si="2"/>
        <v>17</v>
      </c>
      <c r="B86" s="40">
        <f t="shared" ref="B86:C86" si="81"> B81</f>
        <v>2</v>
      </c>
      <c r="C86" s="36">
        <f t="shared" si="81"/>
        <v>5</v>
      </c>
      <c r="D86" s="50">
        <f> indirect(address(match("Nbre " &amp; vlookup(A86, Mois!$A$2:$C1000, 3), ZONE(MOIS_VERS_ANNEE(A86), "K:K"), 0) - 1, 14, 4, true, MOIS_VERS_ANNEE(A86)))</f>
        <v>4588.2</v>
      </c>
    </row>
    <row r="87" ht="12.75" customHeight="1">
      <c r="A87" s="35">
        <f t="shared" si="2"/>
        <v>18</v>
      </c>
      <c r="B87" s="40">
        <f t="shared" ref="B87:C87" si="82"> B82</f>
        <v>1</v>
      </c>
      <c r="C87" s="36">
        <f t="shared" si="82"/>
        <v>1</v>
      </c>
      <c r="D87" s="50">
        <f>IFERROR(__xludf.DUMMYFUNCTION(" sum (filter (ZONE (MOIS_VERS_ANNEE (A87), address (2, C87 + 1) &amp; "":"" &amp; address (9999, C87 + 1)), month (ZONE (MOIS_VERS_ANNEE (A87), ""A2:A"")) = mod (A87 - 1, 12) + 1, ZONE (MOIS_VERS_ANNEE (A87), ""A2:A"") &lt;&gt; """"))"),6771.67)</f>
        <v>6771.67</v>
      </c>
    </row>
    <row r="88" ht="12.75" customHeight="1">
      <c r="A88" s="35">
        <f t="shared" si="2"/>
        <v>18</v>
      </c>
      <c r="B88" s="40">
        <f t="shared" ref="B88:C88" si="83"> B83</f>
        <v>1</v>
      </c>
      <c r="C88" s="36">
        <f t="shared" si="83"/>
        <v>2</v>
      </c>
      <c r="D88" s="50">
        <f>IFERROR(__xludf.DUMMYFUNCTION(" sum (filter (ZONE (MOIS_VERS_ANNEE (A88), address (2, C88 + 1) &amp; "":"" &amp; address (9999, C88 + 1)), month (ZONE (MOIS_VERS_ANNEE (A88), ""A2:A"")) = mod (A88 - 1, 12) + 1, ZONE (MOIS_VERS_ANNEE (A88), ""A2:A"") &lt;&gt; """"))"),3323.8199999999997)</f>
        <v>3323.82</v>
      </c>
    </row>
    <row r="89" ht="12.75" customHeight="1">
      <c r="A89" s="35">
        <f t="shared" si="2"/>
        <v>18</v>
      </c>
      <c r="B89" s="40">
        <f t="shared" ref="B89:C89" si="84"> B84</f>
        <v>1</v>
      </c>
      <c r="C89" s="36">
        <f t="shared" si="84"/>
        <v>3</v>
      </c>
      <c r="D89" s="50">
        <f>IFERROR(__xludf.DUMMYFUNCTION(" sum (filter (ZONE (MOIS_VERS_ANNEE (A89), address (2, C89 + 1) &amp; "":"" &amp; address (9999, C89 + 1)), month (ZONE (MOIS_VERS_ANNEE (A89), ""A2:A"")) = mod (A89 - 1, 12) + 1, ZONE (MOIS_VERS_ANNEE (A89), ""A2:A"") &lt;&gt; """"))"),13893.230000000001)</f>
        <v>13893.23</v>
      </c>
    </row>
    <row r="90" ht="12.75" customHeight="1">
      <c r="A90" s="35">
        <f t="shared" si="2"/>
        <v>18</v>
      </c>
      <c r="B90" s="40">
        <f t="shared" ref="B90:C90" si="85"> B85</f>
        <v>1</v>
      </c>
      <c r="C90" s="36">
        <f t="shared" si="85"/>
        <v>4</v>
      </c>
      <c r="D90" s="50">
        <f>IFERROR(__xludf.DUMMYFUNCTION(" sum (filter (ZONE (MOIS_VERS_ANNEE (A90), address (2, C90 + 1) &amp; "":"" &amp; address (9999, C90 + 1)), month (ZONE (MOIS_VERS_ANNEE (A90), ""A2:A"")) = mod (A90 - 1, 12) + 1, ZONE (MOIS_VERS_ANNEE (A90), ""A2:A"") &lt;&gt; """"))"),2220.0)</f>
        <v>2220</v>
      </c>
    </row>
    <row r="91" ht="12.75" customHeight="1">
      <c r="A91" s="35">
        <f t="shared" si="2"/>
        <v>18</v>
      </c>
      <c r="B91" s="40">
        <f t="shared" ref="B91:C91" si="86"> B86</f>
        <v>2</v>
      </c>
      <c r="C91" s="36">
        <f t="shared" si="86"/>
        <v>5</v>
      </c>
      <c r="D91" s="50">
        <f> indirect(address(match("Nbre " &amp; vlookup(A91, Mois!$A$2:$C1000, 3), ZONE(MOIS_VERS_ANNEE(A91), "K:K"), 0) - 1, 14, 4, true, MOIS_VERS_ANNEE(A91)))</f>
        <v>3635.46</v>
      </c>
    </row>
    <row r="92" ht="12.75" customHeight="1">
      <c r="A92" s="35">
        <f t="shared" si="2"/>
        <v>19</v>
      </c>
      <c r="B92" s="40">
        <f t="shared" ref="B92:C92" si="87"> B87</f>
        <v>1</v>
      </c>
      <c r="C92" s="36">
        <f t="shared" si="87"/>
        <v>1</v>
      </c>
      <c r="D92" s="50">
        <f>IFERROR(__xludf.DUMMYFUNCTION(" sum (filter (ZONE (MOIS_VERS_ANNEE (A92), address (2, C92 + 1) &amp; "":"" &amp; address (9999, C92 + 1)), month (ZONE (MOIS_VERS_ANNEE (A92), ""A2:A"")) = mod (A92 - 1, 12) + 1, ZONE (MOIS_VERS_ANNEE (A92), ""A2:A"") &lt;&gt; """"))"),2972.2)</f>
        <v>2972.2</v>
      </c>
    </row>
    <row r="93" ht="12.75" customHeight="1">
      <c r="A93" s="35">
        <f t="shared" si="2"/>
        <v>19</v>
      </c>
      <c r="B93" s="40">
        <f t="shared" ref="B93:C93" si="88"> B88</f>
        <v>1</v>
      </c>
      <c r="C93" s="36">
        <f t="shared" si="88"/>
        <v>2</v>
      </c>
      <c r="D93" s="50">
        <f>IFERROR(__xludf.DUMMYFUNCTION(" sum (filter (ZONE (MOIS_VERS_ANNEE (A93), address (2, C93 + 1) &amp; "":"" &amp; address (9999, C93 + 1)), month (ZONE (MOIS_VERS_ANNEE (A93), ""A2:A"")) = mod (A93 - 1, 12) + 1, ZONE (MOIS_VERS_ANNEE (A93), ""A2:A"") &lt;&gt; """"))"),2839.4099999999994)</f>
        <v>2839.41</v>
      </c>
    </row>
    <row r="94" ht="12.75" customHeight="1">
      <c r="A94" s="35">
        <f t="shared" si="2"/>
        <v>19</v>
      </c>
      <c r="B94" s="40">
        <f t="shared" ref="B94:C94" si="89"> B89</f>
        <v>1</v>
      </c>
      <c r="C94" s="36">
        <f t="shared" si="89"/>
        <v>3</v>
      </c>
      <c r="D94" s="50">
        <f>IFERROR(__xludf.DUMMYFUNCTION(" sum (filter (ZONE (MOIS_VERS_ANNEE (A94), address (2, C94 + 1) &amp; "":"" &amp; address (9999, C94 + 1)), month (ZONE (MOIS_VERS_ANNEE (A94), ""A2:A"")) = mod (A94 - 1, 12) + 1, ZONE (MOIS_VERS_ANNEE (A94), ""A2:A"") &lt;&gt; """"))"),9667.07)</f>
        <v>9667.07</v>
      </c>
    </row>
    <row r="95" ht="12.75" customHeight="1">
      <c r="A95" s="35">
        <f t="shared" si="2"/>
        <v>19</v>
      </c>
      <c r="B95" s="40">
        <f t="shared" ref="B95:C95" si="90"> B90</f>
        <v>1</v>
      </c>
      <c r="C95" s="36">
        <f t="shared" si="90"/>
        <v>4</v>
      </c>
      <c r="D95" s="50">
        <f>IFERROR(__xludf.DUMMYFUNCTION(" sum (filter (ZONE (MOIS_VERS_ANNEE (A95), address (2, C95 + 1) &amp; "":"" &amp; address (9999, C95 + 1)), month (ZONE (MOIS_VERS_ANNEE (A95), ""A2:A"")) = mod (A95 - 1, 12) + 1, ZONE (MOIS_VERS_ANNEE (A95), ""A2:A"") &lt;&gt; """"))"),1790.0)</f>
        <v>1790</v>
      </c>
    </row>
    <row r="96" ht="12.75" customHeight="1">
      <c r="A96" s="35">
        <f t="shared" si="2"/>
        <v>19</v>
      </c>
      <c r="B96" s="40">
        <f t="shared" ref="B96:C96" si="91"> B91</f>
        <v>2</v>
      </c>
      <c r="C96" s="36">
        <f t="shared" si="91"/>
        <v>5</v>
      </c>
      <c r="D96" s="50">
        <f> indirect(address(match("Nbre " &amp; vlookup(A96, Mois!$A$2:$C1000, 3), ZONE(MOIS_VERS_ANNEE(A96), "K:K"), 0) - 1, 14, 4, true, MOIS_VERS_ANNEE(A96)))</f>
        <v>2537.28</v>
      </c>
    </row>
    <row r="97" ht="12.75" customHeight="1">
      <c r="A97" s="35">
        <f t="shared" si="2"/>
        <v>20</v>
      </c>
      <c r="B97" s="40">
        <f t="shared" ref="B97:C97" si="92"> B92</f>
        <v>1</v>
      </c>
      <c r="C97" s="36">
        <f t="shared" si="92"/>
        <v>1</v>
      </c>
      <c r="D97" s="50">
        <f>IFERROR(__xludf.DUMMYFUNCTION(" sum (filter (ZONE (MOIS_VERS_ANNEE (A97), address (2, C97 + 1) &amp; "":"" &amp; address (9999, C97 + 1)), month (ZONE (MOIS_VERS_ANNEE (A97), ""A2:A"")) = mod (A97 - 1, 12) + 1, ZONE (MOIS_VERS_ANNEE (A97), ""A2:A"") &lt;&gt; """"))"),1770.0)</f>
        <v>1770</v>
      </c>
    </row>
    <row r="98" ht="12.75" customHeight="1">
      <c r="A98" s="35">
        <f t="shared" si="2"/>
        <v>20</v>
      </c>
      <c r="B98" s="40">
        <f t="shared" ref="B98:C98" si="93"> B93</f>
        <v>1</v>
      </c>
      <c r="C98" s="36">
        <f t="shared" si="93"/>
        <v>2</v>
      </c>
      <c r="D98" s="50">
        <f>IFERROR(__xludf.DUMMYFUNCTION(" sum (filter (ZONE (MOIS_VERS_ANNEE (A98), address (2, C98 + 1) &amp; "":"" &amp; address (9999, C98 + 1)), month (ZONE (MOIS_VERS_ANNEE (A98), ""A2:A"")) = mod (A98 - 1, 12) + 1, ZONE (MOIS_VERS_ANNEE (A98), ""A2:A"") &lt;&gt; """"))"),1846.7199999999998)</f>
        <v>1846.72</v>
      </c>
    </row>
    <row r="99" ht="12.75" customHeight="1">
      <c r="A99" s="35">
        <f t="shared" si="2"/>
        <v>20</v>
      </c>
      <c r="B99" s="40">
        <f t="shared" ref="B99:C99" si="94"> B94</f>
        <v>1</v>
      </c>
      <c r="C99" s="36">
        <f t="shared" si="94"/>
        <v>3</v>
      </c>
      <c r="D99" s="50">
        <f>IFERROR(__xludf.DUMMYFUNCTION(" sum (filter (ZONE (MOIS_VERS_ANNEE (A99), address (2, C99 + 1) &amp; "":"" &amp; address (9999, C99 + 1)), month (ZONE (MOIS_VERS_ANNEE (A99), ""A2:A"")) = mod (A99 - 1, 12) + 1, ZONE (MOIS_VERS_ANNEE (A99), ""A2:A"") &lt;&gt; """"))"),6260.0)</f>
        <v>6260</v>
      </c>
    </row>
    <row r="100" ht="12.75" customHeight="1">
      <c r="A100" s="35">
        <f t="shared" si="2"/>
        <v>20</v>
      </c>
      <c r="B100" s="40">
        <f t="shared" ref="B100:C100" si="95"> B95</f>
        <v>1</v>
      </c>
      <c r="C100" s="36">
        <f t="shared" si="95"/>
        <v>4</v>
      </c>
      <c r="D100" s="50">
        <f>IFERROR(__xludf.DUMMYFUNCTION(" sum (filter (ZONE (MOIS_VERS_ANNEE (A100), address (2, C100 + 1) &amp; "":"" &amp; address (9999, C100 + 1)), month (ZONE (MOIS_VERS_ANNEE (A100), ""A2:A"")) = mod (A100 - 1, 12) + 1, ZONE (MOIS_VERS_ANNEE (A100), ""A2:A"") &lt;&gt; """"))"),1040.0)</f>
        <v>1040</v>
      </c>
    </row>
    <row r="101" ht="12.75" customHeight="1">
      <c r="A101" s="35">
        <f t="shared" si="2"/>
        <v>20</v>
      </c>
      <c r="B101" s="40">
        <f t="shared" ref="B101:C101" si="96"> B96</f>
        <v>2</v>
      </c>
      <c r="C101" s="36">
        <f t="shared" si="96"/>
        <v>5</v>
      </c>
      <c r="D101" s="50">
        <f> indirect(address(match("Nbre " &amp; vlookup(A101, Mois!$A$2:$C1000, 3), ZONE(MOIS_VERS_ANNEE(A101), "K:K"), 0) - 1, 14, 4, true, MOIS_VERS_ANNEE(A101)))</f>
        <v>3112.74</v>
      </c>
    </row>
    <row r="102" ht="12.75" customHeight="1">
      <c r="A102" s="35">
        <f t="shared" si="2"/>
        <v>21</v>
      </c>
      <c r="B102" s="40">
        <f t="shared" ref="B102:C102" si="97"> B97</f>
        <v>1</v>
      </c>
      <c r="C102" s="36">
        <f t="shared" si="97"/>
        <v>1</v>
      </c>
      <c r="D102" s="50">
        <f>IFERROR(__xludf.DUMMYFUNCTION(" sum (filter (ZONE (MOIS_VERS_ANNEE (A102), address (2, C102 + 1) &amp; "":"" &amp; address (9999, C102 + 1)), month (ZONE (MOIS_VERS_ANNEE (A102), ""A2:A"")) = mod (A102 - 1, 12) + 1, ZONE (MOIS_VERS_ANNEE (A102), ""A2:A"") &lt;&gt; """"))"),5100.0)</f>
        <v>5100</v>
      </c>
    </row>
    <row r="103" ht="12.75" customHeight="1">
      <c r="A103" s="35">
        <f t="shared" si="2"/>
        <v>21</v>
      </c>
      <c r="B103" s="40">
        <f t="shared" ref="B103:C103" si="98"> B98</f>
        <v>1</v>
      </c>
      <c r="C103" s="36">
        <f t="shared" si="98"/>
        <v>2</v>
      </c>
      <c r="D103" s="50">
        <f>IFERROR(__xludf.DUMMYFUNCTION(" sum (filter (ZONE (MOIS_VERS_ANNEE (A103), address (2, C103 + 1) &amp; "":"" &amp; address (9999, C103 + 1)), month (ZONE (MOIS_VERS_ANNEE (A103), ""A2:A"")) = mod (A103 - 1, 12) + 1, ZONE (MOIS_VERS_ANNEE (A103), ""A2:A"") &lt;&gt; """"))"),4155.02106)</f>
        <v>4155.02106</v>
      </c>
    </row>
    <row r="104" ht="12.75" customHeight="1">
      <c r="A104" s="35">
        <f t="shared" si="2"/>
        <v>21</v>
      </c>
      <c r="B104" s="40">
        <f t="shared" ref="B104:C104" si="99"> B99</f>
        <v>1</v>
      </c>
      <c r="C104" s="36">
        <f t="shared" si="99"/>
        <v>3</v>
      </c>
      <c r="D104" s="50">
        <f>IFERROR(__xludf.DUMMYFUNCTION(" sum (filter (ZONE (MOIS_VERS_ANNEE (A104), address (2, C104 + 1) &amp; "":"" &amp; address (9999, C104 + 1)), month (ZONE (MOIS_VERS_ANNEE (A104), ""A2:A"")) = mod (A104 - 1, 12) + 1, ZONE (MOIS_VERS_ANNEE (A104), ""A2:A"") &lt;&gt; """"))"),13893.820000000002)</f>
        <v>13893.82</v>
      </c>
    </row>
    <row r="105" ht="12.75" customHeight="1">
      <c r="A105" s="35">
        <f t="shared" si="2"/>
        <v>21</v>
      </c>
      <c r="B105" s="40">
        <f t="shared" ref="B105:C105" si="100"> B100</f>
        <v>1</v>
      </c>
      <c r="C105" s="36">
        <f t="shared" si="100"/>
        <v>4</v>
      </c>
      <c r="D105" s="50">
        <f>IFERROR(__xludf.DUMMYFUNCTION(" sum (filter (ZONE (MOIS_VERS_ANNEE (A105), address (2, C105 + 1) &amp; "":"" &amp; address (9999, C105 + 1)), month (ZONE (MOIS_VERS_ANNEE (A105), ""A2:A"")) = mod (A105 - 1, 12) + 1, ZONE (MOIS_VERS_ANNEE (A105), ""A2:A"") &lt;&gt; """"))"),2813.87)</f>
        <v>2813.87</v>
      </c>
    </row>
    <row r="106" ht="12.75" customHeight="1">
      <c r="A106" s="35">
        <f t="shared" si="2"/>
        <v>21</v>
      </c>
      <c r="B106" s="40">
        <f t="shared" ref="B106:C106" si="101"> B101</f>
        <v>2</v>
      </c>
      <c r="C106" s="36">
        <f t="shared" si="101"/>
        <v>5</v>
      </c>
      <c r="D106" s="50">
        <f> indirect(address(match("Nbre " &amp; vlookup(A106, Mois!$A$2:$C1000, 3), ZONE(MOIS_VERS_ANNEE(A106), "K:K"), 0) - 1, 14, 4, true, MOIS_VERS_ANNEE(A106)))</f>
        <v>7307.28</v>
      </c>
    </row>
    <row r="107" ht="12.75" customHeight="1">
      <c r="A107" s="35">
        <f t="shared" si="2"/>
        <v>22</v>
      </c>
      <c r="B107" s="40">
        <f t="shared" ref="B107:C107" si="102"> B102</f>
        <v>1</v>
      </c>
      <c r="C107" s="36">
        <f t="shared" si="102"/>
        <v>1</v>
      </c>
      <c r="D107" s="50">
        <f>IFERROR(__xludf.DUMMYFUNCTION(" sum (filter (ZONE (MOIS_VERS_ANNEE (A107), address (2, C107 + 1) &amp; "":"" &amp; address (9999, C107 + 1)), month (ZONE (MOIS_VERS_ANNEE (A107), ""A2:A"")) = mod (A107 - 1, 12) + 1, ZONE (MOIS_VERS_ANNEE (A107), ""A2:A"") &lt;&gt; """"))"),5560.0)</f>
        <v>5560</v>
      </c>
    </row>
    <row r="108" ht="12.75" customHeight="1">
      <c r="A108" s="35">
        <f t="shared" si="2"/>
        <v>22</v>
      </c>
      <c r="B108" s="40">
        <f t="shared" ref="B108:C108" si="103"> B103</f>
        <v>1</v>
      </c>
      <c r="C108" s="36">
        <f t="shared" si="103"/>
        <v>2</v>
      </c>
      <c r="D108" s="50">
        <f>IFERROR(__xludf.DUMMYFUNCTION(" sum (filter (ZONE (MOIS_VERS_ANNEE (A108), address (2, C108 + 1) &amp; "":"" &amp; address (9999, C108 + 1)), month (ZONE (MOIS_VERS_ANNEE (A108), ""A2:A"")) = mod (A108 - 1, 12) + 1, ZONE (MOIS_VERS_ANNEE (A108), ""A2:A"") &lt;&gt; """"))"),4018.3399999999992)</f>
        <v>4018.34</v>
      </c>
    </row>
    <row r="109" ht="12.75" customHeight="1">
      <c r="A109" s="35">
        <f t="shared" si="2"/>
        <v>22</v>
      </c>
      <c r="B109" s="40">
        <f t="shared" ref="B109:C109" si="104"> B104</f>
        <v>1</v>
      </c>
      <c r="C109" s="36">
        <f t="shared" si="104"/>
        <v>3</v>
      </c>
      <c r="D109" s="50">
        <f>IFERROR(__xludf.DUMMYFUNCTION(" sum (filter (ZONE (MOIS_VERS_ANNEE (A109), address (2, C109 + 1) &amp; "":"" &amp; address (9999, C109 + 1)), month (ZONE (MOIS_VERS_ANNEE (A109), ""A2:A"")) = mod (A109 - 1, 12) + 1, ZONE (MOIS_VERS_ANNEE (A109), ""A2:A"") &lt;&gt; """"))"),13350.0)</f>
        <v>13350</v>
      </c>
    </row>
    <row r="110" ht="12.75" customHeight="1">
      <c r="A110" s="35">
        <f t="shared" si="2"/>
        <v>22</v>
      </c>
      <c r="B110" s="40">
        <f t="shared" ref="B110:C110" si="105"> B105</f>
        <v>1</v>
      </c>
      <c r="C110" s="36">
        <f t="shared" si="105"/>
        <v>4</v>
      </c>
      <c r="D110" s="50">
        <f>IFERROR(__xludf.DUMMYFUNCTION(" sum (filter (ZONE (MOIS_VERS_ANNEE (A110), address (2, C110 + 1) &amp; "":"" &amp; address (9999, C110 + 1)), month (ZONE (MOIS_VERS_ANNEE (A110), ""A2:A"")) = mod (A110 - 1, 12) + 1, ZONE (MOIS_VERS_ANNEE (A110), ""A2:A"") &lt;&gt; """"))"),2177.62)</f>
        <v>2177.62</v>
      </c>
    </row>
    <row r="111" ht="12.75" customHeight="1">
      <c r="A111" s="35">
        <f t="shared" si="2"/>
        <v>22</v>
      </c>
      <c r="B111" s="40">
        <f t="shared" ref="B111:C111" si="106"> B106</f>
        <v>2</v>
      </c>
      <c r="C111" s="36">
        <f t="shared" si="106"/>
        <v>5</v>
      </c>
      <c r="D111" s="50">
        <f> indirect(address(match("Nbre " &amp; vlookup(A111, Mois!$A$2:$C1000, 3), ZONE(MOIS_VERS_ANNEE(A111), "K:K"), 0) - 1, 14, 4, true, MOIS_VERS_ANNEE(A111)))</f>
        <v>4770</v>
      </c>
    </row>
    <row r="112" ht="12.75" customHeight="1">
      <c r="A112" s="35">
        <f t="shared" si="2"/>
        <v>23</v>
      </c>
      <c r="B112" s="40">
        <f t="shared" ref="B112:C112" si="107"> B107</f>
        <v>1</v>
      </c>
      <c r="C112" s="36">
        <f t="shared" si="107"/>
        <v>1</v>
      </c>
      <c r="D112" s="50">
        <f>IFERROR(__xludf.DUMMYFUNCTION(" sum (filter (ZONE (MOIS_VERS_ANNEE (A112), address (2, C112 + 1) &amp; "":"" &amp; address (9999, C112 + 1)), month (ZONE (MOIS_VERS_ANNEE (A112), ""A2:A"")) = mod (A112 - 1, 12) + 1, ZONE (MOIS_VERS_ANNEE (A112), ""A2:A"") &lt;&gt; """"))"),5297.68)</f>
        <v>5297.68</v>
      </c>
    </row>
    <row r="113" ht="12.75" customHeight="1">
      <c r="A113" s="35">
        <f t="shared" si="2"/>
        <v>23</v>
      </c>
      <c r="B113" s="40">
        <f t="shared" ref="B113:C113" si="108"> B108</f>
        <v>1</v>
      </c>
      <c r="C113" s="36">
        <f t="shared" si="108"/>
        <v>2</v>
      </c>
      <c r="D113" s="50">
        <f>IFERROR(__xludf.DUMMYFUNCTION(" sum (filter (ZONE (MOIS_VERS_ANNEE (A113), address (2, C113 + 1) &amp; "":"" &amp; address (9999, C113 + 1)), month (ZONE (MOIS_VERS_ANNEE (A113), ""A2:A"")) = mod (A113 - 1, 12) + 1, ZONE (MOIS_VERS_ANNEE (A113), ""A2:A"") &lt;&gt; """"))"),4495.65)</f>
        <v>4495.65</v>
      </c>
    </row>
    <row r="114" ht="12.75" customHeight="1">
      <c r="A114" s="35">
        <f t="shared" si="2"/>
        <v>23</v>
      </c>
      <c r="B114" s="40">
        <f t="shared" ref="B114:C114" si="109"> B109</f>
        <v>1</v>
      </c>
      <c r="C114" s="36">
        <f t="shared" si="109"/>
        <v>3</v>
      </c>
      <c r="D114" s="50">
        <f>IFERROR(__xludf.DUMMYFUNCTION(" sum (filter (ZONE (MOIS_VERS_ANNEE (A114), address (2, C114 + 1) &amp; "":"" &amp; address (9999, C114 + 1)), month (ZONE (MOIS_VERS_ANNEE (A114), ""A2:A"")) = mod (A114 - 1, 12) + 1, ZONE (MOIS_VERS_ANNEE (A114), ""A2:A"") &lt;&gt; """"))"),15332.2)</f>
        <v>15332.2</v>
      </c>
    </row>
    <row r="115" ht="12.75" customHeight="1">
      <c r="A115" s="35">
        <f t="shared" si="2"/>
        <v>23</v>
      </c>
      <c r="B115" s="40">
        <f t="shared" ref="B115:C115" si="110"> B110</f>
        <v>1</v>
      </c>
      <c r="C115" s="36">
        <f t="shared" si="110"/>
        <v>4</v>
      </c>
      <c r="D115" s="50">
        <f>IFERROR(__xludf.DUMMYFUNCTION(" sum (filter (ZONE (MOIS_VERS_ANNEE (A115), address (2, C115 + 1) &amp; "":"" &amp; address (9999, C115 + 1)), month (ZONE (MOIS_VERS_ANNEE (A115), ""A2:A"")) = mod (A115 - 1, 12) + 1, ZONE (MOIS_VERS_ANNEE (A115), ""A2:A"") &lt;&gt; """"))"),2200.0)</f>
        <v>2200</v>
      </c>
    </row>
    <row r="116" ht="12.75" customHeight="1">
      <c r="A116" s="35">
        <f t="shared" si="2"/>
        <v>23</v>
      </c>
      <c r="B116" s="40">
        <f t="shared" ref="B116:C116" si="111"> B111</f>
        <v>2</v>
      </c>
      <c r="C116" s="36">
        <f t="shared" si="111"/>
        <v>5</v>
      </c>
      <c r="D116" s="50">
        <f> indirect(address(match("Nbre " &amp; vlookup(A116, Mois!$A$2:$C1000, 3), ZONE(MOIS_VERS_ANNEE(A116), "K:K"), 0) - 1, 14, 4, true, MOIS_VERS_ANNEE(A116)))</f>
        <v>4140</v>
      </c>
    </row>
    <row r="117" ht="12.75" customHeight="1">
      <c r="A117" s="35">
        <f t="shared" si="2"/>
        <v>24</v>
      </c>
      <c r="B117" s="40">
        <f t="shared" ref="B117:C117" si="112"> B112</f>
        <v>1</v>
      </c>
      <c r="C117" s="36">
        <f t="shared" si="112"/>
        <v>1</v>
      </c>
      <c r="D117" s="50">
        <f>IFERROR(__xludf.DUMMYFUNCTION(" sum (filter (ZONE (MOIS_VERS_ANNEE (A117), address (2, C117 + 1) &amp; "":"" &amp; address (9999, C117 + 1)), month (ZONE (MOIS_VERS_ANNEE (A117), ""A2:A"")) = mod (A117 - 1, 12) + 1, ZONE (MOIS_VERS_ANNEE (A117), ""A2:A"") &lt;&gt; """"))"),4217.97)</f>
        <v>4217.97</v>
      </c>
    </row>
    <row r="118" ht="12.75" customHeight="1">
      <c r="A118" s="35">
        <f t="shared" si="2"/>
        <v>24</v>
      </c>
      <c r="B118" s="40">
        <f t="shared" ref="B118:C118" si="113"> B113</f>
        <v>1</v>
      </c>
      <c r="C118" s="36">
        <f t="shared" si="113"/>
        <v>2</v>
      </c>
      <c r="D118" s="50">
        <f>IFERROR(__xludf.DUMMYFUNCTION(" sum (filter (ZONE (MOIS_VERS_ANNEE (A118), address (2, C118 + 1) &amp; "":"" &amp; address (9999, C118 + 1)), month (ZONE (MOIS_VERS_ANNEE (A118), ""A2:A"")) = mod (A118 - 1, 12) + 1, ZONE (MOIS_VERS_ANNEE (A118), ""A2:A"") &lt;&gt; """"))"),2748.49)</f>
        <v>2748.49</v>
      </c>
    </row>
    <row r="119" ht="12.75" customHeight="1">
      <c r="A119" s="35">
        <f t="shared" si="2"/>
        <v>24</v>
      </c>
      <c r="B119" s="40">
        <f t="shared" ref="B119:C119" si="114"> B114</f>
        <v>1</v>
      </c>
      <c r="C119" s="36">
        <f t="shared" si="114"/>
        <v>3</v>
      </c>
      <c r="D119" s="50">
        <f>IFERROR(__xludf.DUMMYFUNCTION(" sum (filter (ZONE (MOIS_VERS_ANNEE (A119), address (2, C119 + 1) &amp; "":"" &amp; address (9999, C119 + 1)), month (ZONE (MOIS_VERS_ANNEE (A119), ""A2:A"")) = mod (A119 - 1, 12) + 1, ZONE (MOIS_VERS_ANNEE (A119), ""A2:A"") &lt;&gt; """"))"),11028.84)</f>
        <v>11028.84</v>
      </c>
    </row>
    <row r="120" ht="12.75" customHeight="1">
      <c r="A120" s="35">
        <f t="shared" si="2"/>
        <v>24</v>
      </c>
      <c r="B120" s="40">
        <f t="shared" ref="B120:C120" si="115"> B115</f>
        <v>1</v>
      </c>
      <c r="C120" s="36">
        <f t="shared" si="115"/>
        <v>4</v>
      </c>
      <c r="D120" s="50">
        <f>IFERROR(__xludf.DUMMYFUNCTION(" sum (filter (ZONE (MOIS_VERS_ANNEE (A120), address (2, C120 + 1) &amp; "":"" &amp; address (9999, C120 + 1)), month (ZONE (MOIS_VERS_ANNEE (A120), ""A2:A"")) = mod (A120 - 1, 12) + 1, ZONE (MOIS_VERS_ANNEE (A120), ""A2:A"") &lt;&gt; """"))"),1681.0)</f>
        <v>1681</v>
      </c>
    </row>
    <row r="121" ht="12.75" customHeight="1">
      <c r="A121" s="35">
        <f t="shared" si="2"/>
        <v>24</v>
      </c>
      <c r="B121" s="40">
        <f t="shared" ref="B121:C121" si="116"> B116</f>
        <v>2</v>
      </c>
      <c r="C121" s="36">
        <f t="shared" si="116"/>
        <v>5</v>
      </c>
      <c r="D121" s="50">
        <f> indirect(address(match("Nbre " &amp; vlookup(A121, Mois!$A$2:$C1000, 3), ZONE(MOIS_VERS_ANNEE(A121), "K:K"), 0) - 1, 14, 4, true, MOIS_VERS_ANNEE(A121)))</f>
        <v>4320</v>
      </c>
    </row>
    <row r="122" ht="12.75" customHeight="1">
      <c r="A122" s="35">
        <f t="shared" si="2"/>
        <v>25</v>
      </c>
      <c r="B122" s="40">
        <f t="shared" ref="B122:C122" si="117"> B117</f>
        <v>1</v>
      </c>
      <c r="C122" s="36">
        <f t="shared" si="117"/>
        <v>1</v>
      </c>
      <c r="D122" s="50">
        <f>IFERROR(__xludf.DUMMYFUNCTION(" sum (filter (ZONE (MOIS_VERS_ANNEE (A122), address (2, C122 + 1) &amp; "":"" &amp; address (9999, C122 + 1)), month (ZONE (MOIS_VERS_ANNEE (A122), ""A2:A"")) = mod (A122 - 1, 12) + 1, ZONE (MOIS_VERS_ANNEE (A122), ""A2:A"") &lt;&gt; """"))"),4450.0)</f>
        <v>4450</v>
      </c>
    </row>
    <row r="123" ht="12.75" customHeight="1">
      <c r="A123" s="35">
        <f t="shared" si="2"/>
        <v>25</v>
      </c>
      <c r="B123" s="40">
        <f t="shared" ref="B123:C123" si="118"> B118</f>
        <v>1</v>
      </c>
      <c r="C123" s="36">
        <f t="shared" si="118"/>
        <v>2</v>
      </c>
      <c r="D123" s="50">
        <f>IFERROR(__xludf.DUMMYFUNCTION(" sum (filter (ZONE (MOIS_VERS_ANNEE (A123), address (2, C123 + 1) &amp; "":"" &amp; address (9999, C123 + 1)), month (ZONE (MOIS_VERS_ANNEE (A123), ""A2:A"")) = mod (A123 - 1, 12) + 1, ZONE (MOIS_VERS_ANNEE (A123), ""A2:A"") &lt;&gt; """"))"),2925.0199999999995)</f>
        <v>2925.02</v>
      </c>
    </row>
    <row r="124" ht="12.75" customHeight="1">
      <c r="A124" s="35">
        <f t="shared" si="2"/>
        <v>25</v>
      </c>
      <c r="B124" s="40">
        <f t="shared" ref="B124:C124" si="119"> B119</f>
        <v>1</v>
      </c>
      <c r="C124" s="36">
        <f t="shared" si="119"/>
        <v>3</v>
      </c>
      <c r="D124" s="50">
        <f>IFERROR(__xludf.DUMMYFUNCTION(" sum (filter (ZONE (MOIS_VERS_ANNEE (A124), address (2, C124 + 1) &amp; "":"" &amp; address (9999, C124 + 1)), month (ZONE (MOIS_VERS_ANNEE (A124), ""A2:A"")) = mod (A124 - 1, 12) + 1, ZONE (MOIS_VERS_ANNEE (A124), ""A2:A"") &lt;&gt; """"))"),16743.91)</f>
        <v>16743.91</v>
      </c>
    </row>
    <row r="125" ht="12.75" customHeight="1">
      <c r="A125" s="35">
        <f t="shared" si="2"/>
        <v>25</v>
      </c>
      <c r="B125" s="40">
        <f t="shared" ref="B125:C125" si="120"> B120</f>
        <v>1</v>
      </c>
      <c r="C125" s="36">
        <f t="shared" si="120"/>
        <v>4</v>
      </c>
      <c r="D125" s="50">
        <f>IFERROR(__xludf.DUMMYFUNCTION(" sum (filter (ZONE (MOIS_VERS_ANNEE (A125), address (2, C125 + 1) &amp; "":"" &amp; address (9999, C125 + 1)), month (ZONE (MOIS_VERS_ANNEE (A125), ""A2:A"")) = mod (A125 - 1, 12) + 1, ZONE (MOIS_VERS_ANNEE (A125), ""A2:A"") &lt;&gt; """"))"),3167.2)</f>
        <v>3167.2</v>
      </c>
    </row>
    <row r="126" ht="12.75" customHeight="1">
      <c r="A126" s="35">
        <f t="shared" si="2"/>
        <v>25</v>
      </c>
      <c r="B126" s="40">
        <f t="shared" ref="B126:C126" si="121"> B121</f>
        <v>2</v>
      </c>
      <c r="C126" s="36">
        <f t="shared" si="121"/>
        <v>5</v>
      </c>
      <c r="D126" s="50">
        <f> indirect(address(match("Nbre " &amp; vlookup(A126, Mois!$A$2:$C1000, 3), ZONE(MOIS_VERS_ANNEE(A126), "K:K"), 0) - 1, 14, 4, true, MOIS_VERS_ANNEE(A126)))</f>
        <v>8603.64</v>
      </c>
    </row>
    <row r="127" ht="12.75" customHeight="1">
      <c r="A127" s="35">
        <f t="shared" si="2"/>
        <v>26</v>
      </c>
      <c r="B127" s="40">
        <f t="shared" ref="B127:C127" si="122"> B122</f>
        <v>1</v>
      </c>
      <c r="C127" s="36">
        <f t="shared" si="122"/>
        <v>1</v>
      </c>
      <c r="D127" s="50">
        <f>IFERROR(__xludf.DUMMYFUNCTION(" sum (filter (ZONE (MOIS_VERS_ANNEE (A127), address (2, C127 + 1) &amp; "":"" &amp; address (9999, C127 + 1)), month (ZONE (MOIS_VERS_ANNEE (A127), ""A2:A"")) = mod (A127 - 1, 12) + 1, ZONE (MOIS_VERS_ANNEE (A127), ""A2:A"") &lt;&gt; """"))"),4590.0)</f>
        <v>4590</v>
      </c>
    </row>
    <row r="128" ht="12.75" customHeight="1">
      <c r="A128" s="35">
        <f t="shared" si="2"/>
        <v>26</v>
      </c>
      <c r="B128" s="40">
        <f t="shared" ref="B128:C128" si="123"> B123</f>
        <v>1</v>
      </c>
      <c r="C128" s="36">
        <f t="shared" si="123"/>
        <v>2</v>
      </c>
      <c r="D128" s="50">
        <f>IFERROR(__xludf.DUMMYFUNCTION(" sum (filter (ZONE (MOIS_VERS_ANNEE (A128), address (2, C128 + 1) &amp; "":"" &amp; address (9999, C128 + 1)), month (ZONE (MOIS_VERS_ANNEE (A128), ""A2:A"")) = mod (A128 - 1, 12) + 1, ZONE (MOIS_VERS_ANNEE (A128), ""A2:A"") &lt;&gt; """"))"),4331.64)</f>
        <v>4331.64</v>
      </c>
    </row>
    <row r="129" ht="12.75" customHeight="1">
      <c r="A129" s="35">
        <f t="shared" si="2"/>
        <v>26</v>
      </c>
      <c r="B129" s="40">
        <f t="shared" ref="B129:C129" si="124"> B124</f>
        <v>1</v>
      </c>
      <c r="C129" s="36">
        <f t="shared" si="124"/>
        <v>3</v>
      </c>
      <c r="D129" s="50">
        <f>IFERROR(__xludf.DUMMYFUNCTION(" sum (filter (ZONE (MOIS_VERS_ANNEE (A129), address (2, C129 + 1) &amp; "":"" &amp; address (9999, C129 + 1)), month (ZONE (MOIS_VERS_ANNEE (A129), ""A2:A"")) = mod (A129 - 1, 12) + 1, ZONE (MOIS_VERS_ANNEE (A129), ""A2:A"") &lt;&gt; """"))"),16491.08)</f>
        <v>16491.08</v>
      </c>
    </row>
    <row r="130" ht="12.75" customHeight="1">
      <c r="A130" s="35">
        <f t="shared" si="2"/>
        <v>26</v>
      </c>
      <c r="B130" s="40">
        <f t="shared" ref="B130:C130" si="125"> B125</f>
        <v>1</v>
      </c>
      <c r="C130" s="36">
        <f t="shared" si="125"/>
        <v>4</v>
      </c>
      <c r="D130" s="50">
        <f>IFERROR(__xludf.DUMMYFUNCTION(" sum (filter (ZONE (MOIS_VERS_ANNEE (A130), address (2, C130 + 1) &amp; "":"" &amp; address (9999, C130 + 1)), month (ZONE (MOIS_VERS_ANNEE (A130), ""A2:A"")) = mod (A130 - 1, 12) + 1, ZONE (MOIS_VERS_ANNEE (A130), ""A2:A"") &lt;&gt; """"))"),2140.0)</f>
        <v>2140</v>
      </c>
    </row>
    <row r="131" ht="12.75" customHeight="1">
      <c r="A131" s="35">
        <f t="shared" si="2"/>
        <v>26</v>
      </c>
      <c r="B131" s="40">
        <f t="shared" ref="B131:C131" si="126"> B126</f>
        <v>2</v>
      </c>
      <c r="C131" s="36">
        <f t="shared" si="126"/>
        <v>5</v>
      </c>
      <c r="D131" s="50">
        <f> indirect(address(match("Nbre " &amp; vlookup(A131, Mois!$A$2:$C1000, 3), ZONE(MOIS_VERS_ANNEE(A131), "K:K"), 0) - 1, 14, 4, true, MOIS_VERS_ANNEE(A131)))</f>
        <v>5322.76</v>
      </c>
    </row>
    <row r="132" ht="12.75" customHeight="1">
      <c r="A132" s="35">
        <f t="shared" si="2"/>
        <v>27</v>
      </c>
      <c r="B132" s="40">
        <f t="shared" ref="B132:C132" si="127"> B127</f>
        <v>1</v>
      </c>
      <c r="C132" s="36">
        <f t="shared" si="127"/>
        <v>1</v>
      </c>
      <c r="D132" s="50">
        <f>IFERROR(__xludf.DUMMYFUNCTION(" sum (filter (ZONE (MOIS_VERS_ANNEE (A132), address (2, C132 + 1) &amp; "":"" &amp; address (9999, C132 + 1)), month (ZONE (MOIS_VERS_ANNEE (A132), ""A2:A"")) = mod (A132 - 1, 12) + 1, ZONE (MOIS_VERS_ANNEE (A132), ""A2:A"") &lt;&gt; """"))"),2590.0)</f>
        <v>2590</v>
      </c>
    </row>
    <row r="133" ht="12.75" customHeight="1">
      <c r="A133" s="35">
        <f t="shared" si="2"/>
        <v>27</v>
      </c>
      <c r="B133" s="40">
        <f t="shared" ref="B133:C133" si="128"> B128</f>
        <v>1</v>
      </c>
      <c r="C133" s="36">
        <f t="shared" si="128"/>
        <v>2</v>
      </c>
      <c r="D133" s="50">
        <f>IFERROR(__xludf.DUMMYFUNCTION(" sum (filter (ZONE (MOIS_VERS_ANNEE (A133), address (2, C133 + 1) &amp; "":"" &amp; address (9999, C133 + 1)), month (ZONE (MOIS_VERS_ANNEE (A133), ""A2:A"")) = mod (A133 - 1, 12) + 1, ZONE (MOIS_VERS_ANNEE (A133), ""A2:A"") &lt;&gt; """"))"),2614.37)</f>
        <v>2614.37</v>
      </c>
    </row>
    <row r="134" ht="12.75" customHeight="1">
      <c r="A134" s="35">
        <f t="shared" si="2"/>
        <v>27</v>
      </c>
      <c r="B134" s="40">
        <f t="shared" ref="B134:C134" si="129"> B129</f>
        <v>1</v>
      </c>
      <c r="C134" s="36">
        <f t="shared" si="129"/>
        <v>3</v>
      </c>
      <c r="D134" s="50">
        <f>IFERROR(__xludf.DUMMYFUNCTION(" sum (filter (ZONE (MOIS_VERS_ANNEE (A134), address (2, C134 + 1) &amp; "":"" &amp; address (9999, C134 + 1)), month (ZONE (MOIS_VERS_ANNEE (A134), ""A2:A"")) = mod (A134 - 1, 12) + 1, ZONE (MOIS_VERS_ANNEE (A134), ""A2:A"") &lt;&gt; """"))"),10170.0)</f>
        <v>10170</v>
      </c>
    </row>
    <row r="135" ht="12.75" customHeight="1">
      <c r="A135" s="35">
        <f t="shared" si="2"/>
        <v>27</v>
      </c>
      <c r="B135" s="40">
        <f t="shared" ref="B135:C135" si="130"> B130</f>
        <v>1</v>
      </c>
      <c r="C135" s="36">
        <f t="shared" si="130"/>
        <v>4</v>
      </c>
      <c r="D135" s="50">
        <f>IFERROR(__xludf.DUMMYFUNCTION(" sum (filter (ZONE (MOIS_VERS_ANNEE (A135), address (2, C135 + 1) &amp; "":"" &amp; address (9999, C135 + 1)), month (ZONE (MOIS_VERS_ANNEE (A135), ""A2:A"")) = mod (A135 - 1, 12) + 1, ZONE (MOIS_VERS_ANNEE (A135), ""A2:A"") &lt;&gt; """"))"),980.0)</f>
        <v>980</v>
      </c>
    </row>
    <row r="136" ht="12.75" customHeight="1">
      <c r="A136" s="35">
        <f t="shared" si="2"/>
        <v>27</v>
      </c>
      <c r="B136" s="40">
        <f t="shared" ref="B136:C136" si="131"> B131</f>
        <v>2</v>
      </c>
      <c r="C136" s="36">
        <f t="shared" si="131"/>
        <v>5</v>
      </c>
      <c r="D136" s="50">
        <f> indirect(address(match("Nbre " &amp; vlookup(A136, Mois!$A$2:$C1000, 3), ZONE(MOIS_VERS_ANNEE(A136), "K:K"), 0) - 1, 14, 4, true, MOIS_VERS_ANNEE(A136)))</f>
        <v>6344.83</v>
      </c>
    </row>
    <row r="137" ht="12.75" customHeight="1">
      <c r="A137" s="35">
        <f t="shared" si="2"/>
        <v>28</v>
      </c>
      <c r="B137" s="40">
        <f t="shared" ref="B137:C137" si="132"> B132</f>
        <v>1</v>
      </c>
      <c r="C137" s="36">
        <f t="shared" si="132"/>
        <v>1</v>
      </c>
      <c r="D137" s="50">
        <f>IFERROR(__xludf.DUMMYFUNCTION(" sum (filter (ZONE (MOIS_VERS_ANNEE (A137), address (2, C137 + 1) &amp; "":"" &amp; address (9999, C137 + 1)), month (ZONE (MOIS_VERS_ANNEE (A137), ""A2:A"")) = mod (A137 - 1, 12) + 1, ZONE (MOIS_VERS_ANNEE (A137), ""A2:A"") &lt;&gt; """"))"),6700.0)</f>
        <v>6700</v>
      </c>
    </row>
    <row r="138" ht="12.75" customHeight="1">
      <c r="A138" s="35">
        <f t="shared" si="2"/>
        <v>28</v>
      </c>
      <c r="B138" s="40">
        <f t="shared" ref="B138:C138" si="133"> B133</f>
        <v>1</v>
      </c>
      <c r="C138" s="36">
        <f t="shared" si="133"/>
        <v>2</v>
      </c>
      <c r="D138" s="50">
        <f>IFERROR(__xludf.DUMMYFUNCTION(" sum (filter (ZONE (MOIS_VERS_ANNEE (A138), address (2, C138 + 1) &amp; "":"" &amp; address (9999, C138 + 1)), month (ZONE (MOIS_VERS_ANNEE (A138), ""A2:A"")) = mod (A138 - 1, 12) + 1, ZONE (MOIS_VERS_ANNEE (A138), ""A2:A"") &lt;&gt; """"))"),5295.01)</f>
        <v>5295.01</v>
      </c>
    </row>
    <row r="139" ht="12.75" customHeight="1">
      <c r="A139" s="35">
        <f t="shared" si="2"/>
        <v>28</v>
      </c>
      <c r="B139" s="40">
        <f t="shared" ref="B139:C139" si="134"> B134</f>
        <v>1</v>
      </c>
      <c r="C139" s="36">
        <f t="shared" si="134"/>
        <v>3</v>
      </c>
      <c r="D139" s="50">
        <f>IFERROR(__xludf.DUMMYFUNCTION(" sum (filter (ZONE (MOIS_VERS_ANNEE (A139), address (2, C139 + 1) &amp; "":"" &amp; address (9999, C139 + 1)), month (ZONE (MOIS_VERS_ANNEE (A139), ""A2:A"")) = mod (A139 - 1, 12) + 1, ZONE (MOIS_VERS_ANNEE (A139), ""A2:A"") &lt;&gt; """"))"),17482.2)</f>
        <v>17482.2</v>
      </c>
    </row>
    <row r="140" ht="12.75" customHeight="1">
      <c r="A140" s="35">
        <f t="shared" si="2"/>
        <v>28</v>
      </c>
      <c r="B140" s="40">
        <f t="shared" ref="B140:C140" si="135"> B135</f>
        <v>1</v>
      </c>
      <c r="C140" s="36">
        <f t="shared" si="135"/>
        <v>4</v>
      </c>
      <c r="D140" s="50">
        <f>IFERROR(__xludf.DUMMYFUNCTION(" sum (filter (ZONE (MOIS_VERS_ANNEE (A140), address (2, C140 + 1) &amp; "":"" &amp; address (9999, C140 + 1)), month (ZONE (MOIS_VERS_ANNEE (A140), ""A2:A"")) = mod (A140 - 1, 12) + 1, ZONE (MOIS_VERS_ANNEE (A140), ""A2:A"") &lt;&gt; """"))"),2642.2)</f>
        <v>2642.2</v>
      </c>
    </row>
    <row r="141" ht="12.75" customHeight="1">
      <c r="A141" s="35">
        <f t="shared" si="2"/>
        <v>28</v>
      </c>
      <c r="B141" s="40">
        <f t="shared" ref="B141:C141" si="136"> B136</f>
        <v>2</v>
      </c>
      <c r="C141" s="36">
        <f t="shared" si="136"/>
        <v>5</v>
      </c>
      <c r="D141" s="50">
        <f> indirect(address(match("Nbre " &amp; vlookup(A141, Mois!$A$2:$C1000, 3), ZONE(MOIS_VERS_ANNEE(A141), "K:K"), 0) - 1, 14, 4, true, MOIS_VERS_ANNEE(A141)))</f>
        <v>9158.22</v>
      </c>
    </row>
    <row r="142" ht="12.75" customHeight="1">
      <c r="A142" s="35">
        <f t="shared" si="2"/>
        <v>29</v>
      </c>
      <c r="B142" s="40">
        <f t="shared" ref="B142:C142" si="137"> B137</f>
        <v>1</v>
      </c>
      <c r="C142" s="36">
        <f t="shared" si="137"/>
        <v>1</v>
      </c>
      <c r="D142" s="50">
        <f>IFERROR(__xludf.DUMMYFUNCTION(" sum (filter (ZONE (MOIS_VERS_ANNEE (A142), address (2, C142 + 1) &amp; "":"" &amp; address (9999, C142 + 1)), month (ZONE (MOIS_VERS_ANNEE (A142), ""A2:A"")) = mod (A142 - 1, 12) + 1, ZONE (MOIS_VERS_ANNEE (A142), ""A2:A"") &lt;&gt; """"))"),5230.0)</f>
        <v>5230</v>
      </c>
    </row>
    <row r="143" ht="12.75" customHeight="1">
      <c r="A143" s="35">
        <f t="shared" si="2"/>
        <v>29</v>
      </c>
      <c r="B143" s="40">
        <f t="shared" ref="B143:C143" si="138"> B138</f>
        <v>1</v>
      </c>
      <c r="C143" s="36">
        <f t="shared" si="138"/>
        <v>2</v>
      </c>
      <c r="D143" s="50">
        <f>IFERROR(__xludf.DUMMYFUNCTION(" sum (filter (ZONE (MOIS_VERS_ANNEE (A143), address (2, C143 + 1) &amp; "":"" &amp; address (9999, C143 + 1)), month (ZONE (MOIS_VERS_ANNEE (A143), ""A2:A"")) = mod (A143 - 1, 12) + 1, ZONE (MOIS_VERS_ANNEE (A143), ""A2:A"") &lt;&gt; """"))"),3993.95)</f>
        <v>3993.95</v>
      </c>
    </row>
    <row r="144" ht="12.75" customHeight="1">
      <c r="A144" s="35">
        <f t="shared" si="2"/>
        <v>29</v>
      </c>
      <c r="B144" s="40">
        <f t="shared" ref="B144:C144" si="139"> B139</f>
        <v>1</v>
      </c>
      <c r="C144" s="36">
        <f t="shared" si="139"/>
        <v>3</v>
      </c>
      <c r="D144" s="50">
        <f>IFERROR(__xludf.DUMMYFUNCTION(" sum (filter (ZONE (MOIS_VERS_ANNEE (A144), address (2, C144 + 1) &amp; "":"" &amp; address (9999, C144 + 1)), month (ZONE (MOIS_VERS_ANNEE (A144), ""A2:A"")) = mod (A144 - 1, 12) + 1, ZONE (MOIS_VERS_ANNEE (A144), ""A2:A"") &lt;&gt; """"))"),15202.619999999999)</f>
        <v>15202.62</v>
      </c>
    </row>
    <row r="145" ht="12.75" customHeight="1">
      <c r="A145" s="35">
        <f t="shared" si="2"/>
        <v>29</v>
      </c>
      <c r="B145" s="40">
        <f t="shared" ref="B145:C145" si="140"> B140</f>
        <v>1</v>
      </c>
      <c r="C145" s="36">
        <f t="shared" si="140"/>
        <v>4</v>
      </c>
      <c r="D145" s="50">
        <f>IFERROR(__xludf.DUMMYFUNCTION(" sum (filter (ZONE (MOIS_VERS_ANNEE (A145), address (2, C145 + 1) &amp; "":"" &amp; address (9999, C145 + 1)), month (ZONE (MOIS_VERS_ANNEE (A145), ""A2:A"")) = mod (A145 - 1, 12) + 1, ZONE (MOIS_VERS_ANNEE (A145), ""A2:A"") &lt;&gt; """"))"),2752.2)</f>
        <v>2752.2</v>
      </c>
    </row>
    <row r="146" ht="12.75" customHeight="1">
      <c r="A146" s="35">
        <f t="shared" si="2"/>
        <v>29</v>
      </c>
      <c r="B146" s="40">
        <f t="shared" ref="B146:C146" si="141"> B141</f>
        <v>2</v>
      </c>
      <c r="C146" s="36">
        <f t="shared" si="141"/>
        <v>5</v>
      </c>
      <c r="D146" s="50">
        <f> indirect(address(match("Nbre " &amp; vlookup(A146, Mois!$A$2:$C1000, 3), ZONE(MOIS_VERS_ANNEE(A146), "K:K"), 0) - 1, 14, 4, true, MOIS_VERS_ANNEE(A146)))</f>
        <v>6694.56</v>
      </c>
    </row>
    <row r="147" ht="12.75" customHeight="1">
      <c r="A147" s="35">
        <f t="shared" si="2"/>
        <v>30</v>
      </c>
      <c r="B147" s="40">
        <f t="shared" ref="B147:C147" si="142"> B142</f>
        <v>1</v>
      </c>
      <c r="C147" s="36">
        <f t="shared" si="142"/>
        <v>1</v>
      </c>
      <c r="D147" s="50">
        <f>IFERROR(__xludf.DUMMYFUNCTION(" sum (filter (ZONE (MOIS_VERS_ANNEE (A147), address (2, C147 + 1) &amp; "":"" &amp; address (9999, C147 + 1)), month (ZONE (MOIS_VERS_ANNEE (A147), ""A2:A"")) = mod (A147 - 1, 12) + 1, ZONE (MOIS_VERS_ANNEE (A147), ""A2:A"") &lt;&gt; """"))"),4560.0)</f>
        <v>4560</v>
      </c>
    </row>
    <row r="148" ht="12.75" customHeight="1">
      <c r="A148" s="35">
        <f t="shared" si="2"/>
        <v>30</v>
      </c>
      <c r="B148" s="40">
        <f t="shared" ref="B148:C148" si="143"> B143</f>
        <v>1</v>
      </c>
      <c r="C148" s="36">
        <f t="shared" si="143"/>
        <v>2</v>
      </c>
      <c r="D148" s="50">
        <f>IFERROR(__xludf.DUMMYFUNCTION(" sum (filter (ZONE (MOIS_VERS_ANNEE (A148), address (2, C148 + 1) &amp; "":"" &amp; address (9999, C148 + 1)), month (ZONE (MOIS_VERS_ANNEE (A148), ""A2:A"")) = mod (A148 - 1, 12) + 1, ZONE (MOIS_VERS_ANNEE (A148), ""A2:A"") &lt;&gt; """"))"),2216.8999999999996)</f>
        <v>2216.9</v>
      </c>
    </row>
    <row r="149" ht="12.75" customHeight="1">
      <c r="A149" s="35">
        <f t="shared" si="2"/>
        <v>30</v>
      </c>
      <c r="B149" s="40">
        <f t="shared" ref="B149:C149" si="144"> B144</f>
        <v>1</v>
      </c>
      <c r="C149" s="36">
        <f t="shared" si="144"/>
        <v>3</v>
      </c>
      <c r="D149" s="50">
        <f>IFERROR(__xludf.DUMMYFUNCTION(" sum (filter (ZONE (MOIS_VERS_ANNEE (A149), address (2, C149 + 1) &amp; "":"" &amp; address (9999, C149 + 1)), month (ZONE (MOIS_VERS_ANNEE (A149), ""A2:A"")) = mod (A149 - 1, 12) + 1, ZONE (MOIS_VERS_ANNEE (A149), ""A2:A"") &lt;&gt; """"))"),9390.0)</f>
        <v>9390</v>
      </c>
    </row>
    <row r="150" ht="12.75" customHeight="1">
      <c r="A150" s="35">
        <f t="shared" si="2"/>
        <v>30</v>
      </c>
      <c r="B150" s="40">
        <f t="shared" ref="B150:C150" si="145"> B145</f>
        <v>1</v>
      </c>
      <c r="C150" s="36">
        <f t="shared" si="145"/>
        <v>4</v>
      </c>
      <c r="D150" s="50">
        <f>IFERROR(__xludf.DUMMYFUNCTION(" sum (filter (ZONE (MOIS_VERS_ANNEE (A150), address (2, C150 + 1) &amp; "":"" &amp; address (9999, C150 + 1)), month (ZONE (MOIS_VERS_ANNEE (A150), ""A2:A"")) = mod (A150 - 1, 12) + 1, ZONE (MOIS_VERS_ANNEE (A150), ""A2:A"") &lt;&gt; """"))"),1169.0)</f>
        <v>1169</v>
      </c>
    </row>
    <row r="151" ht="12.75" customHeight="1">
      <c r="A151" s="35">
        <f t="shared" si="2"/>
        <v>30</v>
      </c>
      <c r="B151" s="40">
        <f t="shared" ref="B151:C151" si="146"> B146</f>
        <v>2</v>
      </c>
      <c r="C151" s="36">
        <f t="shared" si="146"/>
        <v>5</v>
      </c>
      <c r="D151" s="50">
        <f> indirect(address(match("Nbre " &amp; vlookup(A151, Mois!$A$2:$C1000, 3), ZONE(MOIS_VERS_ANNEE(A151), "K:K"), 0) - 1, 14, 4, true, MOIS_VERS_ANNEE(A151)))</f>
        <v>4390.92</v>
      </c>
    </row>
    <row r="152" ht="12.75" customHeight="1">
      <c r="A152" s="35">
        <f t="shared" si="2"/>
        <v>31</v>
      </c>
      <c r="B152" s="40">
        <f t="shared" ref="B152:C152" si="147"> B147</f>
        <v>1</v>
      </c>
      <c r="C152" s="36">
        <f t="shared" si="147"/>
        <v>1</v>
      </c>
      <c r="D152" s="50">
        <f>IFERROR(__xludf.DUMMYFUNCTION(" sum (filter (ZONE (MOIS_VERS_ANNEE (A152), address (2, C152 + 1) &amp; "":"" &amp; address (9999, C152 + 1)), month (ZONE (MOIS_VERS_ANNEE (A152), ""A2:A"")) = mod (A152 - 1, 12) + 1, ZONE (MOIS_VERS_ANNEE (A152), ""A2:A"") &lt;&gt; """"))"),4742.2)</f>
        <v>4742.2</v>
      </c>
    </row>
    <row r="153" ht="12.75" customHeight="1">
      <c r="A153" s="35">
        <f t="shared" si="2"/>
        <v>31</v>
      </c>
      <c r="B153" s="40">
        <f t="shared" ref="B153:C153" si="148"> B148</f>
        <v>1</v>
      </c>
      <c r="C153" s="36">
        <f t="shared" si="148"/>
        <v>2</v>
      </c>
      <c r="D153" s="50">
        <f>IFERROR(__xludf.DUMMYFUNCTION(" sum (filter (ZONE (MOIS_VERS_ANNEE (A153), address (2, C153 + 1) &amp; "":"" &amp; address (9999, C153 + 1)), month (ZONE (MOIS_VERS_ANNEE (A153), ""A2:A"")) = mod (A153 - 1, 12) + 1, ZONE (MOIS_VERS_ANNEE (A153), ""A2:A"") &lt;&gt; """"))"),3764.7200000000003)</f>
        <v>3764.72</v>
      </c>
    </row>
    <row r="154" ht="12.75" customHeight="1">
      <c r="A154" s="35">
        <f t="shared" si="2"/>
        <v>31</v>
      </c>
      <c r="B154" s="40">
        <f t="shared" ref="B154:C154" si="149"> B149</f>
        <v>1</v>
      </c>
      <c r="C154" s="36">
        <f t="shared" si="149"/>
        <v>3</v>
      </c>
      <c r="D154" s="50">
        <f>IFERROR(__xludf.DUMMYFUNCTION(" sum (filter (ZONE (MOIS_VERS_ANNEE (A154), address (2, C154 + 1) &amp; "":"" &amp; address (9999, C154 + 1)), month (ZONE (MOIS_VERS_ANNEE (A154), ""A2:A"")) = mod (A154 - 1, 12) + 1, ZONE (MOIS_VERS_ANNEE (A154), ""A2:A"") &lt;&gt; """"))"),18648.84)</f>
        <v>18648.84</v>
      </c>
    </row>
    <row r="155" ht="12.75" customHeight="1">
      <c r="A155" s="35">
        <f t="shared" si="2"/>
        <v>31</v>
      </c>
      <c r="B155" s="40">
        <f t="shared" ref="B155:C155" si="150"> B150</f>
        <v>1</v>
      </c>
      <c r="C155" s="36">
        <f t="shared" si="150"/>
        <v>4</v>
      </c>
      <c r="D155" s="50">
        <f>IFERROR(__xludf.DUMMYFUNCTION(" sum (filter (ZONE (MOIS_VERS_ANNEE (A155), address (2, C155 + 1) &amp; "":"" &amp; address (9999, C155 + 1)), month (ZONE (MOIS_VERS_ANNEE (A155), ""A2:A"")) = mod (A155 - 1, 12) + 1, ZONE (MOIS_VERS_ANNEE (A155), ""A2:A"") &lt;&gt; """"))"),2850.0)</f>
        <v>2850</v>
      </c>
    </row>
    <row r="156" ht="12.75" customHeight="1">
      <c r="A156" s="35">
        <f t="shared" si="2"/>
        <v>31</v>
      </c>
      <c r="B156" s="40">
        <f t="shared" ref="B156:C156" si="151"> B151</f>
        <v>2</v>
      </c>
      <c r="C156" s="36">
        <f t="shared" si="151"/>
        <v>5</v>
      </c>
      <c r="D156" s="50">
        <f> indirect(address(match("Nbre " &amp; vlookup(A156, Mois!$A$2:$C1000, 3), ZONE(MOIS_VERS_ANNEE(A156), "K:K"), 0) - 1, 14, 4, true, MOIS_VERS_ANNEE(A156)))</f>
        <v>6982.74</v>
      </c>
    </row>
    <row r="157" ht="12.75" customHeight="1">
      <c r="A157" s="35">
        <f t="shared" si="2"/>
        <v>32</v>
      </c>
      <c r="B157" s="40">
        <f t="shared" ref="B157:C157" si="152"> B152</f>
        <v>1</v>
      </c>
      <c r="C157" s="36">
        <f t="shared" si="152"/>
        <v>1</v>
      </c>
      <c r="D157" s="50">
        <f>IFERROR(__xludf.DUMMYFUNCTION(" sum (filter (ZONE (MOIS_VERS_ANNEE (A157), address (2, C157 + 1) &amp; "":"" &amp; address (9999, C157 + 1)), month (ZONE (MOIS_VERS_ANNEE (A157), ""A2:A"")) = mod (A157 - 1, 12) + 1, ZONE (MOIS_VERS_ANNEE (A157), ""A2:A"") &lt;&gt; """"))"),1900.0)</f>
        <v>1900</v>
      </c>
    </row>
    <row r="158" ht="12.75" customHeight="1">
      <c r="A158" s="35">
        <f t="shared" si="2"/>
        <v>32</v>
      </c>
      <c r="B158" s="40">
        <f t="shared" ref="B158:C158" si="153"> B153</f>
        <v>1</v>
      </c>
      <c r="C158" s="36">
        <f t="shared" si="153"/>
        <v>2</v>
      </c>
      <c r="D158" s="50">
        <f>IFERROR(__xludf.DUMMYFUNCTION(" sum (filter (ZONE (MOIS_VERS_ANNEE (A158), address (2, C158 + 1) &amp; "":"" &amp; address (9999, C158 + 1)), month (ZONE (MOIS_VERS_ANNEE (A158), ""A2:A"")) = mod (A158 - 1, 12) + 1, ZONE (MOIS_VERS_ANNEE (A158), ""A2:A"") &lt;&gt; """"))"),1003.2900000000001)</f>
        <v>1003.29</v>
      </c>
    </row>
    <row r="159" ht="12.75" customHeight="1">
      <c r="A159" s="35">
        <f t="shared" si="2"/>
        <v>32</v>
      </c>
      <c r="B159" s="40">
        <f t="shared" ref="B159:C159" si="154"> B154</f>
        <v>1</v>
      </c>
      <c r="C159" s="36">
        <f t="shared" si="154"/>
        <v>3</v>
      </c>
      <c r="D159" s="50">
        <f>IFERROR(__xludf.DUMMYFUNCTION(" sum (filter (ZONE (MOIS_VERS_ANNEE (A159), address (2, C159 + 1) &amp; "":"" &amp; address (9999, C159 + 1)), month (ZONE (MOIS_VERS_ANNEE (A159), ""A2:A"")) = mod (A159 - 1, 12) + 1, ZONE (MOIS_VERS_ANNEE (A159), ""A2:A"") &lt;&gt; """"))"),5320.0)</f>
        <v>5320</v>
      </c>
    </row>
    <row r="160" ht="12.75" customHeight="1">
      <c r="A160" s="35">
        <f t="shared" si="2"/>
        <v>32</v>
      </c>
      <c r="B160" s="40">
        <f t="shared" ref="B160:C160" si="155"> B155</f>
        <v>1</v>
      </c>
      <c r="C160" s="36">
        <f t="shared" si="155"/>
        <v>4</v>
      </c>
      <c r="D160" s="50">
        <f>IFERROR(__xludf.DUMMYFUNCTION(" sum (filter (ZONE (MOIS_VERS_ANNEE (A160), address (2, C160 + 1) &amp; "":"" &amp; address (9999, C160 + 1)), month (ZONE (MOIS_VERS_ANNEE (A160), ""A2:A"")) = mod (A160 - 1, 12) + 1, ZONE (MOIS_VERS_ANNEE (A160), ""A2:A"") &lt;&gt; """"))"),990.0)</f>
        <v>990</v>
      </c>
    </row>
    <row r="161" ht="12.75" customHeight="1">
      <c r="A161" s="35">
        <f t="shared" si="2"/>
        <v>32</v>
      </c>
      <c r="B161" s="40">
        <f t="shared" ref="B161:C161" si="156"> B156</f>
        <v>2</v>
      </c>
      <c r="C161" s="36">
        <f t="shared" si="156"/>
        <v>5</v>
      </c>
      <c r="D161" s="50">
        <f> indirect(address(match("Nbre " &amp; vlookup(A161, Mois!$A$2:$C1000, 3), ZONE(MOIS_VERS_ANNEE(A161), "K:K"), 0) - 1, 14, 4, true, MOIS_VERS_ANNEE(A161)))</f>
        <v>836.82</v>
      </c>
    </row>
    <row r="162" ht="12.75" customHeight="1">
      <c r="A162" s="35">
        <f t="shared" si="2"/>
        <v>33</v>
      </c>
      <c r="B162" s="40">
        <f t="shared" ref="B162:C162" si="157"> B157</f>
        <v>1</v>
      </c>
      <c r="C162" s="36">
        <f t="shared" si="157"/>
        <v>1</v>
      </c>
      <c r="D162" s="50">
        <f>IFERROR(__xludf.DUMMYFUNCTION(" sum (filter (ZONE (MOIS_VERS_ANNEE (A162), address (2, C162 + 1) &amp; "":"" &amp; address (9999, C162 + 1)), month (ZONE (MOIS_VERS_ANNEE (A162), ""A2:A"")) = mod (A162 - 1, 12) + 1, ZONE (MOIS_VERS_ANNEE (A162), ""A2:A"") &lt;&gt; """"))"),5652.2)</f>
        <v>5652.2</v>
      </c>
    </row>
    <row r="163" ht="12.75" customHeight="1">
      <c r="A163" s="35">
        <f t="shared" si="2"/>
        <v>33</v>
      </c>
      <c r="B163" s="40">
        <f t="shared" ref="B163:C163" si="158"> B158</f>
        <v>1</v>
      </c>
      <c r="C163" s="36">
        <f t="shared" si="158"/>
        <v>2</v>
      </c>
      <c r="D163" s="50">
        <f>IFERROR(__xludf.DUMMYFUNCTION(" sum (filter (ZONE (MOIS_VERS_ANNEE (A163), address (2, C163 + 1) &amp; "":"" &amp; address (9999, C163 + 1)), month (ZONE (MOIS_VERS_ANNEE (A163), ""A2:A"")) = mod (A163 - 1, 12) + 1, ZONE (MOIS_VERS_ANNEE (A163), ""A2:A"") &lt;&gt; """"))"),4244.83)</f>
        <v>4244.83</v>
      </c>
    </row>
    <row r="164" ht="12.75" customHeight="1">
      <c r="A164" s="35">
        <f t="shared" si="2"/>
        <v>33</v>
      </c>
      <c r="B164" s="40">
        <f t="shared" ref="B164:C164" si="159"> B159</f>
        <v>1</v>
      </c>
      <c r="C164" s="36">
        <f t="shared" si="159"/>
        <v>3</v>
      </c>
      <c r="D164" s="50">
        <f>IFERROR(__xludf.DUMMYFUNCTION(" sum (filter (ZONE (MOIS_VERS_ANNEE (A164), address (2, C164 + 1) &amp; "":"" &amp; address (9999, C164 + 1)), month (ZONE (MOIS_VERS_ANNEE (A164), ""A2:A"")) = mod (A164 - 1, 12) + 1, ZONE (MOIS_VERS_ANNEE (A164), ""A2:A"") &lt;&gt; """"))"),17230.0)</f>
        <v>17230</v>
      </c>
    </row>
    <row r="165" ht="12.75" customHeight="1">
      <c r="A165" s="35">
        <f t="shared" si="2"/>
        <v>33</v>
      </c>
      <c r="B165" s="40">
        <f t="shared" ref="B165:C165" si="160"> B160</f>
        <v>1</v>
      </c>
      <c r="C165" s="36">
        <f t="shared" si="160"/>
        <v>4</v>
      </c>
      <c r="D165" s="50">
        <f>IFERROR(__xludf.DUMMYFUNCTION(" sum (filter (ZONE (MOIS_VERS_ANNEE (A165), address (2, C165 + 1) &amp; "":"" &amp; address (9999, C165 + 1)), month (ZONE (MOIS_VERS_ANNEE (A165), ""A2:A"")) = mod (A165 - 1, 12) + 1, ZONE (MOIS_VERS_ANNEE (A165), ""A2:A"") &lt;&gt; """"))"),2840.0)</f>
        <v>2840</v>
      </c>
    </row>
    <row r="166" ht="12.75" customHeight="1">
      <c r="A166" s="35">
        <f t="shared" si="2"/>
        <v>33</v>
      </c>
      <c r="B166" s="40">
        <f t="shared" ref="B166:C166" si="161"> B161</f>
        <v>2</v>
      </c>
      <c r="C166" s="36">
        <f t="shared" si="161"/>
        <v>5</v>
      </c>
      <c r="D166" s="50">
        <f> indirect(address(match("Nbre " &amp; vlookup(A166, Mois!$A$2:$C1000, 3), ZONE(MOIS_VERS_ANNEE(A166), "K:K"), 0) - 1, 14, 4, true, MOIS_VERS_ANNEE(A166)))</f>
        <v>7865.46</v>
      </c>
    </row>
    <row r="167" ht="12.75" customHeight="1">
      <c r="A167" s="35">
        <f t="shared" si="2"/>
        <v>34</v>
      </c>
      <c r="B167" s="40">
        <f t="shared" ref="B167:C167" si="162"> B162</f>
        <v>1</v>
      </c>
      <c r="C167" s="36">
        <f t="shared" si="162"/>
        <v>1</v>
      </c>
      <c r="D167" s="50">
        <f>IFERROR(__xludf.DUMMYFUNCTION(" sum (filter (ZONE (MOIS_VERS_ANNEE (A167), address (2, C167 + 1) &amp; "":"" &amp; address (9999, C167 + 1)), month (ZONE (MOIS_VERS_ANNEE (A167), ""A2:A"")) = mod (A167 - 1, 12) + 1, ZONE (MOIS_VERS_ANNEE (A167), ""A2:A"") &lt;&gt; """"))"),5982.5)</f>
        <v>5982.5</v>
      </c>
    </row>
    <row r="168" ht="12.75" customHeight="1">
      <c r="A168" s="35">
        <f t="shared" si="2"/>
        <v>34</v>
      </c>
      <c r="B168" s="40">
        <f t="shared" ref="B168:C168" si="163"> B163</f>
        <v>1</v>
      </c>
      <c r="C168" s="36">
        <f t="shared" si="163"/>
        <v>2</v>
      </c>
      <c r="D168" s="50">
        <f>IFERROR(__xludf.DUMMYFUNCTION(" sum (filter (ZONE (MOIS_VERS_ANNEE (A168), address (2, C168 + 1) &amp; "":"" &amp; address (9999, C168 + 1)), month (ZONE (MOIS_VERS_ANNEE (A168), ""A2:A"")) = mod (A168 - 1, 12) + 1, ZONE (MOIS_VERS_ANNEE (A168), ""A2:A"") &lt;&gt; """"))"),4398.24)</f>
        <v>4398.24</v>
      </c>
    </row>
    <row r="169" ht="12.75" customHeight="1">
      <c r="A169" s="35">
        <f t="shared" si="2"/>
        <v>34</v>
      </c>
      <c r="B169" s="40">
        <f t="shared" ref="B169:C169" si="164"> B164</f>
        <v>1</v>
      </c>
      <c r="C169" s="36">
        <f t="shared" si="164"/>
        <v>3</v>
      </c>
      <c r="D169" s="50">
        <f>IFERROR(__xludf.DUMMYFUNCTION(" sum (filter (ZONE (MOIS_VERS_ANNEE (A169), address (2, C169 + 1) &amp; "":"" &amp; address (9999, C169 + 1)), month (ZONE (MOIS_VERS_ANNEE (A169), ""A2:A"")) = mod (A169 - 1, 12) + 1, ZONE (MOIS_VERS_ANNEE (A169), ""A2:A"") &lt;&gt; """"))"),17690.0)</f>
        <v>17690</v>
      </c>
    </row>
    <row r="170" ht="12.75" customHeight="1">
      <c r="A170" s="35">
        <f t="shared" si="2"/>
        <v>34</v>
      </c>
      <c r="B170" s="40">
        <f t="shared" ref="B170:C170" si="165"> B165</f>
        <v>1</v>
      </c>
      <c r="C170" s="36">
        <f t="shared" si="165"/>
        <v>4</v>
      </c>
      <c r="D170" s="50">
        <f>IFERROR(__xludf.DUMMYFUNCTION(" sum (filter (ZONE (MOIS_VERS_ANNEE (A170), address (2, C170 + 1) &amp; "":"" &amp; address (9999, C170 + 1)), month (ZONE (MOIS_VERS_ANNEE (A170), ""A2:A"")) = mod (A170 - 1, 12) + 1, ZONE (MOIS_VERS_ANNEE (A170), ""A2:A"") &lt;&gt; """"))"),2980.0)</f>
        <v>2980</v>
      </c>
    </row>
    <row r="171" ht="12.75" customHeight="1">
      <c r="A171" s="35">
        <f t="shared" si="2"/>
        <v>34</v>
      </c>
      <c r="B171" s="40">
        <f t="shared" ref="B171:C171" si="166"> B166</f>
        <v>2</v>
      </c>
      <c r="C171" s="36">
        <f t="shared" si="166"/>
        <v>5</v>
      </c>
      <c r="D171" s="50">
        <f> indirect(address(match("Nbre " &amp; vlookup(A171, Mois!$A$2:$C1000, 3), ZONE(MOIS_VERS_ANNEE(A171), "K:K"), 0) - 1, 14, 4, true, MOIS_VERS_ANNEE(A171)))</f>
        <v>7846.38</v>
      </c>
    </row>
    <row r="172" ht="12.75" customHeight="1">
      <c r="A172" s="35">
        <f t="shared" si="2"/>
        <v>35</v>
      </c>
      <c r="B172" s="40">
        <f t="shared" ref="B172:C172" si="167"> B167</f>
        <v>1</v>
      </c>
      <c r="C172" s="36">
        <f t="shared" si="167"/>
        <v>1</v>
      </c>
      <c r="D172" s="50">
        <f>IFERROR(__xludf.DUMMYFUNCTION(" sum (filter (ZONE (MOIS_VERS_ANNEE (A172), address (2, C172 + 1) &amp; "":"" &amp; address (9999, C172 + 1)), month (ZONE (MOIS_VERS_ANNEE (A172), ""A2:A"")) = mod (A172 - 1, 12) + 1, ZONE (MOIS_VERS_ANNEE (A172), ""A2:A"") &lt;&gt; """"))"),3860.0)</f>
        <v>3860</v>
      </c>
    </row>
    <row r="173" ht="12.75" customHeight="1">
      <c r="A173" s="35">
        <f t="shared" si="2"/>
        <v>35</v>
      </c>
      <c r="B173" s="40">
        <f t="shared" ref="B173:C173" si="168"> B168</f>
        <v>1</v>
      </c>
      <c r="C173" s="36">
        <f t="shared" si="168"/>
        <v>2</v>
      </c>
      <c r="D173" s="50">
        <f>IFERROR(__xludf.DUMMYFUNCTION(" sum (filter (ZONE (MOIS_VERS_ANNEE (A173), address (2, C173 + 1) &amp; "":"" &amp; address (9999, C173 + 1)), month (ZONE (MOIS_VERS_ANNEE (A173), ""A2:A"")) = mod (A173 - 1, 12) + 1, ZONE (MOIS_VERS_ANNEE (A173), ""A2:A"") &lt;&gt; """"))"),3614.7700000000004)</f>
        <v>3614.77</v>
      </c>
    </row>
    <row r="174" ht="12.75" customHeight="1">
      <c r="A174" s="35">
        <f t="shared" si="2"/>
        <v>35</v>
      </c>
      <c r="B174" s="40">
        <f t="shared" ref="B174:C174" si="169"> B169</f>
        <v>1</v>
      </c>
      <c r="C174" s="36">
        <f t="shared" si="169"/>
        <v>3</v>
      </c>
      <c r="D174" s="50">
        <f>IFERROR(__xludf.DUMMYFUNCTION(" sum (filter (ZONE (MOIS_VERS_ANNEE (A174), address (2, C174 + 1) &amp; "":"" &amp; address (9999, C174 + 1)), month (ZONE (MOIS_VERS_ANNEE (A174), ""A2:A"")) = mod (A174 - 1, 12) + 1, ZONE (MOIS_VERS_ANNEE (A174), ""A2:A"") &lt;&gt; """"))"),13353.05)</f>
        <v>13353.05</v>
      </c>
    </row>
    <row r="175" ht="12.75" customHeight="1">
      <c r="A175" s="35">
        <f t="shared" si="2"/>
        <v>35</v>
      </c>
      <c r="B175" s="40">
        <f t="shared" ref="B175:C175" si="170"> B170</f>
        <v>1</v>
      </c>
      <c r="C175" s="36">
        <f t="shared" si="170"/>
        <v>4</v>
      </c>
      <c r="D175" s="50">
        <f>IFERROR(__xludf.DUMMYFUNCTION(" sum (filter (ZONE (MOIS_VERS_ANNEE (A175), address (2, C175 + 1) &amp; "":"" &amp; address (9999, C175 + 1)), month (ZONE (MOIS_VERS_ANNEE (A175), ""A2:A"")) = mod (A175 - 1, 12) + 1, ZONE (MOIS_VERS_ANNEE (A175), ""A2:A"") &lt;&gt; """"))"),2420.0)</f>
        <v>2420</v>
      </c>
    </row>
    <row r="176" ht="12.75" customHeight="1">
      <c r="A176" s="35">
        <f t="shared" si="2"/>
        <v>35</v>
      </c>
      <c r="B176" s="40">
        <f t="shared" ref="B176:C176" si="171"> B171</f>
        <v>2</v>
      </c>
      <c r="C176" s="36">
        <f t="shared" si="171"/>
        <v>5</v>
      </c>
      <c r="D176" s="50">
        <f> indirect(address(match("Nbre " &amp; vlookup(A176, Mois!$A$2:$C1000, 3), ZONE(MOIS_VERS_ANNEE(A176), "K:K"), 0) - 1, 14, 4, true, MOIS_VERS_ANNEE(A176)))</f>
        <v>5182.74</v>
      </c>
    </row>
    <row r="177" ht="12.75" customHeight="1">
      <c r="A177" s="35">
        <f t="shared" si="2"/>
        <v>36</v>
      </c>
      <c r="B177" s="40">
        <f t="shared" ref="B177:C177" si="172"> B172</f>
        <v>1</v>
      </c>
      <c r="C177" s="36">
        <f t="shared" si="172"/>
        <v>1</v>
      </c>
      <c r="D177" s="50">
        <f>IFERROR(__xludf.DUMMYFUNCTION(" sum (filter (ZONE (MOIS_VERS_ANNEE (A177), address (2, C177 + 1) &amp; "":"" &amp; address (9999, C177 + 1)), month (ZONE (MOIS_VERS_ANNEE (A177), ""A2:A"")) = mod (A177 - 1, 12) + 1, ZONE (MOIS_VERS_ANNEE (A177), ""A2:A"") &lt;&gt; """"))"),3790.0)</f>
        <v>3790</v>
      </c>
    </row>
    <row r="178" ht="12.75" customHeight="1">
      <c r="A178" s="35">
        <f t="shared" si="2"/>
        <v>36</v>
      </c>
      <c r="B178" s="40">
        <f t="shared" ref="B178:C178" si="173"> B173</f>
        <v>1</v>
      </c>
      <c r="C178" s="36">
        <f t="shared" si="173"/>
        <v>2</v>
      </c>
      <c r="D178" s="50">
        <f>IFERROR(__xludf.DUMMYFUNCTION(" sum (filter (ZONE (MOIS_VERS_ANNEE (A178), address (2, C178 + 1) &amp; "":"" &amp; address (9999, C178 + 1)), month (ZONE (MOIS_VERS_ANNEE (A178), ""A2:A"")) = mod (A178 - 1, 12) + 1, ZONE (MOIS_VERS_ANNEE (A178), ""A2:A"") &lt;&gt; """"))"),2188.9200000000005)</f>
        <v>2188.92</v>
      </c>
    </row>
    <row r="179" ht="12.75" customHeight="1">
      <c r="A179" s="35">
        <f t="shared" si="2"/>
        <v>36</v>
      </c>
      <c r="B179" s="40">
        <f t="shared" ref="B179:C179" si="174"> B174</f>
        <v>1</v>
      </c>
      <c r="C179" s="36">
        <f t="shared" si="174"/>
        <v>3</v>
      </c>
      <c r="D179" s="50">
        <f>IFERROR(__xludf.DUMMYFUNCTION(" sum (filter (ZONE (MOIS_VERS_ANNEE (A179), address (2, C179 + 1) &amp; "":"" &amp; address (9999, C179 + 1)), month (ZONE (MOIS_VERS_ANNEE (A179), ""A2:A"")) = mod (A179 - 1, 12) + 1, ZONE (MOIS_VERS_ANNEE (A179), ""A2:A"") &lt;&gt; """"))"),9330.0)</f>
        <v>9330</v>
      </c>
    </row>
    <row r="180" ht="12.75" customHeight="1">
      <c r="A180" s="35">
        <f t="shared" si="2"/>
        <v>36</v>
      </c>
      <c r="B180" s="40">
        <f t="shared" ref="B180:C180" si="175"> B175</f>
        <v>1</v>
      </c>
      <c r="C180" s="36">
        <f t="shared" si="175"/>
        <v>4</v>
      </c>
      <c r="D180" s="50">
        <f>IFERROR(__xludf.DUMMYFUNCTION(" sum (filter (ZONE (MOIS_VERS_ANNEE (A180), address (2, C180 + 1) &amp; "":"" &amp; address (9999, C180 + 1)), month (ZONE (MOIS_VERS_ANNEE (A180), ""A2:A"")) = mod (A180 - 1, 12) + 1, ZONE (MOIS_VERS_ANNEE (A180), ""A2:A"") &lt;&gt; """"))"),1570.0)</f>
        <v>1570</v>
      </c>
    </row>
    <row r="181" ht="12.75" customHeight="1">
      <c r="A181" s="35">
        <f t="shared" si="2"/>
        <v>36</v>
      </c>
      <c r="B181" s="40">
        <f t="shared" ref="B181:C181" si="176"> B176</f>
        <v>2</v>
      </c>
      <c r="C181" s="36">
        <f t="shared" si="176"/>
        <v>5</v>
      </c>
      <c r="D181" s="50">
        <f> indirect(address(match("Nbre " &amp; vlookup(A181, Mois!$A$2:$C1000, 3), ZONE(MOIS_VERS_ANNEE(A181), "K:K"), 0) - 1, 14, 4, true, MOIS_VERS_ANNEE(A181)))</f>
        <v>4535.46</v>
      </c>
    </row>
    <row r="182" ht="12.75" customHeight="1">
      <c r="A182" s="35">
        <f t="shared" si="2"/>
        <v>37</v>
      </c>
      <c r="B182" s="40">
        <f t="shared" ref="B182:C182" si="177"> B177</f>
        <v>1</v>
      </c>
      <c r="C182" s="36">
        <f t="shared" si="177"/>
        <v>1</v>
      </c>
      <c r="D182" s="50">
        <f>IFERROR(__xludf.DUMMYFUNCTION(" sum (filter (ZONE (MOIS_VERS_ANNEE (A182), address (2, C182 + 1) &amp; "":"" &amp; address (9999, C182 + 1)), month (ZONE (MOIS_VERS_ANNEE (A182), ""A2:A"")) = mod (A182 - 1, 12) + 1, ZONE (MOIS_VERS_ANNEE (A182), ""A2:A"") &lt;&gt; """"))"),5120.0)</f>
        <v>5120</v>
      </c>
    </row>
    <row r="183" ht="12.75" customHeight="1">
      <c r="A183" s="35">
        <f t="shared" si="2"/>
        <v>37</v>
      </c>
      <c r="B183" s="40">
        <f t="shared" ref="B183:C183" si="178"> B178</f>
        <v>1</v>
      </c>
      <c r="C183" s="36">
        <f t="shared" si="178"/>
        <v>2</v>
      </c>
      <c r="D183" s="50">
        <f>IFERROR(__xludf.DUMMYFUNCTION(" sum (filter (ZONE (MOIS_VERS_ANNEE (A183), address (2, C183 + 1) &amp; "":"" &amp; address (9999, C183 + 1)), month (ZONE (MOIS_VERS_ANNEE (A183), ""A2:A"")) = mod (A183 - 1, 12) + 1, ZONE (MOIS_VERS_ANNEE (A183), ""A2:A"") &lt;&gt; """"))"),4275.2)</f>
        <v>4275.2</v>
      </c>
    </row>
    <row r="184" ht="12.75" customHeight="1">
      <c r="A184" s="35">
        <f t="shared" si="2"/>
        <v>37</v>
      </c>
      <c r="B184" s="40">
        <f t="shared" ref="B184:C184" si="179"> B179</f>
        <v>1</v>
      </c>
      <c r="C184" s="36">
        <f t="shared" si="179"/>
        <v>3</v>
      </c>
      <c r="D184" s="50">
        <f>IFERROR(__xludf.DUMMYFUNCTION(" sum (filter (ZONE (MOIS_VERS_ANNEE (A184), address (2, C184 + 1) &amp; "":"" &amp; address (9999, C184 + 1)), month (ZONE (MOIS_VERS_ANNEE (A184), ""A2:A"")) = mod (A184 - 1, 12) + 1, ZONE (MOIS_VERS_ANNEE (A184), ""A2:A"") &lt;&gt; """"))"),16650.0)</f>
        <v>16650</v>
      </c>
    </row>
    <row r="185" ht="12.75" customHeight="1">
      <c r="A185" s="35">
        <f t="shared" si="2"/>
        <v>37</v>
      </c>
      <c r="B185" s="40">
        <f t="shared" ref="B185:C185" si="180"> B180</f>
        <v>1</v>
      </c>
      <c r="C185" s="36">
        <f t="shared" si="180"/>
        <v>4</v>
      </c>
      <c r="D185" s="50">
        <f>IFERROR(__xludf.DUMMYFUNCTION(" sum (filter (ZONE (MOIS_VERS_ANNEE (A185), address (2, C185 + 1) &amp; "":"" &amp; address (9999, C185 + 1)), month (ZONE (MOIS_VERS_ANNEE (A185), ""A2:A"")) = mod (A185 - 1, 12) + 1, ZONE (MOIS_VERS_ANNEE (A185), ""A2:A"") &lt;&gt; """"))"),2320.0)</f>
        <v>2320</v>
      </c>
    </row>
    <row r="186" ht="12.75" customHeight="1">
      <c r="A186" s="35">
        <f t="shared" si="2"/>
        <v>37</v>
      </c>
      <c r="B186" s="40">
        <f t="shared" ref="B186:C186" si="181"> B181</f>
        <v>2</v>
      </c>
      <c r="C186" s="36">
        <f t="shared" si="181"/>
        <v>5</v>
      </c>
      <c r="D186" s="50">
        <f> indirect(address(match("Nbre " &amp; vlookup(A186, Mois!$A$2:$C1000, 3), ZONE(MOIS_VERS_ANNEE(A186), "K:K"), 0) - 1, 14, 4, true, MOIS_VERS_ANNEE(A186)))</f>
        <v>10347.3</v>
      </c>
    </row>
    <row r="187" ht="12.75" customHeight="1">
      <c r="A187" s="35">
        <f t="shared" si="2"/>
        <v>38</v>
      </c>
      <c r="B187" s="40">
        <f t="shared" ref="B187:C187" si="182"> B182</f>
        <v>1</v>
      </c>
      <c r="C187" s="36">
        <f t="shared" si="182"/>
        <v>1</v>
      </c>
      <c r="D187" s="50">
        <f>IFERROR(__xludf.DUMMYFUNCTION(" sum (filter (ZONE (MOIS_VERS_ANNEE (A187), address (2, C187 + 1) &amp; "":"" &amp; address (9999, C187 + 1)), month (ZONE (MOIS_VERS_ANNEE (A187), ""A2:A"")) = mod (A187 - 1, 12) + 1, ZONE (MOIS_VERS_ANNEE (A187), ""A2:A"") &lt;&gt; """"))"),4020.0)</f>
        <v>4020</v>
      </c>
    </row>
    <row r="188" ht="12.75" customHeight="1">
      <c r="A188" s="35">
        <f t="shared" si="2"/>
        <v>38</v>
      </c>
      <c r="B188" s="40">
        <f t="shared" ref="B188:C188" si="183"> B183</f>
        <v>1</v>
      </c>
      <c r="C188" s="36">
        <f t="shared" si="183"/>
        <v>2</v>
      </c>
      <c r="D188" s="50">
        <f>IFERROR(__xludf.DUMMYFUNCTION(" sum (filter (ZONE (MOIS_VERS_ANNEE (A188), address (2, C188 + 1) &amp; "":"" &amp; address (9999, C188 + 1)), month (ZONE (MOIS_VERS_ANNEE (A188), ""A2:A"")) = mod (A188 - 1, 12) + 1, ZONE (MOIS_VERS_ANNEE (A188), ""A2:A"") &lt;&gt; """"))"),4072.4900000000002)</f>
        <v>4072.49</v>
      </c>
    </row>
    <row r="189" ht="12.75" customHeight="1">
      <c r="A189" s="35">
        <f t="shared" si="2"/>
        <v>38</v>
      </c>
      <c r="B189" s="40">
        <f t="shared" ref="B189:C189" si="184"> B184</f>
        <v>1</v>
      </c>
      <c r="C189" s="36">
        <f t="shared" si="184"/>
        <v>3</v>
      </c>
      <c r="D189" s="50">
        <f>IFERROR(__xludf.DUMMYFUNCTION(" sum (filter (ZONE (MOIS_VERS_ANNEE (A189), address (2, C189 + 1) &amp; "":"" &amp; address (9999, C189 + 1)), month (ZONE (MOIS_VERS_ANNEE (A189), ""A2:A"")) = mod (A189 - 1, 12) + 1, ZONE (MOIS_VERS_ANNEE (A189), ""A2:A"") &lt;&gt; """"))"),18350.0)</f>
        <v>18350</v>
      </c>
    </row>
    <row r="190" ht="12.75" customHeight="1">
      <c r="A190" s="35">
        <f t="shared" si="2"/>
        <v>38</v>
      </c>
      <c r="B190" s="40">
        <f t="shared" ref="B190:C190" si="185"> B185</f>
        <v>1</v>
      </c>
      <c r="C190" s="36">
        <f t="shared" si="185"/>
        <v>4</v>
      </c>
      <c r="D190" s="50">
        <f>IFERROR(__xludf.DUMMYFUNCTION(" sum (filter (ZONE (MOIS_VERS_ANNEE (A190), address (2, C190 + 1) &amp; "":"" &amp; address (9999, C190 + 1)), month (ZONE (MOIS_VERS_ANNEE (A190), ""A2:A"")) = mod (A190 - 1, 12) + 1, ZONE (MOIS_VERS_ANNEE (A190), ""A2:A"") &lt;&gt; """"))"),2225.0)</f>
        <v>2225</v>
      </c>
    </row>
    <row r="191" ht="12.75" customHeight="1">
      <c r="A191" s="35">
        <f t="shared" si="2"/>
        <v>38</v>
      </c>
      <c r="B191" s="40">
        <f t="shared" ref="B191:C191" si="186"> B186</f>
        <v>2</v>
      </c>
      <c r="C191" s="36">
        <f t="shared" si="186"/>
        <v>5</v>
      </c>
      <c r="D191" s="50">
        <f> indirect(address(match("Nbre " &amp; vlookup(A191, Mois!$A$2:$C1000, 3), ZONE(MOIS_VERS_ANNEE(A191), "K:K"), 0) - 1, 14, 4, true, MOIS_VERS_ANNEE(A191)))</f>
        <v>8871.84</v>
      </c>
    </row>
    <row r="192" ht="12.75" customHeight="1">
      <c r="A192" s="35">
        <f t="shared" si="2"/>
        <v>39</v>
      </c>
      <c r="B192" s="40">
        <f t="shared" ref="B192:C192" si="187"> B187</f>
        <v>1</v>
      </c>
      <c r="C192" s="36">
        <f t="shared" si="187"/>
        <v>1</v>
      </c>
      <c r="D192" s="50">
        <f>IFERROR(__xludf.DUMMYFUNCTION(" sum (filter (ZONE (MOIS_VERS_ANNEE (A192), address (2, C192 + 1) &amp; "":"" &amp; address (9999, C192 + 1)), month (ZONE (MOIS_VERS_ANNEE (A192), ""A2:A"")) = mod (A192 - 1, 12) + 1, ZONE (MOIS_VERS_ANNEE (A192), ""A2:A"") &lt;&gt; """"))"),2440.0)</f>
        <v>2440</v>
      </c>
    </row>
    <row r="193" ht="12.75" customHeight="1">
      <c r="A193" s="35">
        <f t="shared" si="2"/>
        <v>39</v>
      </c>
      <c r="B193" s="40">
        <f t="shared" ref="B193:C193" si="188"> B188</f>
        <v>1</v>
      </c>
      <c r="C193" s="36">
        <f t="shared" si="188"/>
        <v>2</v>
      </c>
      <c r="D193" s="50">
        <f>IFERROR(__xludf.DUMMYFUNCTION(" sum (filter (ZONE (MOIS_VERS_ANNEE (A193), address (2, C193 + 1) &amp; "":"" &amp; address (9999, C193 + 1)), month (ZONE (MOIS_VERS_ANNEE (A193), ""A2:A"")) = mod (A193 - 1, 12) + 1, ZONE (MOIS_VERS_ANNEE (A193), ""A2:A"") &lt;&gt; """"))"),2451.73)</f>
        <v>2451.73</v>
      </c>
    </row>
    <row r="194" ht="12.75" customHeight="1">
      <c r="A194" s="35">
        <f t="shared" si="2"/>
        <v>39</v>
      </c>
      <c r="B194" s="40">
        <f t="shared" ref="B194:C194" si="189"> B189</f>
        <v>1</v>
      </c>
      <c r="C194" s="36">
        <f t="shared" si="189"/>
        <v>3</v>
      </c>
      <c r="D194" s="50">
        <f>IFERROR(__xludf.DUMMYFUNCTION(" sum (filter (ZONE (MOIS_VERS_ANNEE (A194), address (2, C194 + 1) &amp; "":"" &amp; address (9999, C194 + 1)), month (ZONE (MOIS_VERS_ANNEE (A194), ""A2:A"")) = mod (A194 - 1, 12) + 1, ZONE (MOIS_VERS_ANNEE (A194), ""A2:A"") &lt;&gt; """"))"),9460.0)</f>
        <v>9460</v>
      </c>
    </row>
    <row r="195" ht="12.75" customHeight="1">
      <c r="A195" s="35">
        <f t="shared" si="2"/>
        <v>39</v>
      </c>
      <c r="B195" s="40">
        <f t="shared" ref="B195:C195" si="190"> B190</f>
        <v>1</v>
      </c>
      <c r="C195" s="36">
        <f t="shared" si="190"/>
        <v>4</v>
      </c>
      <c r="D195" s="50">
        <f>IFERROR(__xludf.DUMMYFUNCTION(" sum (filter (ZONE (MOIS_VERS_ANNEE (A195), address (2, C195 + 1) &amp; "":"" &amp; address (9999, C195 + 1)), month (ZONE (MOIS_VERS_ANNEE (A195), ""A2:A"")) = mod (A195 - 1, 12) + 1, ZONE (MOIS_VERS_ANNEE (A195), ""A2:A"") &lt;&gt; """"))"),910.0)</f>
        <v>910</v>
      </c>
    </row>
    <row r="196" ht="12.75" customHeight="1">
      <c r="A196" s="35">
        <f t="shared" si="2"/>
        <v>39</v>
      </c>
      <c r="B196" s="40">
        <f t="shared" ref="B196:C196" si="191"> B191</f>
        <v>2</v>
      </c>
      <c r="C196" s="36">
        <f t="shared" si="191"/>
        <v>5</v>
      </c>
      <c r="D196" s="50">
        <f> indirect(address(match("Nbre " &amp; vlookup(A196, Mois!$A$2:$C1000, 3), ZONE(MOIS_VERS_ANNEE(A196), "K:K"), 0) - 1, 14, 4, true, MOIS_VERS_ANNEE(A196)))</f>
        <v>4444.56</v>
      </c>
    </row>
    <row r="197" ht="12.75" customHeight="1">
      <c r="A197" s="35">
        <f t="shared" si="2"/>
        <v>40</v>
      </c>
      <c r="B197" s="40">
        <f t="shared" ref="B197:C197" si="192"> B192</f>
        <v>1</v>
      </c>
      <c r="C197" s="36">
        <f t="shared" si="192"/>
        <v>1</v>
      </c>
      <c r="D197" s="50">
        <f>IFERROR(__xludf.DUMMYFUNCTION(" sum (filter (ZONE (MOIS_VERS_ANNEE (A197), address (2, C197 + 1) &amp; "":"" &amp; address (9999, C197 + 1)), month (ZONE (MOIS_VERS_ANNEE (A197), ""A2:A"")) = mod (A197 - 1, 12) + 1, ZONE (MOIS_VERS_ANNEE (A197), ""A2:A"") &lt;&gt; """"))"),780.0)</f>
        <v>780</v>
      </c>
    </row>
    <row r="198" ht="12.75" customHeight="1">
      <c r="A198" s="35">
        <f t="shared" si="2"/>
        <v>40</v>
      </c>
      <c r="B198" s="40">
        <f t="shared" ref="B198:C198" si="193"> B193</f>
        <v>1</v>
      </c>
      <c r="C198" s="36">
        <f t="shared" si="193"/>
        <v>2</v>
      </c>
      <c r="D198" s="50">
        <f>IFERROR(__xludf.DUMMYFUNCTION(" sum (filter (ZONE (MOIS_VERS_ANNEE (A198), address (2, C198 + 1) &amp; "":"" &amp; address (9999, C198 + 1)), month (ZONE (MOIS_VERS_ANNEE (A198), ""A2:A"")) = mod (A198 - 1, 12) + 1, ZONE (MOIS_VERS_ANNEE (A198), ""A2:A"") &lt;&gt; """"))"),935.06)</f>
        <v>935.06</v>
      </c>
    </row>
    <row r="199" ht="12.75" customHeight="1">
      <c r="A199" s="35">
        <f t="shared" si="2"/>
        <v>40</v>
      </c>
      <c r="B199" s="40">
        <f t="shared" ref="B199:C199" si="194"> B194</f>
        <v>1</v>
      </c>
      <c r="C199" s="36">
        <f t="shared" si="194"/>
        <v>3</v>
      </c>
      <c r="D199" s="50">
        <f>IFERROR(__xludf.DUMMYFUNCTION(" sum (filter (ZONE (MOIS_VERS_ANNEE (A199), address (2, C199 + 1) &amp; "":"" &amp; address (9999, C199 + 1)), month (ZONE (MOIS_VERS_ANNEE (A199), ""A2:A"")) = mod (A199 - 1, 12) + 1, ZONE (MOIS_VERS_ANNEE (A199), ""A2:A"") &lt;&gt; """"))"),6290.0)</f>
        <v>6290</v>
      </c>
    </row>
    <row r="200" ht="12.75" customHeight="1">
      <c r="A200" s="35">
        <f t="shared" si="2"/>
        <v>40</v>
      </c>
      <c r="B200" s="40">
        <f t="shared" ref="B200:C200" si="195"> B195</f>
        <v>1</v>
      </c>
      <c r="C200" s="36">
        <f t="shared" si="195"/>
        <v>4</v>
      </c>
      <c r="D200" s="50">
        <f>IFERROR(__xludf.DUMMYFUNCTION(" sum (filter (ZONE (MOIS_VERS_ANNEE (A200), address (2, C200 + 1) &amp; "":"" &amp; address (9999, C200 + 1)), month (ZONE (MOIS_VERS_ANNEE (A200), ""A2:A"")) = mod (A200 - 1, 12) + 1, ZONE (MOIS_VERS_ANNEE (A200), ""A2:A"") &lt;&gt; """"))"),540.0)</f>
        <v>540</v>
      </c>
    </row>
    <row r="201" ht="12.75" customHeight="1">
      <c r="A201" s="35">
        <f t="shared" si="2"/>
        <v>40</v>
      </c>
      <c r="B201" s="40">
        <f t="shared" ref="B201:C201" si="196"> B196</f>
        <v>2</v>
      </c>
      <c r="C201" s="36">
        <f t="shared" si="196"/>
        <v>5</v>
      </c>
      <c r="D201" s="50">
        <f> indirect(address(match("Nbre " &amp; vlookup(A201, Mois!$A$2:$C1000, 3), ZONE(MOIS_VERS_ANNEE(A201), "K:K"), 0) - 1, 14, 4, true, MOIS_VERS_ANNEE(A201)))</f>
        <v>1350</v>
      </c>
    </row>
    <row r="202" ht="12.75" customHeight="1">
      <c r="A202" s="35">
        <f t="shared" si="2"/>
        <v>41</v>
      </c>
      <c r="B202" s="40">
        <f t="shared" ref="B202:C202" si="197"> B197</f>
        <v>1</v>
      </c>
      <c r="C202" s="36">
        <f t="shared" si="197"/>
        <v>1</v>
      </c>
      <c r="D202" s="50">
        <f>IFERROR(__xludf.DUMMYFUNCTION(" sum (filter (ZONE (MOIS_VERS_ANNEE (A202), address (2, C202 + 1) &amp; "":"" &amp; address (9999, C202 + 1)), month (ZONE (MOIS_VERS_ANNEE (A202), ""A2:A"")) = mod (A202 - 1, 12) + 1, ZONE (MOIS_VERS_ANNEE (A202), ""A2:A"") &lt;&gt; """"))"),1760.0)</f>
        <v>1760</v>
      </c>
    </row>
    <row r="203" ht="12.75" customHeight="1">
      <c r="A203" s="35">
        <f t="shared" si="2"/>
        <v>41</v>
      </c>
      <c r="B203" s="40">
        <f t="shared" ref="B203:C203" si="198"> B198</f>
        <v>1</v>
      </c>
      <c r="C203" s="36">
        <f t="shared" si="198"/>
        <v>2</v>
      </c>
      <c r="D203" s="50">
        <f>IFERROR(__xludf.DUMMYFUNCTION(" sum (filter (ZONE (MOIS_VERS_ANNEE (A203), address (2, C203 + 1) &amp; "":"" &amp; address (9999, C203 + 1)), month (ZONE (MOIS_VERS_ANNEE (A203), ""A2:A"")) = mod (A203 - 1, 12) + 1, ZONE (MOIS_VERS_ANNEE (A203), ""A2:A"") &lt;&gt; """"))"),2716.92)</f>
        <v>2716.92</v>
      </c>
    </row>
    <row r="204" ht="12.75" customHeight="1">
      <c r="A204" s="35">
        <f t="shared" si="2"/>
        <v>41</v>
      </c>
      <c r="B204" s="40">
        <f t="shared" ref="B204:C204" si="199"> B199</f>
        <v>1</v>
      </c>
      <c r="C204" s="36">
        <f t="shared" si="199"/>
        <v>3</v>
      </c>
      <c r="D204" s="50">
        <f>IFERROR(__xludf.DUMMYFUNCTION(" sum (filter (ZONE (MOIS_VERS_ANNEE (A204), address (2, C204 + 1) &amp; "":"" &amp; address (9999, C204 + 1)), month (ZONE (MOIS_VERS_ANNEE (A204), ""A2:A"")) = mod (A204 - 1, 12) + 1, ZONE (MOIS_VERS_ANNEE (A204), ""A2:A"") &lt;&gt; """"))"),17420.0)</f>
        <v>17420</v>
      </c>
    </row>
    <row r="205" ht="12.75" customHeight="1">
      <c r="A205" s="35">
        <f t="shared" si="2"/>
        <v>41</v>
      </c>
      <c r="B205" s="40">
        <f t="shared" ref="B205:C205" si="200"> B200</f>
        <v>1</v>
      </c>
      <c r="C205" s="36">
        <f t="shared" si="200"/>
        <v>4</v>
      </c>
      <c r="D205" s="50">
        <f>IFERROR(__xludf.DUMMYFUNCTION(" sum (filter (ZONE (MOIS_VERS_ANNEE (A205), address (2, C205 + 1) &amp; "":"" &amp; address (9999, C205 + 1)), month (ZONE (MOIS_VERS_ANNEE (A205), ""A2:A"")) = mod (A205 - 1, 12) + 1, ZONE (MOIS_VERS_ANNEE (A205), ""A2:A"") &lt;&gt; """"))"),1770.0)</f>
        <v>1770</v>
      </c>
    </row>
    <row r="206" ht="12.75" customHeight="1">
      <c r="A206" s="35">
        <f t="shared" si="2"/>
        <v>41</v>
      </c>
      <c r="B206" s="40">
        <f t="shared" ref="B206:C206" si="201"> B201</f>
        <v>2</v>
      </c>
      <c r="C206" s="36">
        <f t="shared" si="201"/>
        <v>5</v>
      </c>
      <c r="D206" s="50">
        <f> indirect(address(match("Nbre " &amp; vlookup(A206, Mois!$A$2:$C1000, 3), ZONE(MOIS_VERS_ANNEE(A206), "K:K"), 0) - 1, 14, 4, true, MOIS_VERS_ANNEE(A206)))</f>
        <v>6704.83</v>
      </c>
    </row>
    <row r="207" ht="12.75" customHeight="1">
      <c r="A207" s="35">
        <f t="shared" si="2"/>
        <v>42</v>
      </c>
      <c r="B207" s="40">
        <f t="shared" ref="B207:C207" si="202"> B202</f>
        <v>1</v>
      </c>
      <c r="C207" s="36">
        <f t="shared" si="202"/>
        <v>1</v>
      </c>
      <c r="D207" s="50">
        <f>IFERROR(__xludf.DUMMYFUNCTION(" sum (filter (ZONE (MOIS_VERS_ANNEE (A207), address (2, C207 + 1) &amp; "":"" &amp; address (9999, C207 + 1)), month (ZONE (MOIS_VERS_ANNEE (A207), ""A2:A"")) = mod (A207 - 1, 12) + 1, ZONE (MOIS_VERS_ANNEE (A207), ""A2:A"") &lt;&gt; """"))"),3130.0)</f>
        <v>3130</v>
      </c>
    </row>
    <row r="208" ht="12.75" customHeight="1">
      <c r="A208" s="35">
        <f t="shared" si="2"/>
        <v>42</v>
      </c>
      <c r="B208" s="40">
        <f t="shared" ref="B208:C208" si="203"> B203</f>
        <v>1</v>
      </c>
      <c r="C208" s="36">
        <f t="shared" si="203"/>
        <v>2</v>
      </c>
      <c r="D208" s="50">
        <f>IFERROR(__xludf.DUMMYFUNCTION(" sum (filter (ZONE (MOIS_VERS_ANNEE (A208), address (2, C208 + 1) &amp; "":"" &amp; address (9999, C208 + 1)), month (ZONE (MOIS_VERS_ANNEE (A208), ""A2:A"")) = mod (A208 - 1, 12) + 1, ZONE (MOIS_VERS_ANNEE (A208), ""A2:A"") &lt;&gt; """"))"),4285.410000000001)</f>
        <v>4285.41</v>
      </c>
    </row>
    <row r="209" ht="12.75" customHeight="1">
      <c r="A209" s="35">
        <f t="shared" si="2"/>
        <v>42</v>
      </c>
      <c r="B209" s="40">
        <f t="shared" ref="B209:C209" si="204"> B204</f>
        <v>1</v>
      </c>
      <c r="C209" s="36">
        <f t="shared" si="204"/>
        <v>3</v>
      </c>
      <c r="D209" s="50">
        <f>IFERROR(__xludf.DUMMYFUNCTION(" sum (filter (ZONE (MOIS_VERS_ANNEE (A209), address (2, C209 + 1) &amp; "":"" &amp; address (9999, C209 + 1)), month (ZONE (MOIS_VERS_ANNEE (A209), ""A2:A"")) = mod (A209 - 1, 12) + 1, ZONE (MOIS_VERS_ANNEE (A209), ""A2:A"") &lt;&gt; """"))"),18810.0)</f>
        <v>18810</v>
      </c>
    </row>
    <row r="210" ht="12.75" customHeight="1">
      <c r="A210" s="35">
        <f t="shared" si="2"/>
        <v>42</v>
      </c>
      <c r="B210" s="40">
        <f t="shared" ref="B210:C210" si="205"> B205</f>
        <v>1</v>
      </c>
      <c r="C210" s="36">
        <f t="shared" si="205"/>
        <v>4</v>
      </c>
      <c r="D210" s="50">
        <f>IFERROR(__xludf.DUMMYFUNCTION(" sum (filter (ZONE (MOIS_VERS_ANNEE (A210), address (2, C210 + 1) &amp; "":"" &amp; address (9999, C210 + 1)), month (ZONE (MOIS_VERS_ANNEE (A210), ""A2:A"")) = mod (A210 - 1, 12) + 1, ZONE (MOIS_VERS_ANNEE (A210), ""A2:A"") &lt;&gt; """"))"),1550.0)</f>
        <v>1550</v>
      </c>
    </row>
    <row r="211" ht="12.75" customHeight="1">
      <c r="A211" s="35">
        <f t="shared" si="2"/>
        <v>42</v>
      </c>
      <c r="B211" s="40">
        <f t="shared" ref="B211:C211" si="206"> B206</f>
        <v>2</v>
      </c>
      <c r="C211" s="36">
        <f t="shared" si="206"/>
        <v>5</v>
      </c>
      <c r="D211" s="50">
        <f> indirect(address(match("Nbre " &amp; vlookup(A211, Mois!$A$2:$C1000, 3), ZONE(MOIS_VERS_ANNEE(A211), "K:K"), 0) - 1, 14, 4, true, MOIS_VERS_ANNEE(A211)))</f>
        <v>5021.38</v>
      </c>
    </row>
    <row r="212" ht="12.75" customHeight="1">
      <c r="A212" s="35">
        <f t="shared" si="2"/>
        <v>43</v>
      </c>
      <c r="B212" s="40">
        <f t="shared" ref="B212:C212" si="207"> B207</f>
        <v>1</v>
      </c>
      <c r="C212" s="36">
        <f t="shared" si="207"/>
        <v>1</v>
      </c>
      <c r="D212" s="50">
        <f>IFERROR(__xludf.DUMMYFUNCTION(" sum (filter (ZONE (MOIS_VERS_ANNEE (A212), address (2, C212 + 1) &amp; "":"" &amp; address (9999, C212 + 1)), month (ZONE (MOIS_VERS_ANNEE (A212), ""A2:A"")) = mod (A212 - 1, 12) + 1, ZONE (MOIS_VERS_ANNEE (A212), ""A2:A"") &lt;&gt; """"))"),3330.0)</f>
        <v>3330</v>
      </c>
    </row>
    <row r="213" ht="12.75" customHeight="1">
      <c r="A213" s="35">
        <f t="shared" si="2"/>
        <v>43</v>
      </c>
      <c r="B213" s="40">
        <f t="shared" ref="B213:C213" si="208"> B208</f>
        <v>1</v>
      </c>
      <c r="C213" s="36">
        <f t="shared" si="208"/>
        <v>2</v>
      </c>
      <c r="D213" s="50">
        <f>IFERROR(__xludf.DUMMYFUNCTION(" sum (filter (ZONE (MOIS_VERS_ANNEE (A213), address (2, C213 + 1) &amp; "":"" &amp; address (9999, C213 + 1)), month (ZONE (MOIS_VERS_ANNEE (A213), ""A2:A"")) = mod (A213 - 1, 12) + 1, ZONE (MOIS_VERS_ANNEE (A213), ""A2:A"") &lt;&gt; """"))"),3873.0600000000004)</f>
        <v>3873.06</v>
      </c>
    </row>
    <row r="214" ht="12.75" customHeight="1">
      <c r="A214" s="35">
        <f t="shared" si="2"/>
        <v>43</v>
      </c>
      <c r="B214" s="40">
        <f t="shared" ref="B214:C214" si="209"> B209</f>
        <v>1</v>
      </c>
      <c r="C214" s="36">
        <f t="shared" si="209"/>
        <v>3</v>
      </c>
      <c r="D214" s="50">
        <f>IFERROR(__xludf.DUMMYFUNCTION(" sum (filter (ZONE (MOIS_VERS_ANNEE (A214), address (2, C214 + 1) &amp; "":"" &amp; address (9999, C214 + 1)), month (ZONE (MOIS_VERS_ANNEE (A214), ""A2:A"")) = mod (A214 - 1, 12) + 1, ZONE (MOIS_VERS_ANNEE (A214), ""A2:A"") &lt;&gt; """"))"),19600.0)</f>
        <v>19600</v>
      </c>
    </row>
    <row r="215" ht="12.75" customHeight="1">
      <c r="A215" s="35">
        <f t="shared" si="2"/>
        <v>43</v>
      </c>
      <c r="B215" s="40">
        <f t="shared" ref="B215:C215" si="210"> B210</f>
        <v>1</v>
      </c>
      <c r="C215" s="36">
        <f t="shared" si="210"/>
        <v>4</v>
      </c>
      <c r="D215" s="50">
        <f>IFERROR(__xludf.DUMMYFUNCTION(" sum (filter (ZONE (MOIS_VERS_ANNEE (A215), address (2, C215 + 1) &amp; "":"" &amp; address (9999, C215 + 1)), month (ZONE (MOIS_VERS_ANNEE (A215), ""A2:A"")) = mod (A215 - 1, 12) + 1, ZONE (MOIS_VERS_ANNEE (A215), ""A2:A"") &lt;&gt; """"))"),2840.0)</f>
        <v>2840</v>
      </c>
    </row>
    <row r="216" ht="12.75" customHeight="1">
      <c r="A216" s="35">
        <f t="shared" si="2"/>
        <v>43</v>
      </c>
      <c r="B216" s="40">
        <f t="shared" ref="B216:C216" si="211"> B211</f>
        <v>2</v>
      </c>
      <c r="C216" s="36">
        <f t="shared" si="211"/>
        <v>5</v>
      </c>
      <c r="D216" s="50">
        <f> indirect(address(match("Nbre " &amp; vlookup(A216, Mois!$A$2:$C1000, 3), ZONE(MOIS_VERS_ANNEE(A216), "K:K"), 0) - 1, 14, 4, true, MOIS_VERS_ANNEE(A216)))</f>
        <v>8999.66</v>
      </c>
    </row>
    <row r="217" ht="12.75" customHeight="1">
      <c r="A217" s="35">
        <f t="shared" si="2"/>
        <v>44</v>
      </c>
      <c r="B217" s="40">
        <f t="shared" ref="B217:C217" si="212"> B212</f>
        <v>1</v>
      </c>
      <c r="C217" s="36">
        <f t="shared" si="212"/>
        <v>1</v>
      </c>
      <c r="D217" s="50">
        <f>IFERROR(__xludf.DUMMYFUNCTION(" sum (filter (ZONE (MOIS_VERS_ANNEE (A217), address (2, C217 + 1) &amp; "":"" &amp; address (9999, C217 + 1)), month (ZONE (MOIS_VERS_ANNEE (A217), ""A2:A"")) = mod (A217 - 1, 12) + 1, ZONE (MOIS_VERS_ANNEE (A217), ""A2:A"") &lt;&gt; """"))"),1930.0)</f>
        <v>1930</v>
      </c>
    </row>
    <row r="218" ht="12.75" customHeight="1">
      <c r="A218" s="35">
        <f t="shared" si="2"/>
        <v>44</v>
      </c>
      <c r="B218" s="40">
        <f t="shared" ref="B218:C218" si="213"> B213</f>
        <v>1</v>
      </c>
      <c r="C218" s="36">
        <f t="shared" si="213"/>
        <v>2</v>
      </c>
      <c r="D218" s="50">
        <f>IFERROR(__xludf.DUMMYFUNCTION(" sum (filter (ZONE (MOIS_VERS_ANNEE (A218), address (2, C218 + 1) &amp; "":"" &amp; address (9999, C218 + 1)), month (ZONE (MOIS_VERS_ANNEE (A218), ""A2:A"")) = mod (A218 - 1, 12) + 1, ZONE (MOIS_VERS_ANNEE (A218), ""A2:A"") &lt;&gt; """"))"),2009.88)</f>
        <v>2009.88</v>
      </c>
    </row>
    <row r="219" ht="12.75" customHeight="1">
      <c r="A219" s="35">
        <f t="shared" si="2"/>
        <v>44</v>
      </c>
      <c r="B219" s="40">
        <f t="shared" ref="B219:C219" si="214"> B214</f>
        <v>1</v>
      </c>
      <c r="C219" s="36">
        <f t="shared" si="214"/>
        <v>3</v>
      </c>
      <c r="D219" s="50">
        <f>IFERROR(__xludf.DUMMYFUNCTION(" sum (filter (ZONE (MOIS_VERS_ANNEE (A219), address (2, C219 + 1) &amp; "":"" &amp; address (9999, C219 + 1)), month (ZONE (MOIS_VERS_ANNEE (A219), ""A2:A"")) = mod (A219 - 1, 12) + 1, ZONE (MOIS_VERS_ANNEE (A219), ""A2:A"") &lt;&gt; """"))"),8667.93)</f>
        <v>8667.93</v>
      </c>
    </row>
    <row r="220" ht="12.75" customHeight="1">
      <c r="A220" s="35">
        <f t="shared" si="2"/>
        <v>44</v>
      </c>
      <c r="B220" s="40">
        <f t="shared" ref="B220:C220" si="215"> B215</f>
        <v>1</v>
      </c>
      <c r="C220" s="36">
        <f t="shared" si="215"/>
        <v>4</v>
      </c>
      <c r="D220" s="50">
        <f>IFERROR(__xludf.DUMMYFUNCTION(" sum (filter (ZONE (MOIS_VERS_ANNEE (A220), address (2, C220 + 1) &amp; "":"" &amp; address (9999, C220 + 1)), month (ZONE (MOIS_VERS_ANNEE (A220), ""A2:A"")) = mod (A220 - 1, 12) + 1, ZONE (MOIS_VERS_ANNEE (A220), ""A2:A"") &lt;&gt; """"))"),1370.0)</f>
        <v>1370</v>
      </c>
    </row>
    <row r="221" ht="12.75" customHeight="1">
      <c r="A221" s="35">
        <f t="shared" si="2"/>
        <v>44</v>
      </c>
      <c r="B221" s="40">
        <f t="shared" ref="B221:C221" si="216"> B216</f>
        <v>2</v>
      </c>
      <c r="C221" s="36">
        <f t="shared" si="216"/>
        <v>5</v>
      </c>
      <c r="D221" s="50">
        <f> indirect(address(match("Nbre " &amp; vlookup(A221, Mois!$A$2:$C1000, 3), ZONE(MOIS_VERS_ANNEE(A221), "K:K"), 0) - 1, 14, 4, true, MOIS_VERS_ANNEE(A221)))</f>
        <v>4008.45</v>
      </c>
    </row>
    <row r="222" ht="12.75" customHeight="1">
      <c r="A222" s="35">
        <f t="shared" si="2"/>
        <v>45</v>
      </c>
      <c r="B222" s="40">
        <f t="shared" ref="B222:C222" si="217"> B217</f>
        <v>1</v>
      </c>
      <c r="C222" s="36">
        <f t="shared" si="217"/>
        <v>1</v>
      </c>
      <c r="D222" s="50">
        <f>IFERROR(__xludf.DUMMYFUNCTION(" sum (filter (ZONE (MOIS_VERS_ANNEE (A222), address (2, C222 + 1) &amp; "":"" &amp; address (9999, C222 + 1)), month (ZONE (MOIS_VERS_ANNEE (A222), ""A2:A"")) = mod (A222 - 1, 12) + 1, ZONE (MOIS_VERS_ANNEE (A222), ""A2:A"") &lt;&gt; """"))"),4038.62)</f>
        <v>4038.62</v>
      </c>
    </row>
    <row r="223" ht="12.75" customHeight="1">
      <c r="A223" s="35">
        <f t="shared" si="2"/>
        <v>45</v>
      </c>
      <c r="B223" s="40">
        <f t="shared" ref="B223:C223" si="218"> B218</f>
        <v>1</v>
      </c>
      <c r="C223" s="36">
        <f t="shared" si="218"/>
        <v>2</v>
      </c>
      <c r="D223" s="50">
        <f>IFERROR(__xludf.DUMMYFUNCTION(" sum (filter (ZONE (MOIS_VERS_ANNEE (A223), address (2, C223 + 1) &amp; "":"" &amp; address (9999, C223 + 1)), month (ZONE (MOIS_VERS_ANNEE (A223), ""A2:A"")) = mod (A223 - 1, 12) + 1, ZONE (MOIS_VERS_ANNEE (A223), ""A2:A"") &lt;&gt; """"))"),3175.53)</f>
        <v>3175.53</v>
      </c>
    </row>
    <row r="224" ht="12.75" customHeight="1">
      <c r="A224" s="35">
        <f t="shared" si="2"/>
        <v>45</v>
      </c>
      <c r="B224" s="40">
        <f t="shared" ref="B224:C224" si="219"> B219</f>
        <v>1</v>
      </c>
      <c r="C224" s="36">
        <f t="shared" si="219"/>
        <v>3</v>
      </c>
      <c r="D224" s="50">
        <f>IFERROR(__xludf.DUMMYFUNCTION(" sum (filter (ZONE (MOIS_VERS_ANNEE (A224), address (2, C224 + 1) &amp; "":"" &amp; address (9999, C224 + 1)), month (ZONE (MOIS_VERS_ANNEE (A224), ""A2:A"")) = mod (A224 - 1, 12) + 1, ZONE (MOIS_VERS_ANNEE (A224), ""A2:A"") &lt;&gt; """"))"),14758.84)</f>
        <v>14758.84</v>
      </c>
    </row>
    <row r="225" ht="12.75" customHeight="1">
      <c r="A225" s="35">
        <f t="shared" si="2"/>
        <v>45</v>
      </c>
      <c r="B225" s="40">
        <f t="shared" ref="B225:C225" si="220"> B220</f>
        <v>1</v>
      </c>
      <c r="C225" s="36">
        <f t="shared" si="220"/>
        <v>4</v>
      </c>
      <c r="D225" s="50">
        <f>IFERROR(__xludf.DUMMYFUNCTION(" sum (filter (ZONE (MOIS_VERS_ANNEE (A225), address (2, C225 + 1) &amp; "":"" &amp; address (9999, C225 + 1)), month (ZONE (MOIS_VERS_ANNEE (A225), ""A2:A"")) = mod (A225 - 1, 12) + 1, ZONE (MOIS_VERS_ANNEE (A225), ""A2:A"") &lt;&gt; """"))"),1460.0)</f>
        <v>1460</v>
      </c>
    </row>
    <row r="226" ht="12.75" customHeight="1">
      <c r="A226" s="35">
        <f t="shared" si="2"/>
        <v>45</v>
      </c>
      <c r="B226" s="40">
        <f t="shared" ref="B226:C226" si="221"> B221</f>
        <v>2</v>
      </c>
      <c r="C226" s="36">
        <f t="shared" si="221"/>
        <v>5</v>
      </c>
      <c r="D226" s="50">
        <f> indirect(address(match("Nbre " &amp; vlookup(A226, Mois!$A$2:$C1000, 3), ZONE(MOIS_VERS_ANNEE(A226), "K:K"), 0) - 1, 14, 4, true, MOIS_VERS_ANNEE(A226)))</f>
        <v>7315.52</v>
      </c>
    </row>
    <row r="227" ht="12.75" customHeight="1">
      <c r="A227" s="35">
        <f t="shared" si="2"/>
        <v>46</v>
      </c>
      <c r="B227" s="40">
        <f t="shared" ref="B227:C227" si="222"> B222</f>
        <v>1</v>
      </c>
      <c r="C227" s="36">
        <f t="shared" si="222"/>
        <v>1</v>
      </c>
      <c r="D227" s="50">
        <f>IFERROR(__xludf.DUMMYFUNCTION(" sum (filter (ZONE (MOIS_VERS_ANNEE (A227), address (2, C227 + 1) &amp; "":"" &amp; address (9999, C227 + 1)), month (ZONE (MOIS_VERS_ANNEE (A227), ""A2:A"")) = mod (A227 - 1, 12) + 1, ZONE (MOIS_VERS_ANNEE (A227), ""A2:A"") &lt;&gt; """"))"),2758.62)</f>
        <v>2758.62</v>
      </c>
    </row>
    <row r="228" ht="12.75" customHeight="1">
      <c r="A228" s="35">
        <f t="shared" si="2"/>
        <v>46</v>
      </c>
      <c r="B228" s="40">
        <f t="shared" ref="B228:C228" si="223"> B223</f>
        <v>1</v>
      </c>
      <c r="C228" s="36">
        <f t="shared" si="223"/>
        <v>2</v>
      </c>
      <c r="D228" s="50">
        <f>IFERROR(__xludf.DUMMYFUNCTION(" sum (filter (ZONE (MOIS_VERS_ANNEE (A228), address (2, C228 + 1) &amp; "":"" &amp; address (9999, C228 + 1)), month (ZONE (MOIS_VERS_ANNEE (A228), ""A2:A"")) = mod (A228 - 1, 12) + 1, ZONE (MOIS_VERS_ANNEE (A228), ""A2:A"") &lt;&gt; """"))"),2704.08)</f>
        <v>2704.08</v>
      </c>
    </row>
    <row r="229" ht="12.75" customHeight="1">
      <c r="A229" s="35">
        <f t="shared" si="2"/>
        <v>46</v>
      </c>
      <c r="B229" s="40">
        <f t="shared" ref="B229:C229" si="224"> B224</f>
        <v>1</v>
      </c>
      <c r="C229" s="36">
        <f t="shared" si="224"/>
        <v>3</v>
      </c>
      <c r="D229" s="50">
        <f>IFERROR(__xludf.DUMMYFUNCTION(" sum (filter (ZONE (MOIS_VERS_ANNEE (A229), address (2, C229 + 1) &amp; "":"" &amp; address (9999, C229 + 1)), month (ZONE (MOIS_VERS_ANNEE (A229), ""A2:A"")) = mod (A229 - 1, 12) + 1, ZONE (MOIS_VERS_ANNEE (A229), ""A2:A"") &lt;&gt; """"))"),15269.31)</f>
        <v>15269.31</v>
      </c>
    </row>
    <row r="230" ht="12.75" customHeight="1">
      <c r="A230" s="35">
        <f t="shared" si="2"/>
        <v>46</v>
      </c>
      <c r="B230" s="40">
        <f t="shared" ref="B230:C230" si="225"> B225</f>
        <v>1</v>
      </c>
      <c r="C230" s="36">
        <f t="shared" si="225"/>
        <v>4</v>
      </c>
      <c r="D230" s="50">
        <f>IFERROR(__xludf.DUMMYFUNCTION(" sum (filter (ZONE (MOIS_VERS_ANNEE (A230), address (2, C230 + 1) &amp; "":"" &amp; address (9999, C230 + 1)), month (ZONE (MOIS_VERS_ANNEE (A230), ""A2:A"")) = mod (A230 - 1, 12) + 1, ZONE (MOIS_VERS_ANNEE (A230), ""A2:A"") &lt;&gt; """"))"),2028.84)</f>
        <v>2028.84</v>
      </c>
    </row>
    <row r="231" ht="12.75" customHeight="1">
      <c r="A231" s="35">
        <f t="shared" si="2"/>
        <v>46</v>
      </c>
      <c r="B231" s="40">
        <f t="shared" ref="B231:C231" si="226"> B226</f>
        <v>2</v>
      </c>
      <c r="C231" s="36">
        <f t="shared" si="226"/>
        <v>5</v>
      </c>
      <c r="D231" s="50">
        <f> indirect(address(match("Nbre " &amp; vlookup(A231, Mois!$A$2:$C1000, 3), ZONE(MOIS_VERS_ANNEE(A231), "K:K"), 0) - 1, 14, 4, true, MOIS_VERS_ANNEE(A231)))</f>
        <v>7649.66</v>
      </c>
    </row>
    <row r="232" ht="12.75" customHeight="1">
      <c r="A232" s="35">
        <f t="shared" si="2"/>
        <v>47</v>
      </c>
      <c r="B232" s="40">
        <f t="shared" ref="B232:C232" si="227"> B227</f>
        <v>1</v>
      </c>
      <c r="C232" s="36">
        <f t="shared" si="227"/>
        <v>1</v>
      </c>
      <c r="D232" s="50">
        <f>IFERROR(__xludf.DUMMYFUNCTION(" sum (filter (ZONE (MOIS_VERS_ANNEE (A232), address (2, C232 + 1) &amp; "":"" &amp; address (9999, C232 + 1)), month (ZONE (MOIS_VERS_ANNEE (A232), ""A2:A"")) = mod (A232 - 1, 12) + 1, ZONE (MOIS_VERS_ANNEE (A232), ""A2:A"") &lt;&gt; """"))"),2770.0)</f>
        <v>2770</v>
      </c>
    </row>
    <row r="233" ht="12.75" customHeight="1">
      <c r="A233" s="35">
        <f t="shared" si="2"/>
        <v>47</v>
      </c>
      <c r="B233" s="40">
        <f t="shared" ref="B233:C233" si="228"> B228</f>
        <v>1</v>
      </c>
      <c r="C233" s="36">
        <f t="shared" si="228"/>
        <v>2</v>
      </c>
      <c r="D233" s="50">
        <f>IFERROR(__xludf.DUMMYFUNCTION(" sum (filter (ZONE (MOIS_VERS_ANNEE (A233), address (2, C233 + 1) &amp; "":"" &amp; address (9999, C233 + 1)), month (ZONE (MOIS_VERS_ANNEE (A233), ""A2:A"")) = mod (A233 - 1, 12) + 1, ZONE (MOIS_VERS_ANNEE (A233), ""A2:A"") &lt;&gt; """"))"),3956.78)</f>
        <v>3956.78</v>
      </c>
    </row>
    <row r="234" ht="12.75" customHeight="1">
      <c r="A234" s="35">
        <f t="shared" si="2"/>
        <v>47</v>
      </c>
      <c r="B234" s="40">
        <f t="shared" ref="B234:C234" si="229"> B229</f>
        <v>1</v>
      </c>
      <c r="C234" s="36">
        <f t="shared" si="229"/>
        <v>3</v>
      </c>
      <c r="D234" s="50">
        <f>IFERROR(__xludf.DUMMYFUNCTION(" sum (filter (ZONE (MOIS_VERS_ANNEE (A234), address (2, C234 + 1) &amp; "":"" &amp; address (9999, C234 + 1)), month (ZONE (MOIS_VERS_ANNEE (A234), ""A2:A"")) = mod (A234 - 1, 12) + 1, ZONE (MOIS_VERS_ANNEE (A234), ""A2:A"") &lt;&gt; """"))"),13738.15)</f>
        <v>13738.15</v>
      </c>
    </row>
    <row r="235" ht="12.75" customHeight="1">
      <c r="A235" s="35">
        <f t="shared" si="2"/>
        <v>47</v>
      </c>
      <c r="B235" s="40">
        <f t="shared" ref="B235:C235" si="230"> B230</f>
        <v>1</v>
      </c>
      <c r="C235" s="36">
        <f t="shared" si="230"/>
        <v>4</v>
      </c>
      <c r="D235" s="50">
        <f>IFERROR(__xludf.DUMMYFUNCTION(" sum (filter (ZONE (MOIS_VERS_ANNEE (A235), address (2, C235 + 1) &amp; "":"" &amp; address (9999, C235 + 1)), month (ZONE (MOIS_VERS_ANNEE (A235), ""A2:A"")) = mod (A235 - 1, 12) + 1, ZONE (MOIS_VERS_ANNEE (A235), ""A2:A"") &lt;&gt; """"))"),1849.82)</f>
        <v>1849.82</v>
      </c>
    </row>
    <row r="236" ht="12.75" customHeight="1">
      <c r="A236" s="35">
        <f t="shared" si="2"/>
        <v>47</v>
      </c>
      <c r="B236" s="40">
        <f t="shared" ref="B236:C236" si="231"> B231</f>
        <v>2</v>
      </c>
      <c r="C236" s="36">
        <f t="shared" si="231"/>
        <v>5</v>
      </c>
      <c r="D236" s="50">
        <f> indirect(address(match("Nbre " &amp; vlookup(A236, Mois!$A$2:$C1000, 3), ZONE(MOIS_VERS_ANNEE(A236), "K:K"), 0) - 1, 14, 4, true, MOIS_VERS_ANNEE(A236)))</f>
        <v>7604.49</v>
      </c>
    </row>
    <row r="237" ht="12.75" customHeight="1">
      <c r="A237" s="35">
        <f t="shared" si="2"/>
        <v>48</v>
      </c>
      <c r="B237" s="40">
        <f t="shared" ref="B237:C237" si="232"> B232</f>
        <v>1</v>
      </c>
      <c r="C237" s="36">
        <f t="shared" si="232"/>
        <v>1</v>
      </c>
      <c r="D237" s="50">
        <f>IFERROR(__xludf.DUMMYFUNCTION(" sum (filter (ZONE (MOIS_VERS_ANNEE (A237), address (2, C237 + 1) &amp; "":"" &amp; address (9999, C237 + 1)), month (ZONE (MOIS_VERS_ANNEE (A237), ""A2:A"")) = mod (A237 - 1, 12) + 1, ZONE (MOIS_VERS_ANNEE (A237), ""A2:A"") &lt;&gt; """"))"),1898.62)</f>
        <v>1898.62</v>
      </c>
    </row>
    <row r="238" ht="12.75" customHeight="1">
      <c r="A238" s="35">
        <f t="shared" si="2"/>
        <v>48</v>
      </c>
      <c r="B238" s="40">
        <f t="shared" ref="B238:C238" si="233"> B233</f>
        <v>1</v>
      </c>
      <c r="C238" s="36">
        <f t="shared" si="233"/>
        <v>2</v>
      </c>
      <c r="D238" s="50">
        <f>IFERROR(__xludf.DUMMYFUNCTION(" sum (filter (ZONE (MOIS_VERS_ANNEE (A238), address (2, C238 + 1) &amp; "":"" &amp; address (9999, C238 + 1)), month (ZONE (MOIS_VERS_ANNEE (A238), ""A2:A"")) = mod (A238 - 1, 12) + 1, ZONE (MOIS_VERS_ANNEE (A238), ""A2:A"") &lt;&gt; """"))"),2737.8800000000006)</f>
        <v>2737.88</v>
      </c>
    </row>
    <row r="239" ht="12.75" customHeight="1">
      <c r="A239" s="35">
        <f t="shared" si="2"/>
        <v>48</v>
      </c>
      <c r="B239" s="40">
        <f t="shared" ref="B239:C239" si="234"> B234</f>
        <v>1</v>
      </c>
      <c r="C239" s="36">
        <f t="shared" si="234"/>
        <v>3</v>
      </c>
      <c r="D239" s="50">
        <f>IFERROR(__xludf.DUMMYFUNCTION(" sum (filter (ZONE (MOIS_VERS_ANNEE (A239), address (2, C239 + 1) &amp; "":"" &amp; address (9999, C239 + 1)), month (ZONE (MOIS_VERS_ANNEE (A239), ""A2:A"")) = mod (A239 - 1, 12) + 1, ZONE (MOIS_VERS_ANNEE (A239), ""A2:A"") &lt;&gt; """"))"),10697.24)</f>
        <v>10697.24</v>
      </c>
    </row>
    <row r="240" ht="12.75" customHeight="1">
      <c r="A240" s="35">
        <f t="shared" si="2"/>
        <v>48</v>
      </c>
      <c r="B240" s="40">
        <f t="shared" ref="B240:C240" si="235"> B235</f>
        <v>1</v>
      </c>
      <c r="C240" s="36">
        <f t="shared" si="235"/>
        <v>4</v>
      </c>
      <c r="D240" s="50">
        <f>IFERROR(__xludf.DUMMYFUNCTION(" sum (filter (ZONE (MOIS_VERS_ANNEE (A240), address (2, C240 + 1) &amp; "":"" &amp; address (9999, C240 + 1)), month (ZONE (MOIS_VERS_ANNEE (A240), ""A2:A"")) = mod (A240 - 1, 12) + 1, ZONE (MOIS_VERS_ANNEE (A240), ""A2:A"") &lt;&gt; """"))"),1390.0)</f>
        <v>1390</v>
      </c>
    </row>
    <row r="241" ht="12.75" customHeight="1">
      <c r="A241" s="35">
        <f t="shared" si="2"/>
        <v>48</v>
      </c>
      <c r="B241" s="40">
        <f t="shared" ref="B241:C241" si="236"> B236</f>
        <v>2</v>
      </c>
      <c r="C241" s="36">
        <f t="shared" si="236"/>
        <v>5</v>
      </c>
      <c r="D241" s="50">
        <f> indirect(address(match("Nbre " &amp; vlookup(A241, Mois!$A$2:$C1000, 3), ZONE(MOIS_VERS_ANNEE(A241), "K:K"), 0) - 1, 14, 4, true, MOIS_VERS_ANNEE(A241)))</f>
        <v>5476.9</v>
      </c>
    </row>
    <row r="242" ht="12.75" customHeight="1">
      <c r="A242" s="35">
        <f t="shared" si="2"/>
        <v>49</v>
      </c>
      <c r="B242" s="40">
        <f t="shared" ref="B242:C242" si="237"> B237</f>
        <v>1</v>
      </c>
      <c r="C242" s="36">
        <f t="shared" si="237"/>
        <v>1</v>
      </c>
      <c r="D242" s="50">
        <f>IFERROR(__xludf.DUMMYFUNCTION(" sum (filter (ZONE (MOIS_VERS_ANNEE (A242), address (2, C242 + 1) &amp; "":"" &amp; address (9999, C242 + 1)), month (ZONE (MOIS_VERS_ANNEE (A242), ""A2:A"")) = mod (A242 - 1, 12) + 1, ZONE (MOIS_VERS_ANNEE (A242), ""A2:A"") &lt;&gt; """"))"),2179.31)</f>
        <v>2179.31</v>
      </c>
    </row>
    <row r="243" ht="12.75" customHeight="1">
      <c r="A243" s="35">
        <f t="shared" si="2"/>
        <v>49</v>
      </c>
      <c r="B243" s="40">
        <f t="shared" ref="B243:C243" si="238"> B238</f>
        <v>1</v>
      </c>
      <c r="C243" s="36">
        <f t="shared" si="238"/>
        <v>2</v>
      </c>
      <c r="D243" s="50">
        <f>IFERROR(__xludf.DUMMYFUNCTION(" sum (filter (ZONE (MOIS_VERS_ANNEE (A243), address (2, C243 + 1) &amp; "":"" &amp; address (9999, C243 + 1)), month (ZONE (MOIS_VERS_ANNEE (A243), ""A2:A"")) = mod (A243 - 1, 12) + 1, ZONE (MOIS_VERS_ANNEE (A243), ""A2:A"") &lt;&gt; """"))"),4452.21)</f>
        <v>4452.21</v>
      </c>
    </row>
    <row r="244" ht="12.75" customHeight="1">
      <c r="A244" s="35">
        <f t="shared" si="2"/>
        <v>49</v>
      </c>
      <c r="B244" s="40">
        <f t="shared" ref="B244:C244" si="239"> B239</f>
        <v>1</v>
      </c>
      <c r="C244" s="36">
        <f t="shared" si="239"/>
        <v>3</v>
      </c>
      <c r="D244" s="50">
        <f>IFERROR(__xludf.DUMMYFUNCTION(" sum (filter (ZONE (MOIS_VERS_ANNEE (A244), address (2, C244 + 1) &amp; "":"" &amp; address (9999, C244 + 1)), month (ZONE (MOIS_VERS_ANNEE (A244), ""A2:A"")) = mod (A244 - 1, 12) + 1, ZONE (MOIS_VERS_ANNEE (A244), ""A2:A"") &lt;&gt; """"))"),15864.479999999998)</f>
        <v>15864.48</v>
      </c>
    </row>
    <row r="245" ht="12.75" customHeight="1">
      <c r="A245" s="35">
        <f t="shared" si="2"/>
        <v>49</v>
      </c>
      <c r="B245" s="40">
        <f t="shared" ref="B245:C245" si="240"> B240</f>
        <v>1</v>
      </c>
      <c r="C245" s="36">
        <f t="shared" si="240"/>
        <v>4</v>
      </c>
      <c r="D245" s="50">
        <f>IFERROR(__xludf.DUMMYFUNCTION(" sum (filter (ZONE (MOIS_VERS_ANNEE (A245), address (2, C245 + 1) &amp; "":"" &amp; address (9999, C245 + 1)), month (ZONE (MOIS_VERS_ANNEE (A245), ""A2:A"")) = mod (A245 - 1, 12) + 1, ZONE (MOIS_VERS_ANNEE (A245), ""A2:A"") &lt;&gt; """"))"),2448.62)</f>
        <v>2448.62</v>
      </c>
    </row>
    <row r="246" ht="12.75" customHeight="1">
      <c r="A246" s="35">
        <f t="shared" si="2"/>
        <v>49</v>
      </c>
      <c r="B246" s="40">
        <f t="shared" ref="B246:C246" si="241"> B241</f>
        <v>2</v>
      </c>
      <c r="C246" s="36">
        <f t="shared" si="241"/>
        <v>5</v>
      </c>
      <c r="D246" s="50">
        <f> indirect(address(match("Nbre " &amp; vlookup(A246, Mois!$A$2:$C1000, 3), ZONE(MOIS_VERS_ANNEE(A246), "K:K"), 0) - 1, 14, 4, true, MOIS_VERS_ANNEE(A246)))</f>
        <v>5451.04</v>
      </c>
    </row>
    <row r="247" ht="12.75" customHeight="1">
      <c r="A247" s="35">
        <f t="shared" si="2"/>
        <v>50</v>
      </c>
      <c r="B247" s="40">
        <f t="shared" ref="B247:C247" si="242"> B242</f>
        <v>1</v>
      </c>
      <c r="C247" s="36">
        <f t="shared" si="242"/>
        <v>1</v>
      </c>
      <c r="D247" s="50">
        <f>IFERROR(__xludf.DUMMYFUNCTION(" sum (filter (ZONE (MOIS_VERS_ANNEE (A247), address (2, C247 + 1) &amp; "":"" &amp; address (9999, C247 + 1)), month (ZONE (MOIS_VERS_ANNEE (A247), ""A2:A"")) = mod (A247 - 1, 12) + 1, ZONE (MOIS_VERS_ANNEE (A247), ""A2:A"") &lt;&gt; """"))"),2599.31)</f>
        <v>2599.31</v>
      </c>
    </row>
    <row r="248" ht="12.75" customHeight="1">
      <c r="A248" s="35">
        <f t="shared" si="2"/>
        <v>50</v>
      </c>
      <c r="B248" s="40">
        <f t="shared" ref="B248:C248" si="243"> B243</f>
        <v>1</v>
      </c>
      <c r="C248" s="36">
        <f t="shared" si="243"/>
        <v>2</v>
      </c>
      <c r="D248" s="50">
        <f>IFERROR(__xludf.DUMMYFUNCTION(" sum (filter (ZONE (MOIS_VERS_ANNEE (A248), address (2, C248 + 1) &amp; "":"" &amp; address (9999, C248 + 1)), month (ZONE (MOIS_VERS_ANNEE (A248), ""A2:A"")) = mod (A248 - 1, 12) + 1, ZONE (MOIS_VERS_ANNEE (A248), ""A2:A"") &lt;&gt; """"))"),4920.099999999999)</f>
        <v>4920.1</v>
      </c>
    </row>
    <row r="249" ht="12.75" customHeight="1">
      <c r="A249" s="35">
        <f t="shared" si="2"/>
        <v>50</v>
      </c>
      <c r="B249" s="40">
        <f t="shared" ref="B249:C249" si="244"> B244</f>
        <v>1</v>
      </c>
      <c r="C249" s="36">
        <f t="shared" si="244"/>
        <v>3</v>
      </c>
      <c r="D249" s="50">
        <f>IFERROR(__xludf.DUMMYFUNCTION(" sum (filter (ZONE (MOIS_VERS_ANNEE (A249), address (2, C249 + 1) &amp; "":"" &amp; address (9999, C249 + 1)), month (ZONE (MOIS_VERS_ANNEE (A249), ""A2:A"")) = mod (A249 - 1, 12) + 1, ZONE (MOIS_VERS_ANNEE (A249), ""A2:A"") &lt;&gt; """"))"),16996.549999999996)</f>
        <v>16996.55</v>
      </c>
    </row>
    <row r="250" ht="12.75" customHeight="1">
      <c r="A250" s="35">
        <f t="shared" si="2"/>
        <v>50</v>
      </c>
      <c r="B250" s="40">
        <f t="shared" ref="B250:C250" si="245"> B245</f>
        <v>1</v>
      </c>
      <c r="C250" s="36">
        <f t="shared" si="245"/>
        <v>4</v>
      </c>
      <c r="D250" s="50">
        <f>IFERROR(__xludf.DUMMYFUNCTION(" sum (filter (ZONE (MOIS_VERS_ANNEE (A250), address (2, C250 + 1) &amp; "":"" &amp; address (9999, C250 + 1)), month (ZONE (MOIS_VERS_ANNEE (A250), ""A2:A"")) = mod (A250 - 1, 12) + 1, ZONE (MOIS_VERS_ANNEE (A250), ""A2:A"") &lt;&gt; """"))"),1648.62)</f>
        <v>1648.62</v>
      </c>
    </row>
    <row r="251" ht="12.75" customHeight="1">
      <c r="A251" s="35">
        <f t="shared" si="2"/>
        <v>50</v>
      </c>
      <c r="B251" s="40">
        <f t="shared" ref="B251:C251" si="246"> B246</f>
        <v>2</v>
      </c>
      <c r="C251" s="36">
        <f t="shared" si="246"/>
        <v>5</v>
      </c>
      <c r="D251" s="50">
        <f> indirect(address(match("Nbre " &amp; vlookup(A251, Mois!$A$2:$C1000, 3), ZONE(MOIS_VERS_ANNEE(A251), "K:K"), 0) - 1, 14, 4, true, MOIS_VERS_ANNEE(A251)))</f>
        <v>7867.94</v>
      </c>
    </row>
    <row r="252" ht="12.75" customHeight="1">
      <c r="A252" s="35">
        <f t="shared" si="2"/>
        <v>51</v>
      </c>
      <c r="B252" s="40">
        <f t="shared" ref="B252:C252" si="247"> B247</f>
        <v>1</v>
      </c>
      <c r="C252" s="36">
        <f t="shared" si="247"/>
        <v>1</v>
      </c>
      <c r="D252" s="50">
        <f>IFERROR(__xludf.DUMMYFUNCTION(" sum (filter (ZONE (MOIS_VERS_ANNEE (A252), address (2, C252 + 1) &amp; "":"" &amp; address (9999, C252 + 1)), month (ZONE (MOIS_VERS_ANNEE (A252), ""A2:A"")) = mod (A252 - 1, 12) + 1, ZONE (MOIS_VERS_ANNEE (A252), ""A2:A"") &lt;&gt; """"))"),2925.1699999999996)</f>
        <v>2925.17</v>
      </c>
    </row>
    <row r="253" ht="12.75" customHeight="1">
      <c r="A253" s="35">
        <f t="shared" si="2"/>
        <v>51</v>
      </c>
      <c r="B253" s="40">
        <f t="shared" ref="B253:C253" si="248"> B248</f>
        <v>1</v>
      </c>
      <c r="C253" s="36">
        <f t="shared" si="248"/>
        <v>2</v>
      </c>
      <c r="D253" s="50">
        <f>IFERROR(__xludf.DUMMYFUNCTION(" sum (filter (ZONE (MOIS_VERS_ANNEE (A253), address (2, C253 + 1) &amp; "":"" &amp; address (9999, C253 + 1)), month (ZONE (MOIS_VERS_ANNEE (A253), ""A2:A"")) = mod (A253 - 1, 12) + 1, ZONE (MOIS_VERS_ANNEE (A253), ""A2:A"") &lt;&gt; """"))"),6321.78)</f>
        <v>6321.78</v>
      </c>
    </row>
    <row r="254" ht="12.75" customHeight="1">
      <c r="A254" s="35">
        <f t="shared" si="2"/>
        <v>51</v>
      </c>
      <c r="B254" s="40">
        <f t="shared" ref="B254:C254" si="249"> B249</f>
        <v>1</v>
      </c>
      <c r="C254" s="36">
        <f t="shared" si="249"/>
        <v>3</v>
      </c>
      <c r="D254" s="50">
        <f>IFERROR(__xludf.DUMMYFUNCTION(" sum (filter (ZONE (MOIS_VERS_ANNEE (A254), address (2, C254 + 1) &amp; "":"" &amp; address (9999, C254 + 1)), month (ZONE (MOIS_VERS_ANNEE (A254), ""A2:A"")) = mod (A254 - 1, 12) + 1, ZONE (MOIS_VERS_ANNEE (A254), ""A2:A"") &lt;&gt; """"))"),14043.619999999999)</f>
        <v>14043.62</v>
      </c>
    </row>
    <row r="255" ht="12.75" customHeight="1">
      <c r="A255" s="35">
        <f t="shared" si="2"/>
        <v>51</v>
      </c>
      <c r="B255" s="40">
        <f t="shared" ref="B255:C255" si="250"> B250</f>
        <v>1</v>
      </c>
      <c r="C255" s="36">
        <f t="shared" si="250"/>
        <v>4</v>
      </c>
      <c r="D255" s="50">
        <f>IFERROR(__xludf.DUMMYFUNCTION(" sum (filter (ZONE (MOIS_VERS_ANNEE (A255), address (2, C255 + 1) &amp; "":"" &amp; address (9999, C255 + 1)), month (ZONE (MOIS_VERS_ANNEE (A255), ""A2:A"")) = mod (A255 - 1, 12) + 1, ZONE (MOIS_VERS_ANNEE (A255), ""A2:A"") &lt;&gt; """"))"),2806.5499999999997)</f>
        <v>2806.55</v>
      </c>
    </row>
    <row r="256" ht="12.75" customHeight="1">
      <c r="A256" s="35">
        <f t="shared" si="2"/>
        <v>51</v>
      </c>
      <c r="B256" s="40">
        <f t="shared" ref="B256:C256" si="251"> B251</f>
        <v>2</v>
      </c>
      <c r="C256" s="36">
        <f t="shared" si="251"/>
        <v>5</v>
      </c>
      <c r="D256" s="50">
        <f> indirect(address(match("Nbre " &amp; vlookup(A256, Mois!$A$2:$C1000, 3), ZONE(MOIS_VERS_ANNEE(A256), "K:K"), 0) - 1, 14, 4, true, MOIS_VERS_ANNEE(A256)))</f>
        <v>7263.12</v>
      </c>
    </row>
    <row r="257" ht="12.75" customHeight="1">
      <c r="A257" s="35">
        <f t="shared" si="2"/>
        <v>52</v>
      </c>
      <c r="B257" s="40">
        <f t="shared" ref="B257:C257" si="252"> B252</f>
        <v>1</v>
      </c>
      <c r="C257" s="36">
        <f t="shared" si="252"/>
        <v>1</v>
      </c>
      <c r="D257" s="50">
        <f>IFERROR(__xludf.DUMMYFUNCTION(" sum (filter (ZONE (MOIS_VERS_ANNEE (A257), address (2, C257 + 1) &amp; "":"" &amp; address (9999, C257 + 1)), month (ZONE (MOIS_VERS_ANNEE (A257), ""A2:A"")) = mod (A257 - 1, 12) + 1, ZONE (MOIS_VERS_ANNEE (A257), ""A2:A"") &lt;&gt; """"))"),2939.31)</f>
        <v>2939.31</v>
      </c>
    </row>
    <row r="258" ht="12.75" customHeight="1">
      <c r="A258" s="35">
        <f t="shared" si="2"/>
        <v>52</v>
      </c>
      <c r="B258" s="40">
        <f t="shared" ref="B258:C258" si="253"> B253</f>
        <v>1</v>
      </c>
      <c r="C258" s="36">
        <f t="shared" si="253"/>
        <v>2</v>
      </c>
      <c r="D258" s="50">
        <f>IFERROR(__xludf.DUMMYFUNCTION(" sum (filter (ZONE (MOIS_VERS_ANNEE (A258), address (2, C258 + 1) &amp; "":"" &amp; address (9999, C258 + 1)), month (ZONE (MOIS_VERS_ANNEE (A258), ""A2:A"")) = mod (A258 - 1, 12) + 1, ZONE (MOIS_VERS_ANNEE (A258), ""A2:A"") &lt;&gt; """"))"),6205.239999999999)</f>
        <v>6205.24</v>
      </c>
    </row>
    <row r="259" ht="12.75" customHeight="1">
      <c r="A259" s="35">
        <f t="shared" si="2"/>
        <v>52</v>
      </c>
      <c r="B259" s="40">
        <f t="shared" ref="B259:C259" si="254"> B254</f>
        <v>1</v>
      </c>
      <c r="C259" s="36">
        <f t="shared" si="254"/>
        <v>3</v>
      </c>
      <c r="D259" s="50">
        <f>IFERROR(__xludf.DUMMYFUNCTION(" sum (filter (ZONE (MOIS_VERS_ANNEE (A259), address (2, C259 + 1) &amp; "":"" &amp; address (9999, C259 + 1)), month (ZONE (MOIS_VERS_ANNEE (A259), ""A2:A"")) = mod (A259 - 1, 12) + 1, ZONE (MOIS_VERS_ANNEE (A259), ""A2:A"") &lt;&gt; """"))"),18065.989999999998)</f>
        <v>18065.99</v>
      </c>
    </row>
    <row r="260" ht="12.75" customHeight="1">
      <c r="A260" s="35">
        <f t="shared" si="2"/>
        <v>52</v>
      </c>
      <c r="B260" s="40">
        <f t="shared" ref="B260:C260" si="255"> B255</f>
        <v>1</v>
      </c>
      <c r="C260" s="36">
        <f t="shared" si="255"/>
        <v>4</v>
      </c>
      <c r="D260" s="50">
        <f>IFERROR(__xludf.DUMMYFUNCTION(" sum (filter (ZONE (MOIS_VERS_ANNEE (A260), address (2, C260 + 1) &amp; "":"" &amp; address (9999, C260 + 1)), month (ZONE (MOIS_VERS_ANNEE (A260), ""A2:A"")) = mod (A260 - 1, 12) + 1, ZONE (MOIS_VERS_ANNEE (A260), ""A2:A"") &lt;&gt; """"))"),1978.62)</f>
        <v>1978.62</v>
      </c>
    </row>
    <row r="261" ht="12.75" customHeight="1">
      <c r="A261" s="35">
        <f t="shared" si="2"/>
        <v>52</v>
      </c>
      <c r="B261" s="40">
        <f t="shared" ref="B261:C261" si="256"> B256</f>
        <v>2</v>
      </c>
      <c r="C261" s="36">
        <f t="shared" si="256"/>
        <v>5</v>
      </c>
      <c r="D261" s="50">
        <f> indirect(address(match("Nbre " &amp; vlookup(A261, Mois!$A$2:$C1000, 3), ZONE(MOIS_VERS_ANNEE(A261), "K:K"), 0) - 1, 14, 4, true, MOIS_VERS_ANNEE(A261)))</f>
        <v>6996.42</v>
      </c>
    </row>
    <row r="262" ht="12.75" customHeight="1">
      <c r="A262" s="35">
        <f t="shared" si="2"/>
        <v>53</v>
      </c>
      <c r="B262" s="40">
        <f t="shared" ref="B262:C262" si="257"> B257</f>
        <v>1</v>
      </c>
      <c r="C262" s="36">
        <f t="shared" si="257"/>
        <v>1</v>
      </c>
      <c r="D262" s="50">
        <f>IFERROR(__xludf.DUMMYFUNCTION(" sum (filter (ZONE (MOIS_VERS_ANNEE (A262), address (2, C262 + 1) &amp; "":"" &amp; address (9999, C262 + 1)), month (ZONE (MOIS_VERS_ANNEE (A262), ""A2:A"")) = mod (A262 - 1, 12) + 1, ZONE (MOIS_VERS_ANNEE (A262), ""A2:A"") &lt;&gt; """"))"),2077.93)</f>
        <v>2077.93</v>
      </c>
    </row>
    <row r="263" ht="12.75" customHeight="1">
      <c r="A263" s="35">
        <f t="shared" si="2"/>
        <v>53</v>
      </c>
      <c r="B263" s="40">
        <f t="shared" ref="B263:C263" si="258"> B258</f>
        <v>1</v>
      </c>
      <c r="C263" s="36">
        <f t="shared" si="258"/>
        <v>2</v>
      </c>
      <c r="D263" s="50">
        <f>IFERROR(__xludf.DUMMYFUNCTION(" sum (filter (ZONE (MOIS_VERS_ANNEE (A263), address (2, C263 + 1) &amp; "":"" &amp; address (9999, C263 + 1)), month (ZONE (MOIS_VERS_ANNEE (A263), ""A2:A"")) = mod (A263 - 1, 12) + 1, ZONE (MOIS_VERS_ANNEE (A263), ""A2:A"") &lt;&gt; """"))"),4905.969999999999)</f>
        <v>4905.97</v>
      </c>
    </row>
    <row r="264" ht="12.75" customHeight="1">
      <c r="A264" s="35">
        <f t="shared" si="2"/>
        <v>53</v>
      </c>
      <c r="B264" s="40">
        <f t="shared" ref="B264:C264" si="259"> B259</f>
        <v>1</v>
      </c>
      <c r="C264" s="36">
        <f t="shared" si="259"/>
        <v>3</v>
      </c>
      <c r="D264" s="50">
        <f>IFERROR(__xludf.DUMMYFUNCTION(" sum (filter (ZONE (MOIS_VERS_ANNEE (A264), address (2, C264 + 1) &amp; "":"" &amp; address (9999, C264 + 1)), month (ZONE (MOIS_VERS_ANNEE (A264), ""A2:A"")) = mod (A264 - 1, 12) + 1, ZONE (MOIS_VERS_ANNEE (A264), ""A2:A"") &lt;&gt; """"))"),13597.58)</f>
        <v>13597.58</v>
      </c>
    </row>
    <row r="265" ht="12.75" customHeight="1">
      <c r="A265" s="35">
        <f t="shared" si="2"/>
        <v>53</v>
      </c>
      <c r="B265" s="40">
        <f t="shared" ref="B265:C265" si="260"> B260</f>
        <v>1</v>
      </c>
      <c r="C265" s="36">
        <f t="shared" si="260"/>
        <v>4</v>
      </c>
      <c r="D265" s="50">
        <f>IFERROR(__xludf.DUMMYFUNCTION(" sum (filter (ZONE (MOIS_VERS_ANNEE (A265), address (2, C265 + 1) &amp; "":"" &amp; address (9999, C265 + 1)), month (ZONE (MOIS_VERS_ANNEE (A265), ""A2:A"")) = mod (A265 - 1, 12) + 1, ZONE (MOIS_VERS_ANNEE (A265), ""A2:A"") &lt;&gt; """"))"),1377.9299999999998)</f>
        <v>1377.93</v>
      </c>
    </row>
    <row r="266" ht="12.75" customHeight="1">
      <c r="A266" s="35">
        <f t="shared" si="2"/>
        <v>53</v>
      </c>
      <c r="B266" s="40">
        <f t="shared" ref="B266:C266" si="261"> B261</f>
        <v>2</v>
      </c>
      <c r="C266" s="36">
        <f t="shared" si="261"/>
        <v>5</v>
      </c>
      <c r="D266" s="50">
        <f> indirect(address(match("Nbre " &amp; vlookup(A266, Mois!$A$2:$C1000, 3), ZONE(MOIS_VERS_ANNEE(A266), "K:K"), 0) - 1, 14, 4, true, MOIS_VERS_ANNEE(A266)))</f>
        <v>7989.12</v>
      </c>
    </row>
    <row r="267" ht="12.75" customHeight="1">
      <c r="A267" s="35">
        <f t="shared" si="2"/>
        <v>54</v>
      </c>
      <c r="B267" s="40">
        <f t="shared" ref="B267:C267" si="262"> B262</f>
        <v>1</v>
      </c>
      <c r="C267" s="36">
        <f t="shared" si="262"/>
        <v>1</v>
      </c>
      <c r="D267" s="50">
        <f>IFERROR(__xludf.DUMMYFUNCTION(" sum (filter (ZONE (MOIS_VERS_ANNEE (A267), address (2, C267 + 1) &amp; "":"" &amp; address (9999, C267 + 1)), month (ZONE (MOIS_VERS_ANNEE (A267), ""A2:A"")) = mod (A267 - 1, 12) + 1, ZONE (MOIS_VERS_ANNEE (A267), ""A2:A"") &lt;&gt; """"))"),2847.24)</f>
        <v>2847.24</v>
      </c>
    </row>
    <row r="268" ht="12.75" customHeight="1">
      <c r="A268" s="35">
        <f t="shared" si="2"/>
        <v>54</v>
      </c>
      <c r="B268" s="40">
        <f t="shared" ref="B268:C268" si="263"> B263</f>
        <v>1</v>
      </c>
      <c r="C268" s="36">
        <f t="shared" si="263"/>
        <v>2</v>
      </c>
      <c r="D268" s="50">
        <f>IFERROR(__xludf.DUMMYFUNCTION(" sum (filter (ZONE (MOIS_VERS_ANNEE (A268), address (2, C268 + 1) &amp; "":"" &amp; address (9999, C268 + 1)), month (ZONE (MOIS_VERS_ANNEE (A268), ""A2:A"")) = mod (A268 - 1, 12) + 1, ZONE (MOIS_VERS_ANNEE (A268), ""A2:A"") &lt;&gt; """"))"),5886.91)</f>
        <v>5886.91</v>
      </c>
    </row>
    <row r="269" ht="12.75" customHeight="1">
      <c r="A269" s="35">
        <f t="shared" si="2"/>
        <v>54</v>
      </c>
      <c r="B269" s="40">
        <f t="shared" ref="B269:C269" si="264"> B264</f>
        <v>1</v>
      </c>
      <c r="C269" s="36">
        <f t="shared" si="264"/>
        <v>3</v>
      </c>
      <c r="D269" s="50">
        <f>IFERROR(__xludf.DUMMYFUNCTION(" sum (filter (ZONE (MOIS_VERS_ANNEE (A269), address (2, C269 + 1) &amp; "":"" &amp; address (9999, C269 + 1)), month (ZONE (MOIS_VERS_ANNEE (A269), ""A2:A"")) = mod (A269 - 1, 12) + 1, ZONE (MOIS_VERS_ANNEE (A269), ""A2:A"") &lt;&gt; """"))"),15311.809999999998)</f>
        <v>15311.81</v>
      </c>
    </row>
    <row r="270" ht="12.75" customHeight="1">
      <c r="A270" s="35">
        <f t="shared" si="2"/>
        <v>54</v>
      </c>
      <c r="B270" s="40">
        <f t="shared" ref="B270:C270" si="265"> B265</f>
        <v>1</v>
      </c>
      <c r="C270" s="36">
        <f t="shared" si="265"/>
        <v>4</v>
      </c>
      <c r="D270" s="50">
        <f>IFERROR(__xludf.DUMMYFUNCTION(" sum (filter (ZONE (MOIS_VERS_ANNEE (A270), address (2, C270 + 1) &amp; "":"" &amp; address (9999, C270 + 1)), month (ZONE (MOIS_VERS_ANNEE (A270), ""A2:A"")) = mod (A270 - 1, 12) + 1, ZONE (MOIS_VERS_ANNEE (A270), ""A2:A"") &lt;&gt; """"))"),2029.31)</f>
        <v>2029.31</v>
      </c>
    </row>
    <row r="271" ht="12.75" customHeight="1">
      <c r="A271" s="35">
        <f t="shared" si="2"/>
        <v>54</v>
      </c>
      <c r="B271" s="40">
        <f t="shared" ref="B271:C271" si="266"> B266</f>
        <v>2</v>
      </c>
      <c r="C271" s="36">
        <f t="shared" si="266"/>
        <v>5</v>
      </c>
      <c r="D271" s="50">
        <f> indirect(address(match("Nbre " &amp; vlookup(A271, Mois!$A$2:$C1000, 3), ZONE(MOIS_VERS_ANNEE(A271), "K:K"), 0) - 1, 14, 4, true, MOIS_VERS_ANNEE(A271)))</f>
        <v>7899.12</v>
      </c>
    </row>
    <row r="272" ht="12.75" customHeight="1">
      <c r="A272" s="35">
        <f t="shared" si="2"/>
        <v>55</v>
      </c>
      <c r="B272" s="40">
        <f t="shared" ref="B272:C272" si="267"> B267</f>
        <v>1</v>
      </c>
      <c r="C272" s="36">
        <f t="shared" si="267"/>
        <v>1</v>
      </c>
      <c r="D272" s="50">
        <f>IFERROR(__xludf.DUMMYFUNCTION(" sum (filter (ZONE (MOIS_VERS_ANNEE (A272), address (2, C272 + 1) &amp; "":"" &amp; address (9999, C272 + 1)), month (ZONE (MOIS_VERS_ANNEE (A272), ""A2:A"")) = mod (A272 - 1, 12) + 1, ZONE (MOIS_VERS_ANNEE (A272), ""A2:A"") &lt;&gt; """"))"),1990.0)</f>
        <v>1990</v>
      </c>
    </row>
    <row r="273" ht="12.75" customHeight="1">
      <c r="A273" s="35">
        <f t="shared" si="2"/>
        <v>55</v>
      </c>
      <c r="B273" s="40">
        <f t="shared" ref="B273:C273" si="268"> B268</f>
        <v>1</v>
      </c>
      <c r="C273" s="36">
        <f t="shared" si="268"/>
        <v>2</v>
      </c>
      <c r="D273" s="50">
        <f>IFERROR(__xludf.DUMMYFUNCTION(" sum (filter (ZONE (MOIS_VERS_ANNEE (A273), address (2, C273 + 1) &amp; "":"" &amp; address (9999, C273 + 1)), month (ZONE (MOIS_VERS_ANNEE (A273), ""A2:A"")) = mod (A273 - 1, 12) + 1, ZONE (MOIS_VERS_ANNEE (A273), ""A2:A"") &lt;&gt; """"))"),4386.95)</f>
        <v>4386.95</v>
      </c>
    </row>
    <row r="274" ht="12.75" customHeight="1">
      <c r="A274" s="35">
        <f t="shared" si="2"/>
        <v>55</v>
      </c>
      <c r="B274" s="40">
        <f t="shared" ref="B274:C274" si="269"> B269</f>
        <v>1</v>
      </c>
      <c r="C274" s="36">
        <f t="shared" si="269"/>
        <v>3</v>
      </c>
      <c r="D274" s="50">
        <f>IFERROR(__xludf.DUMMYFUNCTION(" sum (filter (ZONE (MOIS_VERS_ANNEE (A274), address (2, C274 + 1) &amp; "":"" &amp; address (9999, C274 + 1)), month (ZONE (MOIS_VERS_ANNEE (A274), ""A2:A"")) = mod (A274 - 1, 12) + 1, ZONE (MOIS_VERS_ANNEE (A274), ""A2:A"") &lt;&gt; """"))"),14284.099999999999)</f>
        <v>14284.1</v>
      </c>
    </row>
    <row r="275" ht="12.75" customHeight="1">
      <c r="A275" s="35">
        <f t="shared" si="2"/>
        <v>55</v>
      </c>
      <c r="B275" s="40">
        <f t="shared" ref="B275:C275" si="270"> B270</f>
        <v>1</v>
      </c>
      <c r="C275" s="36">
        <f t="shared" si="270"/>
        <v>4</v>
      </c>
      <c r="D275" s="50">
        <f>IFERROR(__xludf.DUMMYFUNCTION(" sum (filter (ZONE (MOIS_VERS_ANNEE (A275), address (2, C275 + 1) &amp; "":"" &amp; address (9999, C275 + 1)), month (ZONE (MOIS_VERS_ANNEE (A275), ""A2:A"")) = mod (A275 - 1, 12) + 1, ZONE (MOIS_VERS_ANNEE (A275), ""A2:A"") &lt;&gt; """"))"),1782.93)</f>
        <v>1782.93</v>
      </c>
    </row>
    <row r="276" ht="12.75" customHeight="1">
      <c r="A276" s="35">
        <f t="shared" si="2"/>
        <v>55</v>
      </c>
      <c r="B276" s="40">
        <f t="shared" ref="B276:C276" si="271"> B271</f>
        <v>2</v>
      </c>
      <c r="C276" s="36">
        <f t="shared" si="271"/>
        <v>5</v>
      </c>
      <c r="D276" s="50">
        <f> indirect(address(match("Nbre " &amp; vlookup(A276, Mois!$A$2:$C1000, 3), ZONE(MOIS_VERS_ANNEE(A276), "K:K"), 0) - 1, 14, 4, true, MOIS_VERS_ANNEE(A276)))</f>
        <v>8493.66</v>
      </c>
    </row>
    <row r="277" ht="12.75" customHeight="1">
      <c r="A277" s="35">
        <f t="shared" si="2"/>
        <v>56</v>
      </c>
      <c r="B277" s="40">
        <f t="shared" ref="B277:C277" si="272"> B272</f>
        <v>1</v>
      </c>
      <c r="C277" s="36">
        <f t="shared" si="272"/>
        <v>1</v>
      </c>
      <c r="D277" s="50">
        <f>IFERROR(__xludf.DUMMYFUNCTION(" sum (filter (ZONE (MOIS_VERS_ANNEE (A277), address (2, C277 + 1) &amp; "":"" &amp; address (9999, C277 + 1)), month (ZONE (MOIS_VERS_ANNEE (A277), ""A2:A"")) = mod (A277 - 1, 12) + 1, ZONE (MOIS_VERS_ANNEE (A277), ""A2:A"") &lt;&gt; """"))"),1117.9299999999998)</f>
        <v>1117.93</v>
      </c>
    </row>
    <row r="278" ht="12.75" customHeight="1">
      <c r="A278" s="35">
        <f t="shared" si="2"/>
        <v>56</v>
      </c>
      <c r="B278" s="40">
        <f t="shared" ref="B278:C278" si="273"> B273</f>
        <v>1</v>
      </c>
      <c r="C278" s="36">
        <f t="shared" si="273"/>
        <v>2</v>
      </c>
      <c r="D278" s="50">
        <f>IFERROR(__xludf.DUMMYFUNCTION(" sum (filter (ZONE (MOIS_VERS_ANNEE (A278), address (2, C278 + 1) &amp; "":"" &amp; address (9999, C278 + 1)), month (ZONE (MOIS_VERS_ANNEE (A278), ""A2:A"")) = mod (A278 - 1, 12) + 1, ZONE (MOIS_VERS_ANNEE (A278), ""A2:A"") &lt;&gt; """"))"),3879.98)</f>
        <v>3879.98</v>
      </c>
    </row>
    <row r="279" ht="12.75" customHeight="1">
      <c r="A279" s="35">
        <f t="shared" si="2"/>
        <v>56</v>
      </c>
      <c r="B279" s="40">
        <f t="shared" ref="B279:C279" si="274"> B274</f>
        <v>1</v>
      </c>
      <c r="C279" s="36">
        <f t="shared" si="274"/>
        <v>3</v>
      </c>
      <c r="D279" s="50">
        <f>IFERROR(__xludf.DUMMYFUNCTION(" sum (filter (ZONE (MOIS_VERS_ANNEE (A279), address (2, C279 + 1) &amp; "":"" &amp; address (9999, C279 + 1)), month (ZONE (MOIS_VERS_ANNEE (A279), ""A2:A"")) = mod (A279 - 1, 12) + 1, ZONE (MOIS_VERS_ANNEE (A279), ""A2:A"") &lt;&gt; """"))"),9632.409999999998)</f>
        <v>9632.41</v>
      </c>
    </row>
    <row r="280" ht="12.75" customHeight="1">
      <c r="A280" s="35">
        <f t="shared" si="2"/>
        <v>56</v>
      </c>
      <c r="B280" s="40">
        <f t="shared" ref="B280:C280" si="275"> B275</f>
        <v>1</v>
      </c>
      <c r="C280" s="36">
        <f t="shared" si="275"/>
        <v>4</v>
      </c>
      <c r="D280" s="50">
        <f>IFERROR(__xludf.DUMMYFUNCTION(" sum (filter (ZONE (MOIS_VERS_ANNEE (A280), address (2, C280 + 1) &amp; "":"" &amp; address (9999, C280 + 1)), month (ZONE (MOIS_VERS_ANNEE (A280), ""A2:A"")) = mod (A280 - 1, 12) + 1, ZONE (MOIS_VERS_ANNEE (A280), ""A2:A"") &lt;&gt; """"))"),1428.62)</f>
        <v>1428.62</v>
      </c>
    </row>
    <row r="281" ht="12.75" customHeight="1">
      <c r="A281" s="35">
        <f t="shared" si="2"/>
        <v>56</v>
      </c>
      <c r="B281" s="40">
        <f t="shared" ref="B281:C281" si="276"> B276</f>
        <v>2</v>
      </c>
      <c r="C281" s="36">
        <f t="shared" si="276"/>
        <v>5</v>
      </c>
      <c r="D281" s="50">
        <f> indirect(address(match("Nbre " &amp; vlookup(A281, Mois!$A$2:$C1000, 3), ZONE(MOIS_VERS_ANNEE(A281), "K:K"), 0) - 1, 14, 4, true, MOIS_VERS_ANNEE(A281)))</f>
        <v>2123.46</v>
      </c>
    </row>
    <row r="282" ht="12.75" customHeight="1">
      <c r="A282" s="35">
        <f t="shared" si="2"/>
        <v>57</v>
      </c>
      <c r="B282" s="40">
        <f t="shared" ref="B282:C282" si="277"> B277</f>
        <v>1</v>
      </c>
      <c r="C282" s="36">
        <f t="shared" si="277"/>
        <v>1</v>
      </c>
      <c r="D282" s="50">
        <f>IFERROR(__xludf.DUMMYFUNCTION(" sum (filter (ZONE (MOIS_VERS_ANNEE (A282), address (2, C282 + 1) &amp; "":"" &amp; address (9999, C282 + 1)), month (ZONE (MOIS_VERS_ANNEE (A282), ""A2:A"")) = mod (A282 - 1, 12) + 1, ZONE (MOIS_VERS_ANNEE (A282), ""A2:A"") &lt;&gt; """"))"),2688.62)</f>
        <v>2688.62</v>
      </c>
    </row>
    <row r="283" ht="12.75" customHeight="1">
      <c r="A283" s="35">
        <f t="shared" si="2"/>
        <v>57</v>
      </c>
      <c r="B283" s="40">
        <f t="shared" ref="B283:C283" si="278"> B278</f>
        <v>1</v>
      </c>
      <c r="C283" s="36">
        <f t="shared" si="278"/>
        <v>2</v>
      </c>
      <c r="D283" s="50">
        <f>IFERROR(__xludf.DUMMYFUNCTION(" sum (filter (ZONE (MOIS_VERS_ANNEE (A283), address (2, C283 + 1) &amp; "":"" &amp; address (9999, C283 + 1)), month (ZONE (MOIS_VERS_ANNEE (A283), ""A2:A"")) = mod (A283 - 1, 12) + 1, ZONE (MOIS_VERS_ANNEE (A283), ""A2:A"") &lt;&gt; """"))"),5442.299999999999)</f>
        <v>5442.3</v>
      </c>
    </row>
    <row r="284" ht="12.75" customHeight="1">
      <c r="A284" s="35">
        <f t="shared" si="2"/>
        <v>57</v>
      </c>
      <c r="B284" s="40">
        <f t="shared" ref="B284:C284" si="279"> B279</f>
        <v>1</v>
      </c>
      <c r="C284" s="36">
        <f t="shared" si="279"/>
        <v>3</v>
      </c>
      <c r="D284" s="50">
        <f>IFERROR(__xludf.DUMMYFUNCTION(" sum (filter (ZONE (MOIS_VERS_ANNEE (A284), address (2, C284 + 1) &amp; "":"" &amp; address (9999, C284 + 1)), month (ZONE (MOIS_VERS_ANNEE (A284), ""A2:A"")) = mod (A284 - 1, 12) + 1, ZONE (MOIS_VERS_ANNEE (A284), ""A2:A"") &lt;&gt; """"))"),13974.64)</f>
        <v>13974.64</v>
      </c>
    </row>
    <row r="285" ht="12.75" customHeight="1">
      <c r="A285" s="35">
        <f t="shared" si="2"/>
        <v>57</v>
      </c>
      <c r="B285" s="40">
        <f t="shared" ref="B285:C285" si="280"> B280</f>
        <v>1</v>
      </c>
      <c r="C285" s="36">
        <f t="shared" si="280"/>
        <v>4</v>
      </c>
      <c r="D285" s="50">
        <f>IFERROR(__xludf.DUMMYFUNCTION(" sum (filter (ZONE (MOIS_VERS_ANNEE (A285), address (2, C285 + 1) &amp; "":"" &amp; address (9999, C285 + 1)), month (ZONE (MOIS_VERS_ANNEE (A285), ""A2:A"")) = mod (A285 - 1, 12) + 1, ZONE (MOIS_VERS_ANNEE (A285), ""A2:A"") &lt;&gt; """"))"),2367.24)</f>
        <v>2367.24</v>
      </c>
    </row>
    <row r="286" ht="12.75" customHeight="1">
      <c r="A286" s="35">
        <f t="shared" si="2"/>
        <v>57</v>
      </c>
      <c r="B286" s="40">
        <f t="shared" ref="B286:C286" si="281"> B281</f>
        <v>2</v>
      </c>
      <c r="C286" s="36">
        <f t="shared" si="281"/>
        <v>5</v>
      </c>
      <c r="D286" s="50">
        <f> indirect(address(match("Nbre " &amp; vlookup(A286, Mois!$A$2:$C1000, 3), ZONE(MOIS_VERS_ANNEE(A286), "K:K"), 0) - 1, 14, 4, true, MOIS_VERS_ANNEE(A286)))</f>
        <v>9069.12</v>
      </c>
    </row>
    <row r="287" ht="12.75" customHeight="1">
      <c r="A287" s="35">
        <f t="shared" si="2"/>
        <v>58</v>
      </c>
      <c r="B287" s="40">
        <f t="shared" ref="B287:C287" si="282"> B282</f>
        <v>1</v>
      </c>
      <c r="C287" s="36">
        <f t="shared" si="282"/>
        <v>1</v>
      </c>
      <c r="D287" s="50">
        <f>IFERROR(__xludf.DUMMYFUNCTION(" sum (filter (ZONE (MOIS_VERS_ANNEE (A287), address (2, C287 + 1) &amp; "":"" &amp; address (9999, C287 + 1)), month (ZONE (MOIS_VERS_ANNEE (A287), ""A2:A"")) = mod (A287 - 1, 12) + 1, ZONE (MOIS_VERS_ANNEE (A287), ""A2:A"") &lt;&gt; """"))"),2697.93)</f>
        <v>2697.93</v>
      </c>
    </row>
    <row r="288" ht="12.75" customHeight="1">
      <c r="A288" s="35">
        <f t="shared" si="2"/>
        <v>58</v>
      </c>
      <c r="B288" s="40">
        <f t="shared" ref="B288:C288" si="283"> B283</f>
        <v>1</v>
      </c>
      <c r="C288" s="36">
        <f t="shared" si="283"/>
        <v>2</v>
      </c>
      <c r="D288" s="50">
        <f>IFERROR(__xludf.DUMMYFUNCTION(" sum (filter (ZONE (MOIS_VERS_ANNEE (A288), address (2, C288 + 1) &amp; "":"" &amp; address (9999, C288 + 1)), month (ZONE (MOIS_VERS_ANNEE (A288), ""A2:A"")) = mod (A288 - 1, 12) + 1, ZONE (MOIS_VERS_ANNEE (A288), ""A2:A"") &lt;&gt; """"))"),5336.44)</f>
        <v>5336.44</v>
      </c>
    </row>
    <row r="289" ht="12.75" customHeight="1">
      <c r="A289" s="35">
        <f t="shared" si="2"/>
        <v>58</v>
      </c>
      <c r="B289" s="40">
        <f t="shared" ref="B289:C289" si="284"> B284</f>
        <v>1</v>
      </c>
      <c r="C289" s="36">
        <f t="shared" si="284"/>
        <v>3</v>
      </c>
      <c r="D289" s="50">
        <f>IFERROR(__xludf.DUMMYFUNCTION(" sum (filter (ZONE (MOIS_VERS_ANNEE (A289), address (2, C289 + 1) &amp; "":"" &amp; address (9999, C289 + 1)), month (ZONE (MOIS_VERS_ANNEE (A289), ""A2:A"")) = mod (A289 - 1, 12) + 1, ZONE (MOIS_VERS_ANNEE (A289), ""A2:A"") &lt;&gt; """"))"),14362.790000000003)</f>
        <v>14362.79</v>
      </c>
    </row>
    <row r="290" ht="12.75" customHeight="1">
      <c r="A290" s="35">
        <f t="shared" si="2"/>
        <v>58</v>
      </c>
      <c r="B290" s="40">
        <f t="shared" ref="B290:C290" si="285"> B285</f>
        <v>1</v>
      </c>
      <c r="C290" s="36">
        <f t="shared" si="285"/>
        <v>4</v>
      </c>
      <c r="D290" s="50">
        <f>IFERROR(__xludf.DUMMYFUNCTION(" sum (filter (ZONE (MOIS_VERS_ANNEE (A290), address (2, C290 + 1) &amp; "":"" &amp; address (9999, C290 + 1)), month (ZONE (MOIS_VERS_ANNEE (A290), ""A2:A"")) = mod (A290 - 1, 12) + 1, ZONE (MOIS_VERS_ANNEE (A290), ""A2:A"") &lt;&gt; """"))"),2376.5499999999997)</f>
        <v>2376.55</v>
      </c>
    </row>
    <row r="291" ht="12.75" customHeight="1">
      <c r="A291" s="35">
        <f t="shared" si="2"/>
        <v>58</v>
      </c>
      <c r="B291" s="40">
        <f t="shared" ref="B291:C291" si="286"> B286</f>
        <v>2</v>
      </c>
      <c r="C291" s="36">
        <f t="shared" si="286"/>
        <v>5</v>
      </c>
      <c r="D291" s="50">
        <f> indirect(address(match("Nbre " &amp; vlookup(A291, Mois!$A$2:$C1000, 3), ZONE(MOIS_VERS_ANNEE(A291), "K:K"), 0) - 1, 14, 4, true, MOIS_VERS_ANNEE(A291)))</f>
        <v>9357.3</v>
      </c>
    </row>
    <row r="292" ht="12.75" customHeight="1">
      <c r="A292" s="35">
        <f t="shared" si="2"/>
        <v>59</v>
      </c>
      <c r="B292" s="40">
        <f t="shared" ref="B292:C292" si="287"> B287</f>
        <v>1</v>
      </c>
      <c r="C292" s="36">
        <f t="shared" si="287"/>
        <v>1</v>
      </c>
      <c r="D292" s="50">
        <f>IFERROR(__xludf.DUMMYFUNCTION(" sum (filter (ZONE (MOIS_VERS_ANNEE (A292), address (2, C292 + 1) &amp; "":"" &amp; address (9999, C292 + 1)), month (ZONE (MOIS_VERS_ANNEE (A292), ""A2:A"")) = mod (A292 - 1, 12) + 1, ZONE (MOIS_VERS_ANNEE (A292), ""A2:A"") &lt;&gt; """"))"),1779.31)</f>
        <v>1779.31</v>
      </c>
    </row>
    <row r="293" ht="12.75" customHeight="1">
      <c r="A293" s="35">
        <f t="shared" si="2"/>
        <v>59</v>
      </c>
      <c r="B293" s="40">
        <f t="shared" ref="B293:C293" si="288"> B288</f>
        <v>1</v>
      </c>
      <c r="C293" s="36">
        <f t="shared" si="288"/>
        <v>2</v>
      </c>
      <c r="D293" s="50">
        <f>IFERROR(__xludf.DUMMYFUNCTION(" sum (filter (ZONE (MOIS_VERS_ANNEE (A293), address (2, C293 + 1) &amp; "":"" &amp; address (9999, C293 + 1)), month (ZONE (MOIS_VERS_ANNEE (A293), ""A2:A"")) = mod (A293 - 1, 12) + 1, ZONE (MOIS_VERS_ANNEE (A293), ""A2:A"") &lt;&gt; """"))"),4020.3999999999996)</f>
        <v>4020.4</v>
      </c>
    </row>
    <row r="294" ht="12.75" customHeight="1">
      <c r="A294" s="35">
        <f t="shared" si="2"/>
        <v>59</v>
      </c>
      <c r="B294" s="40">
        <f t="shared" ref="B294:C294" si="289"> B289</f>
        <v>1</v>
      </c>
      <c r="C294" s="36">
        <f t="shared" si="289"/>
        <v>3</v>
      </c>
      <c r="D294" s="50">
        <f>IFERROR(__xludf.DUMMYFUNCTION(" sum (filter (ZONE (MOIS_VERS_ANNEE (A294), address (2, C294 + 1) &amp; "":"" &amp; address (9999, C294 + 1)), month (ZONE (MOIS_VERS_ANNEE (A294), ""A2:A"")) = mod (A294 - 1, 12) + 1, ZONE (MOIS_VERS_ANNEE (A294), ""A2:A"") &lt;&gt; """"))"),14889.939999999999)</f>
        <v>14889.94</v>
      </c>
    </row>
    <row r="295" ht="12.75" customHeight="1">
      <c r="A295" s="35">
        <f t="shared" si="2"/>
        <v>59</v>
      </c>
      <c r="B295" s="40">
        <f t="shared" ref="B295:C295" si="290"> B290</f>
        <v>1</v>
      </c>
      <c r="C295" s="36">
        <f t="shared" si="290"/>
        <v>4</v>
      </c>
      <c r="D295" s="50">
        <f>IFERROR(__xludf.DUMMYFUNCTION(" sum (filter (ZONE (MOIS_VERS_ANNEE (A295), address (2, C295 + 1) &amp; "":"" &amp; address (9999, C295 + 1)), month (ZONE (MOIS_VERS_ANNEE (A295), ""A2:A"")) = mod (A295 - 1, 12) + 1, ZONE (MOIS_VERS_ANNEE (A295), ""A2:A"") &lt;&gt; """"))"),1309.31)</f>
        <v>1309.31</v>
      </c>
    </row>
    <row r="296" ht="12.75" customHeight="1">
      <c r="A296" s="35">
        <f t="shared" si="2"/>
        <v>59</v>
      </c>
      <c r="B296" s="40">
        <f t="shared" ref="B296:C296" si="291"> B291</f>
        <v>2</v>
      </c>
      <c r="C296" s="36">
        <f t="shared" si="291"/>
        <v>5</v>
      </c>
      <c r="D296" s="50">
        <f> indirect(address(match("Nbre " &amp; vlookup(A296, Mois!$A$2:$C1000, 3), ZONE(MOIS_VERS_ANNEE(A296), "K:K"), 0) - 1, 14, 4, true, MOIS_VERS_ANNEE(A296)))</f>
        <v>7180.92</v>
      </c>
    </row>
    <row r="297" ht="12.75" customHeight="1">
      <c r="A297" s="35">
        <f t="shared" si="2"/>
        <v>60</v>
      </c>
      <c r="B297" s="40">
        <f t="shared" ref="B297:C297" si="292"> B292</f>
        <v>1</v>
      </c>
      <c r="C297" s="36">
        <f t="shared" si="292"/>
        <v>1</v>
      </c>
      <c r="D297" s="50">
        <f>IFERROR(__xludf.DUMMYFUNCTION(" sum (filter (ZONE (MOIS_VERS_ANNEE (A297), address (2, C297 + 1) &amp; "":"" &amp; address (9999, C297 + 1)), month (ZONE (MOIS_VERS_ANNEE (A297), ""A2:A"")) = mod (A297 - 1, 12) + 1, ZONE (MOIS_VERS_ANNEE (A297), ""A2:A"") &lt;&gt; """"))"),1219.31)</f>
        <v>1219.31</v>
      </c>
    </row>
    <row r="298" ht="12.75" customHeight="1">
      <c r="A298" s="35">
        <f t="shared" si="2"/>
        <v>60</v>
      </c>
      <c r="B298" s="40">
        <f t="shared" ref="B298:C298" si="293"> B293</f>
        <v>1</v>
      </c>
      <c r="C298" s="36">
        <f t="shared" si="293"/>
        <v>2</v>
      </c>
      <c r="D298" s="50">
        <f>IFERROR(__xludf.DUMMYFUNCTION(" sum (filter (ZONE (MOIS_VERS_ANNEE (A298), address (2, C298 + 1) &amp; "":"" &amp; address (9999, C298 + 1)), month (ZONE (MOIS_VERS_ANNEE (A298), ""A2:A"")) = mod (A298 - 1, 12) + 1, ZONE (MOIS_VERS_ANNEE (A298), ""A2:A"") &lt;&gt; """"))"),3148.36)</f>
        <v>3148.36</v>
      </c>
    </row>
    <row r="299" ht="12.75" customHeight="1">
      <c r="A299" s="35">
        <f t="shared" si="2"/>
        <v>60</v>
      </c>
      <c r="B299" s="40">
        <f t="shared" ref="B299:C299" si="294"> B294</f>
        <v>1</v>
      </c>
      <c r="C299" s="36">
        <f t="shared" si="294"/>
        <v>3</v>
      </c>
      <c r="D299" s="50">
        <f>IFERROR(__xludf.DUMMYFUNCTION(" sum (filter (ZONE (MOIS_VERS_ANNEE (A299), address (2, C299 + 1) &amp; "":"" &amp; address (9999, C299 + 1)), month (ZONE (MOIS_VERS_ANNEE (A299), ""A2:A"")) = mod (A299 - 1, 12) + 1, ZONE (MOIS_VERS_ANNEE (A299), ""A2:A"") &lt;&gt; """"))"),8911.03)</f>
        <v>8911.03</v>
      </c>
    </row>
    <row r="300" ht="12.75" customHeight="1">
      <c r="A300" s="35">
        <f t="shared" si="2"/>
        <v>60</v>
      </c>
      <c r="B300" s="40">
        <f t="shared" ref="B300:C300" si="295"> B295</f>
        <v>1</v>
      </c>
      <c r="C300" s="36">
        <f t="shared" si="295"/>
        <v>4</v>
      </c>
      <c r="D300" s="50">
        <f>IFERROR(__xludf.DUMMYFUNCTION(" sum (filter (ZONE (MOIS_VERS_ANNEE (A300), address (2, C300 + 1) &amp; "":"" &amp; address (9999, C300 + 1)), month (ZONE (MOIS_VERS_ANNEE (A300), ""A2:A"")) = mod (A300 - 1, 12) + 1, ZONE (MOIS_VERS_ANNEE (A300), ""A2:A"") &lt;&gt; """"))"),927.24)</f>
        <v>927.24</v>
      </c>
    </row>
    <row r="301" ht="12.75" customHeight="1">
      <c r="A301" s="35">
        <f t="shared" si="2"/>
        <v>60</v>
      </c>
      <c r="B301" s="40">
        <f t="shared" ref="B301:C301" si="296"> B296</f>
        <v>2</v>
      </c>
      <c r="C301" s="36">
        <f t="shared" si="296"/>
        <v>5</v>
      </c>
      <c r="D301" s="50">
        <f> indirect(address(match("Nbre " &amp; vlookup(A301, Mois!$A$2:$C1000, 3), ZONE(MOIS_VERS_ANNEE(A301), "K:K"), 0) - 1, 14, 4, true, MOIS_VERS_ANNEE(A301)))</f>
        <v>4966.38</v>
      </c>
    </row>
    <row r="302" ht="12.75" customHeight="1">
      <c r="A302" s="35">
        <f t="shared" si="2"/>
        <v>61</v>
      </c>
      <c r="B302" s="40">
        <f t="shared" ref="B302:C302" si="297"> B297</f>
        <v>1</v>
      </c>
      <c r="C302" s="36">
        <f t="shared" si="297"/>
        <v>1</v>
      </c>
      <c r="D302" s="50">
        <f>IFERROR(__xludf.DUMMYFUNCTION(" sum (filter (ZONE (MOIS_VERS_ANNEE (A302), address (2, C302 + 1) &amp; "":"" &amp; address (9999, C302 + 1)), month (ZONE (MOIS_VERS_ANNEE (A302), ""A2:A"")) = mod (A302 - 1, 12) + 1, ZONE (MOIS_VERS_ANNEE (A302), ""A2:A"") &lt;&gt; """"))"),1939.31)</f>
        <v>1939.31</v>
      </c>
    </row>
    <row r="303" ht="12.75" customHeight="1">
      <c r="A303" s="35">
        <f t="shared" si="2"/>
        <v>61</v>
      </c>
      <c r="B303" s="40">
        <f t="shared" ref="B303:C303" si="298"> B298</f>
        <v>1</v>
      </c>
      <c r="C303" s="36">
        <f t="shared" si="298"/>
        <v>2</v>
      </c>
      <c r="D303" s="50">
        <f>IFERROR(__xludf.DUMMYFUNCTION(" sum (filter (ZONE (MOIS_VERS_ANNEE (A303), address (2, C303 + 1) &amp; "":"" &amp; address (9999, C303 + 1)), month (ZONE (MOIS_VERS_ANNEE (A303), ""A2:A"")) = mod (A303 - 1, 12) + 1, ZONE (MOIS_VERS_ANNEE (A303), ""A2:A"") &lt;&gt; """"))"),4094.2399999999993)</f>
        <v>4094.24</v>
      </c>
    </row>
    <row r="304" ht="12.75" customHeight="1">
      <c r="A304" s="35">
        <f t="shared" si="2"/>
        <v>61</v>
      </c>
      <c r="B304" s="40">
        <f t="shared" ref="B304:C304" si="299"> B299</f>
        <v>1</v>
      </c>
      <c r="C304" s="36">
        <f t="shared" si="299"/>
        <v>3</v>
      </c>
      <c r="D304" s="50">
        <f>IFERROR(__xludf.DUMMYFUNCTION(" sum (filter (ZONE (MOIS_VERS_ANNEE (A304), address (2, C304 + 1) &amp; "":"" &amp; address (9999, C304 + 1)), month (ZONE (MOIS_VERS_ANNEE (A304), ""A2:A"")) = mod (A304 - 1, 12) + 1, ZONE (MOIS_VERS_ANNEE (A304), ""A2:A"") &lt;&gt; """"))"),14567.580000000004)</f>
        <v>14567.58</v>
      </c>
    </row>
    <row r="305" ht="12.75" customHeight="1">
      <c r="A305" s="35">
        <f t="shared" si="2"/>
        <v>61</v>
      </c>
      <c r="B305" s="40">
        <f t="shared" ref="B305:C305" si="300"> B300</f>
        <v>1</v>
      </c>
      <c r="C305" s="36">
        <f t="shared" si="300"/>
        <v>4</v>
      </c>
      <c r="D305" s="50">
        <f>IFERROR(__xludf.DUMMYFUNCTION(" sum (filter (ZONE (MOIS_VERS_ANNEE (A305), address (2, C305 + 1) &amp; "":"" &amp; address (9999, C305 + 1)), month (ZONE (MOIS_VERS_ANNEE (A305), ""A2:A"")) = mod (A305 - 1, 12) + 1, ZONE (MOIS_VERS_ANNEE (A305), ""A2:A"") &lt;&gt; """"))"),1229.3)</f>
        <v>1229.3</v>
      </c>
    </row>
    <row r="306" ht="12.75" customHeight="1">
      <c r="A306" s="35">
        <f t="shared" si="2"/>
        <v>61</v>
      </c>
      <c r="B306" s="40">
        <f t="shared" ref="B306:C306" si="301"> B301</f>
        <v>2</v>
      </c>
      <c r="C306" s="36">
        <f t="shared" si="301"/>
        <v>5</v>
      </c>
      <c r="D306" s="50">
        <f> indirect(address(match("Nbre " &amp; vlookup(A306, Mois!$A$2:$C1000, 3), ZONE(MOIS_VERS_ANNEE(A306), "K:K"), 0) - 1, 14, 4, true, MOIS_VERS_ANNEE(A306)))</f>
        <v>9784.14</v>
      </c>
    </row>
    <row r="307" ht="12.75" customHeight="1">
      <c r="A307" s="35">
        <f t="shared" si="2"/>
        <v>62</v>
      </c>
      <c r="B307" s="40">
        <f t="shared" ref="B307:C307" si="302"> B302</f>
        <v>1</v>
      </c>
      <c r="C307" s="36">
        <f t="shared" si="302"/>
        <v>1</v>
      </c>
      <c r="D307" s="50">
        <f>IFERROR(__xludf.DUMMYFUNCTION(" sum (filter (ZONE (MOIS_VERS_ANNEE (A307), address (2, C307 + 1) &amp; "":"" &amp; address (9999, C307 + 1)), month (ZONE (MOIS_VERS_ANNEE (A307), ""A2:A"")) = mod (A307 - 1, 12) + 1, ZONE (MOIS_VERS_ANNEE (A307), ""A2:A"") &lt;&gt; """"))"),2750.0)</f>
        <v>2750</v>
      </c>
    </row>
    <row r="308" ht="12.75" customHeight="1">
      <c r="A308" s="35">
        <f t="shared" si="2"/>
        <v>62</v>
      </c>
      <c r="B308" s="40">
        <f t="shared" ref="B308:C308" si="303"> B303</f>
        <v>1</v>
      </c>
      <c r="C308" s="36">
        <f t="shared" si="303"/>
        <v>2</v>
      </c>
      <c r="D308" s="50">
        <f>IFERROR(__xludf.DUMMYFUNCTION(" sum (filter (ZONE (MOIS_VERS_ANNEE (A308), address (2, C308 + 1) &amp; "":"" &amp; address (9999, C308 + 1)), month (ZONE (MOIS_VERS_ANNEE (A308), ""A2:A"")) = mod (A308 - 1, 12) + 1, ZONE (MOIS_VERS_ANNEE (A308), ""A2:A"") &lt;&gt; """"))"),4318.21)</f>
        <v>4318.21</v>
      </c>
    </row>
    <row r="309" ht="12.75" customHeight="1">
      <c r="A309" s="35">
        <f t="shared" si="2"/>
        <v>62</v>
      </c>
      <c r="B309" s="40">
        <f t="shared" ref="B309:C309" si="304"> B304</f>
        <v>1</v>
      </c>
      <c r="C309" s="36">
        <f t="shared" si="304"/>
        <v>3</v>
      </c>
      <c r="D309" s="50">
        <f>IFERROR(__xludf.DUMMYFUNCTION(" sum (filter (ZONE (MOIS_VERS_ANNEE (A309), address (2, C309 + 1) &amp; "":"" &amp; address (9999, C309 + 1)), month (ZONE (MOIS_VERS_ANNEE (A309), ""A2:A"")) = mod (A309 - 1, 12) + 1, ZONE (MOIS_VERS_ANNEE (A309), ""A2:A"") &lt;&gt; """"))"),15252.41)</f>
        <v>15252.41</v>
      </c>
    </row>
    <row r="310" ht="12.75" customHeight="1">
      <c r="A310" s="35">
        <f t="shared" si="2"/>
        <v>62</v>
      </c>
      <c r="B310" s="40">
        <f t="shared" ref="B310:C310" si="305"> B305</f>
        <v>1</v>
      </c>
      <c r="C310" s="36">
        <f t="shared" si="305"/>
        <v>4</v>
      </c>
      <c r="D310" s="50">
        <f>IFERROR(__xludf.DUMMYFUNCTION(" sum (filter (ZONE (MOIS_VERS_ANNEE (A310), address (2, C310 + 1) &amp; "":"" &amp; address (9999, C310 + 1)), month (ZONE (MOIS_VERS_ANNEE (A310), ""A2:A"")) = mod (A310 - 1, 12) + 1, ZONE (MOIS_VERS_ANNEE (A310), ""A2:A"") &lt;&gt; """"))"),1718.62)</f>
        <v>1718.62</v>
      </c>
    </row>
    <row r="311" ht="12.75" customHeight="1">
      <c r="A311" s="35">
        <f t="shared" si="2"/>
        <v>62</v>
      </c>
      <c r="B311" s="40">
        <f t="shared" ref="B311:C311" si="306"> B306</f>
        <v>2</v>
      </c>
      <c r="C311" s="36">
        <f t="shared" si="306"/>
        <v>5</v>
      </c>
      <c r="D311" s="50">
        <f> indirect(address(match("Nbre " &amp; vlookup(A311, Mois!$A$2:$C1000, 3), ZONE(MOIS_VERS_ANNEE(A311), "K:K"), 0) - 1, 14, 4, true, MOIS_VERS_ANNEE(A311)))</f>
        <v>6768.97</v>
      </c>
    </row>
    <row r="312" ht="12.75" customHeight="1">
      <c r="A312" s="35">
        <f t="shared" si="2"/>
        <v>63</v>
      </c>
      <c r="B312" s="40">
        <f t="shared" ref="B312:C312" si="307"> B307</f>
        <v>1</v>
      </c>
      <c r="C312" s="36">
        <f t="shared" si="307"/>
        <v>1</v>
      </c>
      <c r="D312" s="50">
        <f>IFERROR(__xludf.DUMMYFUNCTION(" sum (filter (ZONE (MOIS_VERS_ANNEE (A312), address (2, C312 + 1) &amp; "":"" &amp; address (9999, C312 + 1)), month (ZONE (MOIS_VERS_ANNEE (A312), ""A2:A"")) = mod (A312 - 1, 12) + 1, ZONE (MOIS_VERS_ANNEE (A312), ""A2:A"") &lt;&gt; """"))"),1819.31)</f>
        <v>1819.31</v>
      </c>
    </row>
    <row r="313" ht="12.75" customHeight="1">
      <c r="A313" s="35">
        <f t="shared" si="2"/>
        <v>63</v>
      </c>
      <c r="B313" s="40">
        <f t="shared" ref="B313:C313" si="308"> B308</f>
        <v>1</v>
      </c>
      <c r="C313" s="36">
        <f t="shared" si="308"/>
        <v>2</v>
      </c>
      <c r="D313" s="50">
        <f>IFERROR(__xludf.DUMMYFUNCTION(" sum (filter (ZONE (MOIS_VERS_ANNEE (A313), address (2, C313 + 1) &amp; "":"" &amp; address (9999, C313 + 1)), month (ZONE (MOIS_VERS_ANNEE (A313), ""A2:A"")) = mod (A313 - 1, 12) + 1, ZONE (MOIS_VERS_ANNEE (A313), ""A2:A"") &lt;&gt; """"))"),4743.68)</f>
        <v>4743.68</v>
      </c>
    </row>
    <row r="314" ht="12.75" customHeight="1">
      <c r="A314" s="35">
        <f t="shared" si="2"/>
        <v>63</v>
      </c>
      <c r="B314" s="40">
        <f t="shared" ref="B314:C314" si="309"> B309</f>
        <v>1</v>
      </c>
      <c r="C314" s="36">
        <f t="shared" si="309"/>
        <v>3</v>
      </c>
      <c r="D314" s="50">
        <f>IFERROR(__xludf.DUMMYFUNCTION(" sum (filter (ZONE (MOIS_VERS_ANNEE (A314), address (2, C314 + 1) &amp; "":"" &amp; address (9999, C314 + 1)), month (ZONE (MOIS_VERS_ANNEE (A314), ""A2:A"")) = mod (A314 - 1, 12) + 1, ZONE (MOIS_VERS_ANNEE (A314), ""A2:A"") &lt;&gt; """"))"),13043.089999999998)</f>
        <v>13043.09</v>
      </c>
    </row>
    <row r="315" ht="12.75" customHeight="1">
      <c r="A315" s="35">
        <f t="shared" si="2"/>
        <v>63</v>
      </c>
      <c r="B315" s="40">
        <f t="shared" ref="B315:C315" si="310"> B310</f>
        <v>1</v>
      </c>
      <c r="C315" s="36">
        <f t="shared" si="310"/>
        <v>4</v>
      </c>
      <c r="D315" s="50">
        <f>IFERROR(__xludf.DUMMYFUNCTION(" sum (filter (ZONE (MOIS_VERS_ANNEE (A315), address (2, C315 + 1) &amp; "":"" &amp; address (9999, C315 + 1)), month (ZONE (MOIS_VERS_ANNEE (A315), ""A2:A"")) = mod (A315 - 1, 12) + 1, ZONE (MOIS_VERS_ANNEE (A315), ""A2:A"") &lt;&gt; """"))"),1512.24)</f>
        <v>1512.24</v>
      </c>
    </row>
    <row r="316" ht="12.75" customHeight="1">
      <c r="A316" s="35">
        <f t="shared" si="2"/>
        <v>63</v>
      </c>
      <c r="B316" s="40">
        <f t="shared" ref="B316:C316" si="311"> B311</f>
        <v>2</v>
      </c>
      <c r="C316" s="36">
        <f t="shared" si="311"/>
        <v>5</v>
      </c>
      <c r="D316" s="50">
        <f> indirect(address(match("Nbre " &amp; vlookup(A316, Mois!$A$2:$C1000, 3), ZONE(MOIS_VERS_ANNEE(A316), "K:K"), 0) - 1, 14, 4, true, MOIS_VERS_ANNEE(A316)))</f>
        <v>8388.97</v>
      </c>
    </row>
    <row r="317" ht="12.75" customHeight="1">
      <c r="A317" s="35">
        <f t="shared" si="2"/>
        <v>64</v>
      </c>
      <c r="B317" s="40">
        <f t="shared" ref="B317:C317" si="312"> B312</f>
        <v>1</v>
      </c>
      <c r="C317" s="36">
        <f t="shared" si="312"/>
        <v>1</v>
      </c>
      <c r="D317" s="50">
        <f>IFERROR(__xludf.DUMMYFUNCTION(" sum (filter (ZONE (MOIS_VERS_ANNEE (A317), address (2, C317 + 1) &amp; "":"" &amp; address (9999, C317 + 1)), month (ZONE (MOIS_VERS_ANNEE (A317), ""A2:A"")) = mod (A317 - 1, 12) + 1, ZONE (MOIS_VERS_ANNEE (A317), ""A2:A"") &lt;&gt; """"))"),2319.31)</f>
        <v>2319.31</v>
      </c>
    </row>
    <row r="318" ht="12.75" customHeight="1">
      <c r="A318" s="35">
        <f t="shared" si="2"/>
        <v>64</v>
      </c>
      <c r="B318" s="40">
        <f t="shared" ref="B318:C318" si="313"> B313</f>
        <v>1</v>
      </c>
      <c r="C318" s="36">
        <f t="shared" si="313"/>
        <v>2</v>
      </c>
      <c r="D318" s="50">
        <f>IFERROR(__xludf.DUMMYFUNCTION(" sum (filter (ZONE (MOIS_VERS_ANNEE (A318), address (2, C318 + 1) &amp; "":"" &amp; address (9999, C318 + 1)), month (ZONE (MOIS_VERS_ANNEE (A318), ""A2:A"")) = mod (A318 - 1, 12) + 1, ZONE (MOIS_VERS_ANNEE (A318), ""A2:A"") &lt;&gt; """"))"),4263.97)</f>
        <v>4263.97</v>
      </c>
    </row>
    <row r="319" ht="12.75" customHeight="1">
      <c r="A319" s="35">
        <f t="shared" si="2"/>
        <v>64</v>
      </c>
      <c r="B319" s="40">
        <f t="shared" ref="B319:C319" si="314"> B314</f>
        <v>1</v>
      </c>
      <c r="C319" s="36">
        <f t="shared" si="314"/>
        <v>3</v>
      </c>
      <c r="D319" s="50">
        <f>IFERROR(__xludf.DUMMYFUNCTION(" sum (filter (ZONE (MOIS_VERS_ANNEE (A319), address (2, C319 + 1) &amp; "":"" &amp; address (9999, C319 + 1)), month (ZONE (MOIS_VERS_ANNEE (A319), ""A2:A"")) = mod (A319 - 1, 12) + 1, ZONE (MOIS_VERS_ANNEE (A319), ""A2:A"") &lt;&gt; """"))"),17471.519999999997)</f>
        <v>17471.52</v>
      </c>
    </row>
    <row r="320" ht="12.75" customHeight="1">
      <c r="A320" s="35">
        <f t="shared" si="2"/>
        <v>64</v>
      </c>
      <c r="B320" s="40">
        <f t="shared" ref="B320:C320" si="315"> B315</f>
        <v>1</v>
      </c>
      <c r="C320" s="36">
        <f t="shared" si="315"/>
        <v>4</v>
      </c>
      <c r="D320" s="50">
        <f>IFERROR(__xludf.DUMMYFUNCTION(" sum (filter (ZONE (MOIS_VERS_ANNEE (A320), address (2, C320 + 1) &amp; "":"" &amp; address (9999, C320 + 1)), month (ZONE (MOIS_VERS_ANNEE (A320), ""A2:A"")) = mod (A320 - 1, 12) + 1, ZONE (MOIS_VERS_ANNEE (A320), ""A2:A"") &lt;&gt; """"))"),2058.62)</f>
        <v>2058.62</v>
      </c>
    </row>
    <row r="321" ht="12.75" customHeight="1">
      <c r="A321" s="35">
        <f t="shared" si="2"/>
        <v>64</v>
      </c>
      <c r="B321" s="40">
        <f t="shared" ref="B321:C321" si="316"> B316</f>
        <v>2</v>
      </c>
      <c r="C321" s="36">
        <f t="shared" si="316"/>
        <v>5</v>
      </c>
      <c r="D321" s="50">
        <f> indirect(address(match("Nbre " &amp; vlookup(A321, Mois!$A$2:$C1000, 3), ZONE(MOIS_VERS_ANNEE(A321), "K:K"), 0) - 1, 14, 4, true, MOIS_VERS_ANNEE(A321)))</f>
        <v>7868.28</v>
      </c>
    </row>
    <row r="322" ht="12.75" customHeight="1">
      <c r="A322" s="35">
        <f t="shared" si="2"/>
        <v>65</v>
      </c>
      <c r="B322" s="40">
        <f t="shared" ref="B322:C322" si="317"> B317</f>
        <v>1</v>
      </c>
      <c r="C322" s="36">
        <f t="shared" si="317"/>
        <v>1</v>
      </c>
      <c r="D322" s="50">
        <f>IFERROR(__xludf.DUMMYFUNCTION(" sum (filter (ZONE (MOIS_VERS_ANNEE (A322), address (2, C322 + 1) &amp; "":"" &amp; address (9999, C322 + 1)), month (ZONE (MOIS_VERS_ANNEE (A322), ""A2:A"")) = mod (A322 - 1, 12) + 1, ZONE (MOIS_VERS_ANNEE (A322), ""A2:A"") &lt;&gt; """"))"),2630.0)</f>
        <v>2630</v>
      </c>
    </row>
    <row r="323" ht="12.75" customHeight="1">
      <c r="A323" s="35">
        <f t="shared" si="2"/>
        <v>65</v>
      </c>
      <c r="B323" s="40">
        <f t="shared" ref="B323:C323" si="318"> B318</f>
        <v>1</v>
      </c>
      <c r="C323" s="36">
        <f t="shared" si="318"/>
        <v>2</v>
      </c>
      <c r="D323" s="50">
        <f>IFERROR(__xludf.DUMMYFUNCTION(" sum (filter (ZONE (MOIS_VERS_ANNEE (A323), address (2, C323 + 1) &amp; "":"" &amp; address (9999, C323 + 1)), month (ZONE (MOIS_VERS_ANNEE (A323), ""A2:A"")) = mod (A323 - 1, 12) + 1, ZONE (MOIS_VERS_ANNEE (A323), ""A2:A"") &lt;&gt; """"))"),2836.5899999999997)</f>
        <v>2836.59</v>
      </c>
    </row>
    <row r="324" ht="12.75" customHeight="1">
      <c r="A324" s="35">
        <f t="shared" si="2"/>
        <v>65</v>
      </c>
      <c r="B324" s="40">
        <f t="shared" ref="B324:C324" si="319"> B319</f>
        <v>1</v>
      </c>
      <c r="C324" s="36">
        <f t="shared" si="319"/>
        <v>3</v>
      </c>
      <c r="D324" s="50">
        <f>IFERROR(__xludf.DUMMYFUNCTION(" sum (filter (ZONE (MOIS_VERS_ANNEE (A324), address (2, C324 + 1) &amp; "":"" &amp; address (9999, C324 + 1)), month (ZONE (MOIS_VERS_ANNEE (A324), ""A2:A"")) = mod (A324 - 1, 12) + 1, ZONE (MOIS_VERS_ANNEE (A324), ""A2:A"") &lt;&gt; """"))"),11633.099999999999)</f>
        <v>11633.1</v>
      </c>
    </row>
    <row r="325" ht="12.75" customHeight="1">
      <c r="A325" s="35">
        <f t="shared" si="2"/>
        <v>65</v>
      </c>
      <c r="B325" s="40">
        <f t="shared" ref="B325:C325" si="320"> B320</f>
        <v>1</v>
      </c>
      <c r="C325" s="36">
        <f t="shared" si="320"/>
        <v>4</v>
      </c>
      <c r="D325" s="50">
        <f>IFERROR(__xludf.DUMMYFUNCTION(" sum (filter (ZONE (MOIS_VERS_ANNEE (A325), address (2, C325 + 1) &amp; "":"" &amp; address (9999, C325 + 1)), month (ZONE (MOIS_VERS_ANNEE (A325), ""A2:A"")) = mod (A325 - 1, 12) + 1, ZONE (MOIS_VERS_ANNEE (A325), ""A2:A"") &lt;&gt; """"))"),1820.0)</f>
        <v>1820</v>
      </c>
    </row>
    <row r="326" ht="12.75" customHeight="1">
      <c r="A326" s="35">
        <f t="shared" si="2"/>
        <v>65</v>
      </c>
      <c r="B326" s="40">
        <f t="shared" ref="B326:C326" si="321"> B321</f>
        <v>2</v>
      </c>
      <c r="C326" s="36">
        <f t="shared" si="321"/>
        <v>5</v>
      </c>
      <c r="D326" s="50">
        <f> indirect(address(match("Nbre " &amp; vlookup(A326, Mois!$A$2:$C1000, 3), ZONE(MOIS_VERS_ANNEE(A326), "K:K"), 0) - 1, 14, 4, true, MOIS_VERS_ANNEE(A326)))</f>
        <v>5586.21</v>
      </c>
    </row>
    <row r="327" ht="12.75" customHeight="1">
      <c r="A327" s="35">
        <f t="shared" si="2"/>
        <v>66</v>
      </c>
      <c r="B327" s="40">
        <f t="shared" ref="B327:C327" si="322"> B322</f>
        <v>1</v>
      </c>
      <c r="C327" s="36">
        <f t="shared" si="322"/>
        <v>1</v>
      </c>
      <c r="D327" s="50">
        <f>IFERROR(__xludf.DUMMYFUNCTION(" sum (filter (ZONE (MOIS_VERS_ANNEE (A327), address (2, C327 + 1) &amp; "":"" &amp; address (9999, C327 + 1)), month (ZONE (MOIS_VERS_ANNEE (A327), ""A2:A"")) = mod (A327 - 1, 12) + 1, ZONE (MOIS_VERS_ANNEE (A327), ""A2:A"") &lt;&gt; """"))"),2258.62)</f>
        <v>2258.62</v>
      </c>
    </row>
    <row r="328" ht="12.75" customHeight="1">
      <c r="A328" s="35">
        <f t="shared" si="2"/>
        <v>66</v>
      </c>
      <c r="B328" s="40">
        <f t="shared" ref="B328:C328" si="323"> B323</f>
        <v>1</v>
      </c>
      <c r="C328" s="36">
        <f t="shared" si="323"/>
        <v>2</v>
      </c>
      <c r="D328" s="50">
        <f>IFERROR(__xludf.DUMMYFUNCTION(" sum (filter (ZONE (MOIS_VERS_ANNEE (A328), address (2, C328 + 1) &amp; "":"" &amp; address (9999, C328 + 1)), month (ZONE (MOIS_VERS_ANNEE (A328), ""A2:A"")) = mod (A328 - 1, 12) + 1, ZONE (MOIS_VERS_ANNEE (A328), ""A2:A"") &lt;&gt; """"))"),3137.59)</f>
        <v>3137.59</v>
      </c>
    </row>
    <row r="329" ht="12.75" customHeight="1">
      <c r="A329" s="35">
        <f t="shared" si="2"/>
        <v>66</v>
      </c>
      <c r="B329" s="40">
        <f t="shared" ref="B329:C329" si="324"> B324</f>
        <v>1</v>
      </c>
      <c r="C329" s="36">
        <f t="shared" si="324"/>
        <v>3</v>
      </c>
      <c r="D329" s="50">
        <f>IFERROR(__xludf.DUMMYFUNCTION(" sum (filter (ZONE (MOIS_VERS_ANNEE (A329), address (2, C329 + 1) &amp; "":"" &amp; address (9999, C329 + 1)), month (ZONE (MOIS_VERS_ANNEE (A329), ""A2:A"")) = mod (A329 - 1, 12) + 1, ZONE (MOIS_VERS_ANNEE (A329), ""A2:A"") &lt;&gt; """"))"),11361.03)</f>
        <v>11361.03</v>
      </c>
    </row>
    <row r="330" ht="12.75" customHeight="1">
      <c r="A330" s="35">
        <f t="shared" si="2"/>
        <v>66</v>
      </c>
      <c r="B330" s="40">
        <f t="shared" ref="B330:C330" si="325"> B325</f>
        <v>1</v>
      </c>
      <c r="C330" s="36">
        <f t="shared" si="325"/>
        <v>4</v>
      </c>
      <c r="D330" s="50">
        <f>IFERROR(__xludf.DUMMYFUNCTION(" sum (filter (ZONE (MOIS_VERS_ANNEE (A330), address (2, C330 + 1) &amp; "":"" &amp; address (9999, C330 + 1)), month (ZONE (MOIS_VERS_ANNEE (A330), ""A2:A"")) = mod (A330 - 1, 12) + 1, ZONE (MOIS_VERS_ANNEE (A330), ""A2:A"") &lt;&gt; """"))"),1398.62)</f>
        <v>1398.62</v>
      </c>
    </row>
    <row r="331" ht="12.75" customHeight="1">
      <c r="A331" s="35">
        <f t="shared" si="2"/>
        <v>66</v>
      </c>
      <c r="B331" s="40">
        <f t="shared" ref="B331:C331" si="326"> B326</f>
        <v>2</v>
      </c>
      <c r="C331" s="36">
        <f t="shared" si="326"/>
        <v>5</v>
      </c>
      <c r="D331" s="50">
        <f> indirect(address(match("Nbre " &amp; vlookup(A331, Mois!$A$2:$C1000, 3), ZONE(MOIS_VERS_ANNEE(A331), "K:K"), 0) - 1, 14, 4, true, MOIS_VERS_ANNEE(A331)))</f>
        <v>6622.74</v>
      </c>
    </row>
    <row r="332" ht="12.75" customHeight="1">
      <c r="A332" s="35">
        <f t="shared" si="2"/>
        <v>67</v>
      </c>
      <c r="B332" s="40">
        <f t="shared" ref="B332:C332" si="327"> B327</f>
        <v>1</v>
      </c>
      <c r="C332" s="36">
        <f t="shared" si="327"/>
        <v>1</v>
      </c>
      <c r="D332" s="50">
        <f>IFERROR(__xludf.DUMMYFUNCTION(" sum (filter (ZONE (MOIS_VERS_ANNEE (A332), address (2, C332 + 1) &amp; "":"" &amp; address (9999, C332 + 1)), month (ZONE (MOIS_VERS_ANNEE (A332), ""A2:A"")) = mod (A332 - 1, 12) + 1, ZONE (MOIS_VERS_ANNEE (A332), ""A2:A"") &lt;&gt; """"))"),2460.0)</f>
        <v>2460</v>
      </c>
    </row>
    <row r="333" ht="12.75" customHeight="1">
      <c r="A333" s="35">
        <f t="shared" si="2"/>
        <v>67</v>
      </c>
      <c r="B333" s="40">
        <f t="shared" ref="B333:C333" si="328"> B328</f>
        <v>1</v>
      </c>
      <c r="C333" s="36">
        <f t="shared" si="328"/>
        <v>2</v>
      </c>
      <c r="D333" s="50">
        <f>IFERROR(__xludf.DUMMYFUNCTION(" sum (filter (ZONE (MOIS_VERS_ANNEE (A333), address (2, C333 + 1) &amp; "":"" &amp; address (9999, C333 + 1)), month (ZONE (MOIS_VERS_ANNEE (A333), ""A2:A"")) = mod (A333 - 1, 12) + 1, ZONE (MOIS_VERS_ANNEE (A333), ""A2:A"") &lt;&gt; """"))"),3671.33)</f>
        <v>3671.33</v>
      </c>
    </row>
    <row r="334" ht="12.75" customHeight="1">
      <c r="A334" s="35">
        <f t="shared" si="2"/>
        <v>67</v>
      </c>
      <c r="B334" s="40">
        <f t="shared" ref="B334:C334" si="329"> B329</f>
        <v>1</v>
      </c>
      <c r="C334" s="36">
        <f t="shared" si="329"/>
        <v>3</v>
      </c>
      <c r="D334" s="50">
        <f>IFERROR(__xludf.DUMMYFUNCTION(" sum (filter (ZONE (MOIS_VERS_ANNEE (A334), address (2, C334 + 1) &amp; "":"" &amp; address (9999, C334 + 1)), month (ZONE (MOIS_VERS_ANNEE (A334), ""A2:A"")) = mod (A334 - 1, 12) + 1, ZONE (MOIS_VERS_ANNEE (A334), ""A2:A"") &lt;&gt; """"))"),13131.03)</f>
        <v>13131.03</v>
      </c>
    </row>
    <row r="335" ht="12.75" customHeight="1">
      <c r="A335" s="35">
        <f t="shared" si="2"/>
        <v>67</v>
      </c>
      <c r="B335" s="40">
        <f t="shared" ref="B335:C335" si="330"> B330</f>
        <v>1</v>
      </c>
      <c r="C335" s="36">
        <f t="shared" si="330"/>
        <v>4</v>
      </c>
      <c r="D335" s="50">
        <f>IFERROR(__xludf.DUMMYFUNCTION(" sum (filter (ZONE (MOIS_VERS_ANNEE (A335), address (2, C335 + 1) &amp; "":"" &amp; address (9999, C335 + 1)), month (ZONE (MOIS_VERS_ANNEE (A335), ""A2:A"")) = mod (A335 - 1, 12) + 1, ZONE (MOIS_VERS_ANNEE (A335), ""A2:A"") &lt;&gt; """"))"),1410.0)</f>
        <v>1410</v>
      </c>
    </row>
    <row r="336" ht="12.75" customHeight="1">
      <c r="A336" s="35">
        <f t="shared" si="2"/>
        <v>67</v>
      </c>
      <c r="B336" s="40">
        <f t="shared" ref="B336:C336" si="331"> B331</f>
        <v>2</v>
      </c>
      <c r="C336" s="36">
        <f t="shared" si="331"/>
        <v>5</v>
      </c>
      <c r="D336" s="50">
        <f> indirect(address(match("Nbre " &amp; vlookup(A336, Mois!$A$2:$C1000, 3), ZONE(MOIS_VERS_ANNEE(A336), "K:K"), 0) - 1, 14, 4, true, MOIS_VERS_ANNEE(A336)))</f>
        <v>4732.74</v>
      </c>
    </row>
    <row r="337" ht="12.75" customHeight="1">
      <c r="A337" s="35">
        <f t="shared" si="2"/>
        <v>68</v>
      </c>
      <c r="B337" s="40">
        <f t="shared" ref="B337:C337" si="332"> B332</f>
        <v>1</v>
      </c>
      <c r="C337" s="36">
        <f t="shared" si="332"/>
        <v>1</v>
      </c>
      <c r="D337" s="50">
        <f>IFERROR(__xludf.DUMMYFUNCTION(" sum (filter (ZONE (MOIS_VERS_ANNEE (A337), address (2, C337 + 1) &amp; "":"" &amp; address (9999, C337 + 1)), month (ZONE (MOIS_VERS_ANNEE (A337), ""A2:A"")) = mod (A337 - 1, 12) + 1, ZONE (MOIS_VERS_ANNEE (A337), ""A2:A"") &lt;&gt; """"))"),220.0)</f>
        <v>220</v>
      </c>
    </row>
    <row r="338" ht="12.75" customHeight="1">
      <c r="A338" s="35">
        <f t="shared" si="2"/>
        <v>68</v>
      </c>
      <c r="B338" s="40">
        <f t="shared" ref="B338:C338" si="333"> B333</f>
        <v>1</v>
      </c>
      <c r="C338" s="36">
        <f t="shared" si="333"/>
        <v>2</v>
      </c>
      <c r="D338" s="50">
        <f>IFERROR(__xludf.DUMMYFUNCTION(" sum (filter (ZONE (MOIS_VERS_ANNEE (A338), address (2, C338 + 1) &amp; "":"" &amp; address (9999, C338 + 1)), month (ZONE (MOIS_VERS_ANNEE (A338), ""A2:A"")) = mod (A338 - 1, 12) + 1, ZONE (MOIS_VERS_ANNEE (A338), ""A2:A"") &lt;&gt; """"))"),1874.6299999999999)</f>
        <v>1874.63</v>
      </c>
    </row>
    <row r="339" ht="12.75" customHeight="1">
      <c r="A339" s="35">
        <f t="shared" si="2"/>
        <v>68</v>
      </c>
      <c r="B339" s="40">
        <f t="shared" ref="B339:C339" si="334"> B334</f>
        <v>1</v>
      </c>
      <c r="C339" s="36">
        <f t="shared" si="334"/>
        <v>3</v>
      </c>
      <c r="D339" s="50">
        <f>IFERROR(__xludf.DUMMYFUNCTION(" sum (filter (ZONE (MOIS_VERS_ANNEE (A339), address (2, C339 + 1) &amp; "":"" &amp; address (9999, C339 + 1)), month (ZONE (MOIS_VERS_ANNEE (A339), ""A2:A"")) = mod (A339 - 1, 12) + 1, ZONE (MOIS_VERS_ANNEE (A339), ""A2:A"") &lt;&gt; """"))"),5467.93)</f>
        <v>5467.93</v>
      </c>
    </row>
    <row r="340" ht="12.75" customHeight="1">
      <c r="A340" s="35">
        <f t="shared" si="2"/>
        <v>68</v>
      </c>
      <c r="B340" s="40">
        <f t="shared" ref="B340:C340" si="335"> B335</f>
        <v>1</v>
      </c>
      <c r="C340" s="36">
        <f t="shared" si="335"/>
        <v>4</v>
      </c>
      <c r="D340" s="50">
        <f>IFERROR(__xludf.DUMMYFUNCTION(" sum (filter (ZONE (MOIS_VERS_ANNEE (A340), address (2, C340 + 1) &amp; "":"" &amp; address (9999, C340 + 1)), month (ZONE (MOIS_VERS_ANNEE (A340), ""A2:A"")) = mod (A340 - 1, 12) + 1, ZONE (MOIS_VERS_ANNEE (A340), ""A2:A"") &lt;&gt; """"))"),657.9300000000001)</f>
        <v>657.93</v>
      </c>
    </row>
    <row r="341" ht="12.75" customHeight="1">
      <c r="A341" s="35">
        <f t="shared" si="2"/>
        <v>68</v>
      </c>
      <c r="B341" s="40">
        <f t="shared" ref="B341:C341" si="336"> B336</f>
        <v>2</v>
      </c>
      <c r="C341" s="36">
        <f t="shared" si="336"/>
        <v>5</v>
      </c>
      <c r="D341" s="50">
        <f> indirect(address(match("Nbre " &amp; vlookup(A341, Mois!$A$2:$C1000, 3), ZONE(MOIS_VERS_ANNEE(A341), "K:K"), 0) - 1, 14, 4, true, MOIS_VERS_ANNEE(A341)))</f>
        <v>2410.02</v>
      </c>
    </row>
    <row r="342" ht="12.75" customHeight="1">
      <c r="A342" s="35">
        <f t="shared" si="2"/>
        <v>69</v>
      </c>
      <c r="B342" s="40">
        <f t="shared" ref="B342:C342" si="337"> B337</f>
        <v>1</v>
      </c>
      <c r="C342" s="36">
        <f t="shared" si="337"/>
        <v>1</v>
      </c>
      <c r="D342" s="50">
        <f>IFERROR(__xludf.DUMMYFUNCTION(" sum (filter (ZONE (MOIS_VERS_ANNEE (A342), address (2, C342 + 1) &amp; "":"" &amp; address (9999, C342 + 1)), month (ZONE (MOIS_VERS_ANNEE (A342), ""A2:A"")) = mod (A342 - 1, 12) + 1, ZONE (MOIS_VERS_ANNEE (A342), ""A2:A"") &lt;&gt; """"))"),2528.62)</f>
        <v>2528.62</v>
      </c>
    </row>
    <row r="343" ht="12.75" customHeight="1">
      <c r="A343" s="35">
        <f t="shared" si="2"/>
        <v>69</v>
      </c>
      <c r="B343" s="40">
        <f t="shared" ref="B343:C343" si="338"> B338</f>
        <v>1</v>
      </c>
      <c r="C343" s="36">
        <f t="shared" si="338"/>
        <v>2</v>
      </c>
      <c r="D343" s="50">
        <f>IFERROR(__xludf.DUMMYFUNCTION(" sum (filter (ZONE (MOIS_VERS_ANNEE (A343), address (2, C343 + 1) &amp; "":"" &amp; address (9999, C343 + 1)), month (ZONE (MOIS_VERS_ANNEE (A343), ""A2:A"")) = mod (A343 - 1, 12) + 1, ZONE (MOIS_VERS_ANNEE (A343), ""A2:A"") &lt;&gt; """"))"),5435.359999999999)</f>
        <v>5435.36</v>
      </c>
    </row>
    <row r="344" ht="12.75" customHeight="1">
      <c r="A344" s="35">
        <f t="shared" si="2"/>
        <v>69</v>
      </c>
      <c r="B344" s="40">
        <f t="shared" ref="B344:C344" si="339"> B339</f>
        <v>1</v>
      </c>
      <c r="C344" s="36">
        <f t="shared" si="339"/>
        <v>3</v>
      </c>
      <c r="D344" s="50">
        <f>IFERROR(__xludf.DUMMYFUNCTION(" sum (filter (ZONE (MOIS_VERS_ANNEE (A344), address (2, C344 + 1) &amp; "":"" &amp; address (9999, C344 + 1)), month (ZONE (MOIS_VERS_ANNEE (A344), ""A2:A"")) = mod (A344 - 1, 12) + 1, ZONE (MOIS_VERS_ANNEE (A344), ""A2:A"") &lt;&gt; """"))"),17139.989999999998)</f>
        <v>17139.99</v>
      </c>
    </row>
    <row r="345" ht="12.75" customHeight="1">
      <c r="A345" s="35">
        <f t="shared" si="2"/>
        <v>69</v>
      </c>
      <c r="B345" s="40">
        <f t="shared" ref="B345:C345" si="340"> B340</f>
        <v>1</v>
      </c>
      <c r="C345" s="36">
        <f t="shared" si="340"/>
        <v>4</v>
      </c>
      <c r="D345" s="50">
        <f>IFERROR(__xludf.DUMMYFUNCTION(" sum (filter (ZONE (MOIS_VERS_ANNEE (A345), address (2, C345 + 1) &amp; "":"" &amp; address (9999, C345 + 1)), month (ZONE (MOIS_VERS_ANNEE (A345), ""A2:A"")) = mod (A345 - 1, 12) + 1, ZONE (MOIS_VERS_ANNEE (A345), ""A2:A"") &lt;&gt; """"))"),1970.0)</f>
        <v>1970</v>
      </c>
    </row>
    <row r="346" ht="12.75" customHeight="1">
      <c r="A346" s="35">
        <f t="shared" si="2"/>
        <v>69</v>
      </c>
      <c r="B346" s="40">
        <f t="shared" ref="B346:C346" si="341"> B341</f>
        <v>2</v>
      </c>
      <c r="C346" s="36">
        <f t="shared" si="341"/>
        <v>5</v>
      </c>
      <c r="D346" s="50">
        <f> indirect(address(match("Nbre " &amp; vlookup(A346, Mois!$A$2:$C1000, 3), ZONE(MOIS_VERS_ANNEE(A346), "K:K"), 0) - 1, 14, 4, true, MOIS_VERS_ANNEE(A346)))</f>
        <v>10095.48</v>
      </c>
    </row>
    <row r="347" ht="12.75" customHeight="1">
      <c r="A347" s="35">
        <f t="shared" si="2"/>
        <v>70</v>
      </c>
      <c r="B347" s="40">
        <f t="shared" ref="B347:C347" si="342"> B342</f>
        <v>1</v>
      </c>
      <c r="C347" s="36">
        <f t="shared" si="342"/>
        <v>1</v>
      </c>
      <c r="D347" s="50">
        <f>IFERROR(__xludf.DUMMYFUNCTION(" sum (filter (ZONE (MOIS_VERS_ANNEE (A347), address (2, C347 + 1) &amp; "":"" &amp; address (9999, C347 + 1)), month (ZONE (MOIS_VERS_ANNEE (A347), ""A2:A"")) = mod (A347 - 1, 12) + 1, ZONE (MOIS_VERS_ANNEE (A347), ""A2:A"") &lt;&gt; """"))"),2987.93)</f>
        <v>2987.93</v>
      </c>
    </row>
    <row r="348" ht="12.75" customHeight="1">
      <c r="A348" s="35">
        <f t="shared" si="2"/>
        <v>70</v>
      </c>
      <c r="B348" s="40">
        <f t="shared" ref="B348:C348" si="343"> B343</f>
        <v>1</v>
      </c>
      <c r="C348" s="36">
        <f t="shared" si="343"/>
        <v>2</v>
      </c>
      <c r="D348" s="50">
        <f>IFERROR(__xludf.DUMMYFUNCTION(" sum (filter (ZONE (MOIS_VERS_ANNEE (A348), address (2, C348 + 1) &amp; "":"" &amp; address (9999, C348 + 1)), month (ZONE (MOIS_VERS_ANNEE (A348), ""A2:A"")) = mod (A348 - 1, 12) + 1, ZONE (MOIS_VERS_ANNEE (A348), ""A2:A"") &lt;&gt; """"))"),5492.079999999999)</f>
        <v>5492.08</v>
      </c>
    </row>
    <row r="349" ht="12.75" customHeight="1">
      <c r="A349" s="35">
        <f t="shared" si="2"/>
        <v>70</v>
      </c>
      <c r="B349" s="40">
        <f t="shared" ref="B349:C349" si="344"> B344</f>
        <v>1</v>
      </c>
      <c r="C349" s="36">
        <f t="shared" si="344"/>
        <v>3</v>
      </c>
      <c r="D349" s="50">
        <f>IFERROR(__xludf.DUMMYFUNCTION(" sum (filter (ZONE (MOIS_VERS_ANNEE (A349), address (2, C349 + 1) &amp; "":"" &amp; address (9999, C349 + 1)), month (ZONE (MOIS_VERS_ANNEE (A349), ""A2:A"")) = mod (A349 - 1, 12) + 1, ZONE (MOIS_VERS_ANNEE (A349), ""A2:A"") &lt;&gt; """"))"),13066.2)</f>
        <v>13066.2</v>
      </c>
    </row>
    <row r="350" ht="12.75" customHeight="1">
      <c r="A350" s="35">
        <f t="shared" si="2"/>
        <v>70</v>
      </c>
      <c r="B350" s="40">
        <f t="shared" ref="B350:C350" si="345"> B345</f>
        <v>1</v>
      </c>
      <c r="C350" s="36">
        <f t="shared" si="345"/>
        <v>4</v>
      </c>
      <c r="D350" s="50">
        <f>IFERROR(__xludf.DUMMYFUNCTION(" sum (filter (ZONE (MOIS_VERS_ANNEE (A350), address (2, C350 + 1) &amp; "":"" &amp; address (9999, C350 + 1)), month (ZONE (MOIS_VERS_ANNEE (A350), ""A2:A"")) = mod (A350 - 1, 12) + 1, ZONE (MOIS_VERS_ANNEE (A350), ""A2:A"") &lt;&gt; """"))"),2269.31)</f>
        <v>2269.31</v>
      </c>
    </row>
    <row r="351" ht="12.75" customHeight="1">
      <c r="A351" s="35">
        <f t="shared" si="2"/>
        <v>70</v>
      </c>
      <c r="B351" s="40">
        <f t="shared" ref="B351:C351" si="346"> B346</f>
        <v>2</v>
      </c>
      <c r="C351" s="36">
        <f t="shared" si="346"/>
        <v>5</v>
      </c>
      <c r="D351" s="50">
        <f> indirect(address(match("Nbre " &amp; vlookup(A351, Mois!$A$2:$C1000, 3), ZONE(MOIS_VERS_ANNEE(A351), "K:K"), 0) - 1, 14, 4, true, MOIS_VERS_ANNEE(A351)))</f>
        <v>7935.48</v>
      </c>
    </row>
    <row r="352" ht="12.75" customHeight="1">
      <c r="A352" s="35">
        <f t="shared" si="2"/>
        <v>71</v>
      </c>
      <c r="B352" s="40">
        <f t="shared" ref="B352:C352" si="347"> B347</f>
        <v>1</v>
      </c>
      <c r="C352" s="36">
        <f t="shared" si="347"/>
        <v>1</v>
      </c>
      <c r="D352" s="50">
        <f>IFERROR(__xludf.DUMMYFUNCTION(" sum (filter (ZONE (MOIS_VERS_ANNEE (A352), address (2, C352 + 1) &amp; "":"" &amp; address (9999, C352 + 1)), month (ZONE (MOIS_VERS_ANNEE (A352), ""A2:A"")) = mod (A352 - 1, 12) + 1, ZONE (MOIS_VERS_ANNEE (A352), ""A2:A"") &lt;&gt; """"))"),1960.0)</f>
        <v>1960</v>
      </c>
    </row>
    <row r="353" ht="12.75" customHeight="1">
      <c r="A353" s="35">
        <f t="shared" si="2"/>
        <v>71</v>
      </c>
      <c r="B353" s="40">
        <f t="shared" ref="B353:C353" si="348"> B348</f>
        <v>1</v>
      </c>
      <c r="C353" s="36">
        <f t="shared" si="348"/>
        <v>2</v>
      </c>
      <c r="D353" s="50">
        <f>IFERROR(__xludf.DUMMYFUNCTION(" sum (filter (ZONE (MOIS_VERS_ANNEE (A353), address (2, C353 + 1) &amp; "":"" &amp; address (9999, C353 + 1)), month (ZONE (MOIS_VERS_ANNEE (A353), ""A2:A"")) = mod (A353 - 1, 12) + 1, ZONE (MOIS_VERS_ANNEE (A353), ""A2:A"") &lt;&gt; """"))"),5443.209999999999)</f>
        <v>5443.21</v>
      </c>
    </row>
    <row r="354" ht="12.75" customHeight="1">
      <c r="A354" s="35">
        <f t="shared" si="2"/>
        <v>71</v>
      </c>
      <c r="B354" s="40">
        <f t="shared" ref="B354:C354" si="349"> B349</f>
        <v>1</v>
      </c>
      <c r="C354" s="36">
        <f t="shared" si="349"/>
        <v>3</v>
      </c>
      <c r="D354" s="50">
        <f>IFERROR(__xludf.DUMMYFUNCTION(" sum (filter (ZONE (MOIS_VERS_ANNEE (A354), address (2, C354 + 1) &amp; "":"" &amp; address (9999, C354 + 1)), month (ZONE (MOIS_VERS_ANNEE (A354), ""A2:A"")) = mod (A354 - 1, 12) + 1, ZONE (MOIS_VERS_ANNEE (A354), ""A2:A"") &lt;&gt; """"))"),12536.2)</f>
        <v>12536.2</v>
      </c>
    </row>
    <row r="355" ht="12.75" customHeight="1">
      <c r="A355" s="35">
        <f t="shared" si="2"/>
        <v>71</v>
      </c>
      <c r="B355" s="40">
        <f t="shared" ref="B355:C355" si="350"> B350</f>
        <v>1</v>
      </c>
      <c r="C355" s="36">
        <f t="shared" si="350"/>
        <v>4</v>
      </c>
      <c r="D355" s="50">
        <f>IFERROR(__xludf.DUMMYFUNCTION(" sum (filter (ZONE (MOIS_VERS_ANNEE (A355), address (2, C355 + 1) &amp; "":"" &amp; address (9999, C355 + 1)), month (ZONE (MOIS_VERS_ANNEE (A355), ""A2:A"")) = mod (A355 - 1, 12) + 1, ZONE (MOIS_VERS_ANNEE (A355), ""A2:A"") &lt;&gt; """"))"),1549.31)</f>
        <v>1549.31</v>
      </c>
    </row>
    <row r="356" ht="12.75" customHeight="1">
      <c r="A356" s="35">
        <f t="shared" si="2"/>
        <v>71</v>
      </c>
      <c r="B356" s="40">
        <f t="shared" ref="B356:C356" si="351"> B351</f>
        <v>2</v>
      </c>
      <c r="C356" s="36">
        <f t="shared" si="351"/>
        <v>5</v>
      </c>
      <c r="D356" s="50">
        <f> indirect(address(match("Nbre " &amp; vlookup(A356, Mois!$A$2:$C1000, 3), ZONE(MOIS_VERS_ANNEE(A356), "K:K"), 0) - 1, 14, 4, true, MOIS_VERS_ANNEE(A356)))</f>
        <v>6028.2</v>
      </c>
    </row>
    <row r="357" ht="12.75" customHeight="1">
      <c r="A357" s="35">
        <f t="shared" si="2"/>
        <v>72</v>
      </c>
      <c r="B357" s="40">
        <f t="shared" ref="B357:C357" si="352"> B352</f>
        <v>1</v>
      </c>
      <c r="C357" s="36">
        <f t="shared" si="352"/>
        <v>1</v>
      </c>
      <c r="D357" s="50">
        <f>IFERROR(__xludf.DUMMYFUNCTION(" sum (filter (ZONE (MOIS_VERS_ANNEE (A357), address (2, C357 + 1) &amp; "":"" &amp; address (9999, C357 + 1)), month (ZONE (MOIS_VERS_ANNEE (A357), ""A2:A"")) = mod (A357 - 1, 12) + 1, ZONE (MOIS_VERS_ANNEE (A357), ""A2:A"") &lt;&gt; """"))"),1460.0)</f>
        <v>1460</v>
      </c>
    </row>
    <row r="358" ht="12.75" customHeight="1">
      <c r="A358" s="35">
        <f t="shared" si="2"/>
        <v>72</v>
      </c>
      <c r="B358" s="40">
        <f t="shared" ref="B358:C358" si="353"> B353</f>
        <v>1</v>
      </c>
      <c r="C358" s="36">
        <f t="shared" si="353"/>
        <v>2</v>
      </c>
      <c r="D358" s="50">
        <f>IFERROR(__xludf.DUMMYFUNCTION(" sum (filter (ZONE (MOIS_VERS_ANNEE (A358), address (2, C358 + 1) &amp; "":"" &amp; address (9999, C358 + 1)), month (ZONE (MOIS_VERS_ANNEE (A358), ""A2:A"")) = mod (A358 - 1, 12) + 1, ZONE (MOIS_VERS_ANNEE (A358), ""A2:A"") &lt;&gt; """"))"),3572.09)</f>
        <v>3572.09</v>
      </c>
    </row>
    <row r="359" ht="12.75" customHeight="1">
      <c r="A359" s="35">
        <f t="shared" si="2"/>
        <v>72</v>
      </c>
      <c r="B359" s="40">
        <f t="shared" ref="B359:C359" si="354"> B354</f>
        <v>1</v>
      </c>
      <c r="C359" s="36">
        <f t="shared" si="354"/>
        <v>3</v>
      </c>
      <c r="D359" s="50">
        <f>IFERROR(__xludf.DUMMYFUNCTION(" sum (filter (ZONE (MOIS_VERS_ANNEE (A359), address (2, C359 + 1) &amp; "":"" &amp; address (9999, C359 + 1)), month (ZONE (MOIS_VERS_ANNEE (A359), ""A2:A"")) = mod (A359 - 1, 12) + 1, ZONE (MOIS_VERS_ANNEE (A359), ""A2:A"") &lt;&gt; """"))"),10357.58)</f>
        <v>10357.58</v>
      </c>
    </row>
    <row r="360" ht="12.75" customHeight="1">
      <c r="A360" s="35">
        <f t="shared" si="2"/>
        <v>72</v>
      </c>
      <c r="B360" s="40">
        <f t="shared" ref="B360:C360" si="355"> B355</f>
        <v>1</v>
      </c>
      <c r="C360" s="36">
        <f t="shared" si="355"/>
        <v>4</v>
      </c>
      <c r="D360" s="50">
        <f>IFERROR(__xludf.DUMMYFUNCTION(" sum (filter (ZONE (MOIS_VERS_ANNEE (A360), address (2, C360 + 1) &amp; "":"" &amp; address (9999, C360 + 1)), month (ZONE (MOIS_VERS_ANNEE (A360), ""A2:A"")) = mod (A360 - 1, 12) + 1, ZONE (MOIS_VERS_ANNEE (A360), ""A2:A"") &lt;&gt; """"))"),1159.31)</f>
        <v>1159.31</v>
      </c>
    </row>
    <row r="361" ht="12.75" customHeight="1">
      <c r="A361" s="35">
        <f t="shared" si="2"/>
        <v>72</v>
      </c>
      <c r="B361" s="40">
        <f t="shared" ref="B361:C361" si="356"> B356</f>
        <v>2</v>
      </c>
      <c r="C361" s="36">
        <f t="shared" si="356"/>
        <v>5</v>
      </c>
      <c r="D361" s="50">
        <f> indirect(address(match("Nbre " &amp; vlookup(A361, Mois!$A$2:$C1000, 3), ZONE(MOIS_VERS_ANNEE(A361), "K:K"), 0) - 1, 14, 4, true, MOIS_VERS_ANNEE(A361)))</f>
        <v>3904.56</v>
      </c>
    </row>
    <row r="362" ht="12.75" customHeight="1">
      <c r="A362" s="35">
        <f t="shared" si="2"/>
        <v>73</v>
      </c>
      <c r="B362" s="40">
        <f t="shared" ref="B362:C362" si="357"> B357</f>
        <v>1</v>
      </c>
      <c r="C362" s="36">
        <f t="shared" si="357"/>
        <v>1</v>
      </c>
      <c r="D362" s="50">
        <f>IFERROR(__xludf.DUMMYFUNCTION(" sum (filter (ZONE (MOIS_VERS_ANNEE (A362), address (2, C362 + 1) &amp; "":"" &amp; address (9999, C362 + 1)), month (ZONE (MOIS_VERS_ANNEE (A362), ""A2:A"")) = mod (A362 - 1, 12) + 1, ZONE (MOIS_VERS_ANNEE (A362), ""A2:A"") &lt;&gt; """"))"),2110.0)</f>
        <v>2110</v>
      </c>
    </row>
    <row r="363" ht="12.75" customHeight="1">
      <c r="A363" s="35">
        <f t="shared" si="2"/>
        <v>73</v>
      </c>
      <c r="B363" s="40">
        <f t="shared" ref="B363:C363" si="358"> B358</f>
        <v>1</v>
      </c>
      <c r="C363" s="36">
        <f t="shared" si="358"/>
        <v>2</v>
      </c>
      <c r="D363" s="50">
        <f>IFERROR(__xludf.DUMMYFUNCTION(" sum (filter (ZONE (MOIS_VERS_ANNEE (A363), address (2, C363 + 1) &amp; "":"" &amp; address (9999, C363 + 1)), month (ZONE (MOIS_VERS_ANNEE (A363), ""A2:A"")) = mod (A363 - 1, 12) + 1, ZONE (MOIS_VERS_ANNEE (A363), ""A2:A"") &lt;&gt; """"))"),3552.2899999999995)</f>
        <v>3552.29</v>
      </c>
    </row>
    <row r="364" ht="12.75" customHeight="1">
      <c r="A364" s="35">
        <f t="shared" si="2"/>
        <v>73</v>
      </c>
      <c r="B364" s="40">
        <f t="shared" ref="B364:C364" si="359"> B359</f>
        <v>1</v>
      </c>
      <c r="C364" s="36">
        <f t="shared" si="359"/>
        <v>3</v>
      </c>
      <c r="D364" s="50">
        <f>IFERROR(__xludf.DUMMYFUNCTION(" sum (filter (ZONE (MOIS_VERS_ANNEE (A364), address (2, C364 + 1) &amp; "":"" &amp; address (9999, C364 + 1)), month (ZONE (MOIS_VERS_ANNEE (A364), ""A2:A"")) = mod (A364 - 1, 12) + 1, ZONE (MOIS_VERS_ANNEE (A364), ""A2:A"") &lt;&gt; """"))"),13921.029999999999)</f>
        <v>13921.03</v>
      </c>
    </row>
    <row r="365" ht="12.75" customHeight="1">
      <c r="A365" s="35">
        <f t="shared" si="2"/>
        <v>73</v>
      </c>
      <c r="B365" s="40">
        <f t="shared" ref="B365:C365" si="360"> B360</f>
        <v>1</v>
      </c>
      <c r="C365" s="36">
        <f t="shared" si="360"/>
        <v>4</v>
      </c>
      <c r="D365" s="50">
        <f>IFERROR(__xludf.DUMMYFUNCTION(" sum (filter (ZONE (MOIS_VERS_ANNEE (A365), address (2, C365 + 1) &amp; "":"" &amp; address (9999, C365 + 1)), month (ZONE (MOIS_VERS_ANNEE (A365), ""A2:A"")) = mod (A365 - 1, 12) + 1, ZONE (MOIS_VERS_ANNEE (A365), ""A2:A"") &lt;&gt; """"))"),1399.31)</f>
        <v>1399.31</v>
      </c>
    </row>
    <row r="366" ht="12.75" customHeight="1">
      <c r="A366" s="35">
        <f t="shared" si="2"/>
        <v>73</v>
      </c>
      <c r="B366" s="40">
        <f t="shared" ref="B366:C366" si="361"> B361</f>
        <v>2</v>
      </c>
      <c r="C366" s="36">
        <f t="shared" si="361"/>
        <v>5</v>
      </c>
      <c r="D366" s="50">
        <f> indirect(address(match("Nbre " &amp; vlookup(A366, Mois!$A$2:$C1000, 3), ZONE(MOIS_VERS_ANNEE(A366), "K:K"), 0) - 1, 14, 4, true, MOIS_VERS_ANNEE(A366)))</f>
        <v>7874.83</v>
      </c>
    </row>
    <row r="367" ht="12.75" customHeight="1">
      <c r="A367" s="35">
        <f t="shared" si="2"/>
        <v>74</v>
      </c>
      <c r="B367" s="40">
        <f t="shared" ref="B367:C367" si="362"> B362</f>
        <v>1</v>
      </c>
      <c r="C367" s="36">
        <f t="shared" si="362"/>
        <v>1</v>
      </c>
      <c r="D367" s="50">
        <f>IFERROR(__xludf.DUMMYFUNCTION(" sum (filter (ZONE (MOIS_VERS_ANNEE (A367), address (2, C367 + 1) &amp; "":"" &amp; address (9999, C367 + 1)), month (ZONE (MOIS_VERS_ANNEE (A367), ""A2:A"")) = mod (A367 - 1, 12) + 1, ZONE (MOIS_VERS_ANNEE (A367), ""A2:A"") &lt;&gt; """"))"),2178.62)</f>
        <v>2178.62</v>
      </c>
    </row>
    <row r="368" ht="12.75" customHeight="1">
      <c r="A368" s="35">
        <f t="shared" si="2"/>
        <v>74</v>
      </c>
      <c r="B368" s="40">
        <f t="shared" ref="B368:C368" si="363"> B363</f>
        <v>1</v>
      </c>
      <c r="C368" s="36">
        <f t="shared" si="363"/>
        <v>2</v>
      </c>
      <c r="D368" s="50">
        <f>IFERROR(__xludf.DUMMYFUNCTION(" sum (filter (ZONE (MOIS_VERS_ANNEE (A368), address (2, C368 + 1) &amp; "":"" &amp; address (9999, C368 + 1)), month (ZONE (MOIS_VERS_ANNEE (A368), ""A2:A"")) = mod (A368 - 1, 12) + 1, ZONE (MOIS_VERS_ANNEE (A368), ""A2:A"") &lt;&gt; """"))"),4382.94)</f>
        <v>4382.94</v>
      </c>
    </row>
    <row r="369" ht="12.75" customHeight="1">
      <c r="A369" s="35">
        <f t="shared" si="2"/>
        <v>74</v>
      </c>
      <c r="B369" s="40">
        <f t="shared" ref="B369:C369" si="364"> B364</f>
        <v>1</v>
      </c>
      <c r="C369" s="36">
        <f t="shared" si="364"/>
        <v>3</v>
      </c>
      <c r="D369" s="50">
        <f>IFERROR(__xludf.DUMMYFUNCTION(" sum (filter (ZONE (MOIS_VERS_ANNEE (A369), address (2, C369 + 1) &amp; "":"" &amp; address (9999, C369 + 1)), month (ZONE (MOIS_VERS_ANNEE (A369), ""A2:A"")) = mod (A369 - 1, 12) + 1, ZONE (MOIS_VERS_ANNEE (A369), ""A2:A"") &lt;&gt; """"))"),15995.859999999999)</f>
        <v>15995.86</v>
      </c>
    </row>
    <row r="370" ht="12.75" customHeight="1">
      <c r="A370" s="35">
        <f t="shared" si="2"/>
        <v>74</v>
      </c>
      <c r="B370" s="40">
        <f t="shared" ref="B370:C370" si="365"> B365</f>
        <v>1</v>
      </c>
      <c r="C370" s="36">
        <f t="shared" si="365"/>
        <v>4</v>
      </c>
      <c r="D370" s="50">
        <f>IFERROR(__xludf.DUMMYFUNCTION(" sum (filter (ZONE (MOIS_VERS_ANNEE (A370), address (2, C370 + 1) &amp; "":"" &amp; address (9999, C370 + 1)), month (ZONE (MOIS_VERS_ANNEE (A370), ""A2:A"")) = mod (A370 - 1, 12) + 1, ZONE (MOIS_VERS_ANNEE (A370), ""A2:A"") &lt;&gt; """"))"),989.31)</f>
        <v>989.31</v>
      </c>
    </row>
    <row r="371" ht="12.75" customHeight="1">
      <c r="A371" s="35">
        <f t="shared" si="2"/>
        <v>74</v>
      </c>
      <c r="B371" s="40">
        <f t="shared" ref="B371:C371" si="366"> B366</f>
        <v>2</v>
      </c>
      <c r="C371" s="36">
        <f t="shared" si="366"/>
        <v>5</v>
      </c>
      <c r="D371" s="50">
        <f> indirect(address(match("Nbre " &amp; vlookup(A371, Mois!$A$2:$C1000, 3), ZONE(MOIS_VERS_ANNEE(A371), "K:K"), 0) - 1, 14, 4, true, MOIS_VERS_ANNEE(A371)))</f>
        <v>7559.66</v>
      </c>
    </row>
    <row r="372" ht="12.75" customHeight="1">
      <c r="A372" s="35">
        <f t="shared" si="2"/>
        <v>75</v>
      </c>
      <c r="B372" s="40">
        <f t="shared" ref="B372:C372" si="367"> B367</f>
        <v>1</v>
      </c>
      <c r="C372" s="36">
        <f t="shared" si="367"/>
        <v>1</v>
      </c>
      <c r="D372" s="50">
        <f>IFERROR(__xludf.DUMMYFUNCTION(" sum (filter (ZONE (MOIS_VERS_ANNEE (A372), address (2, C372 + 1) &amp; "":"" &amp; address (9999, C372 + 1)), month (ZONE (MOIS_VERS_ANNEE (A372), ""A2:A"")) = mod (A372 - 1, 12) + 1, ZONE (MOIS_VERS_ANNEE (A372), ""A2:A"") &lt;&gt; """"))"),2700.0)</f>
        <v>2700</v>
      </c>
    </row>
    <row r="373" ht="12.75" customHeight="1">
      <c r="A373" s="35">
        <f t="shared" si="2"/>
        <v>75</v>
      </c>
      <c r="B373" s="40">
        <f t="shared" ref="B373:C373" si="368"> B368</f>
        <v>1</v>
      </c>
      <c r="C373" s="36">
        <f t="shared" si="368"/>
        <v>2</v>
      </c>
      <c r="D373" s="50">
        <f>IFERROR(__xludf.DUMMYFUNCTION(" sum (filter (ZONE (MOIS_VERS_ANNEE (A373), address (2, C373 + 1) &amp; "":"" &amp; address (9999, C373 + 1)), month (ZONE (MOIS_VERS_ANNEE (A373), ""A2:A"")) = mod (A373 - 1, 12) + 1, ZONE (MOIS_VERS_ANNEE (A373), ""A2:A"") &lt;&gt; """"))"),5754.989999999999)</f>
        <v>5754.99</v>
      </c>
    </row>
    <row r="374" ht="12.75" customHeight="1">
      <c r="A374" s="35">
        <f t="shared" si="2"/>
        <v>75</v>
      </c>
      <c r="B374" s="40">
        <f t="shared" ref="B374:C374" si="369"> B369</f>
        <v>1</v>
      </c>
      <c r="C374" s="36">
        <f t="shared" si="369"/>
        <v>3</v>
      </c>
      <c r="D374" s="50">
        <f>IFERROR(__xludf.DUMMYFUNCTION(" sum (filter (ZONE (MOIS_VERS_ANNEE (A374), address (2, C374 + 1) &amp; "":"" &amp; address (9999, C374 + 1)), month (ZONE (MOIS_VERS_ANNEE (A374), ""A2:A"")) = mod (A374 - 1, 12) + 1, ZONE (MOIS_VERS_ANNEE (A374), ""A2:A"") &lt;&gt; """"))"),16859.65)</f>
        <v>16859.65</v>
      </c>
    </row>
    <row r="375" ht="12.75" customHeight="1">
      <c r="A375" s="35">
        <f t="shared" si="2"/>
        <v>75</v>
      </c>
      <c r="B375" s="40">
        <f t="shared" ref="B375:C375" si="370"> B370</f>
        <v>1</v>
      </c>
      <c r="C375" s="36">
        <f t="shared" si="370"/>
        <v>4</v>
      </c>
      <c r="D375" s="50">
        <f>IFERROR(__xludf.DUMMYFUNCTION(" sum (filter (ZONE (MOIS_VERS_ANNEE (A375), address (2, C375 + 1) &amp; "":"" &amp; address (9999, C375 + 1)), month (ZONE (MOIS_VERS_ANNEE (A375), ""A2:A"")) = mod (A375 - 1, 12) + 1, ZONE (MOIS_VERS_ANNEE (A375), ""A2:A"") &lt;&gt; """"))"),1827.0)</f>
        <v>1827</v>
      </c>
    </row>
    <row r="376" ht="12.75" customHeight="1">
      <c r="A376" s="35">
        <f t="shared" si="2"/>
        <v>75</v>
      </c>
      <c r="B376" s="40">
        <f t="shared" ref="B376:C376" si="371"> B371</f>
        <v>2</v>
      </c>
      <c r="C376" s="36">
        <f t="shared" si="371"/>
        <v>5</v>
      </c>
      <c r="D376" s="50">
        <f> indirect(address(match("Nbre " &amp; vlookup(A376, Mois!$A$2:$C1000, 3), ZONE(MOIS_VERS_ANNEE(A376), "K:K"), 0) - 1, 14, 4, true, MOIS_VERS_ANNEE(A376)))</f>
        <v>7289.66</v>
      </c>
    </row>
    <row r="377" ht="12.75" customHeight="1">
      <c r="A377" s="35">
        <f t="shared" si="2"/>
        <v>76</v>
      </c>
      <c r="B377" s="40">
        <f t="shared" ref="B377:C377" si="372"> B372</f>
        <v>1</v>
      </c>
      <c r="C377" s="36">
        <f t="shared" si="372"/>
        <v>1</v>
      </c>
      <c r="D377" s="50">
        <f>IFERROR(__xludf.DUMMYFUNCTION(" sum (filter (ZONE (MOIS_VERS_ANNEE (A377), address (2, C377 + 1) &amp; "":"" &amp; address (9999, C377 + 1)), month (ZONE (MOIS_VERS_ANNEE (A377), ""A2:A"")) = mod (A377 - 1, 12) + 1, ZONE (MOIS_VERS_ANNEE (A377), ""A2:A"") &lt;&gt; """"))"),2380.0)</f>
        <v>2380</v>
      </c>
    </row>
    <row r="378" ht="12.75" customHeight="1">
      <c r="A378" s="35">
        <f t="shared" si="2"/>
        <v>76</v>
      </c>
      <c r="B378" s="40">
        <f t="shared" ref="B378:C378" si="373"> B373</f>
        <v>1</v>
      </c>
      <c r="C378" s="36">
        <f t="shared" si="373"/>
        <v>2</v>
      </c>
      <c r="D378" s="50">
        <f>IFERROR(__xludf.DUMMYFUNCTION(" sum (filter (ZONE (MOIS_VERS_ANNEE (A378), address (2, C378 + 1) &amp; "":"" &amp; address (9999, C378 + 1)), month (ZONE (MOIS_VERS_ANNEE (A378), ""A2:A"")) = mod (A378 - 1, 12) + 1, ZONE (MOIS_VERS_ANNEE (A378), ""A2:A"") &lt;&gt; """"))"),3986.1200000000003)</f>
        <v>3986.12</v>
      </c>
    </row>
    <row r="379" ht="12.75" customHeight="1">
      <c r="A379" s="35">
        <f t="shared" si="2"/>
        <v>76</v>
      </c>
      <c r="B379" s="40">
        <f t="shared" ref="B379:C379" si="374"> B374</f>
        <v>1</v>
      </c>
      <c r="C379" s="36">
        <f t="shared" si="374"/>
        <v>3</v>
      </c>
      <c r="D379" s="50">
        <f>IFERROR(__xludf.DUMMYFUNCTION(" sum (filter (ZONE (MOIS_VERS_ANNEE (A379), address (2, C379 + 1) &amp; "":"" &amp; address (9999, C379 + 1)), month (ZONE (MOIS_VERS_ANNEE (A379), ""A2:A"")) = mod (A379 - 1, 12) + 1, ZONE (MOIS_VERS_ANNEE (A379), ""A2:A"") &lt;&gt; """"))"),13051.719999999998)</f>
        <v>13051.72</v>
      </c>
    </row>
    <row r="380" ht="12.75" customHeight="1">
      <c r="A380" s="35">
        <f t="shared" si="2"/>
        <v>76</v>
      </c>
      <c r="B380" s="40">
        <f t="shared" ref="B380:C380" si="375"> B375</f>
        <v>1</v>
      </c>
      <c r="C380" s="36">
        <f t="shared" si="375"/>
        <v>4</v>
      </c>
      <c r="D380" s="50">
        <f>IFERROR(__xludf.DUMMYFUNCTION(" sum (filter (ZONE (MOIS_VERS_ANNEE (A380), address (2, C380 + 1) &amp; "":"" &amp; address (9999, C380 + 1)), month (ZONE (MOIS_VERS_ANNEE (A380), ""A2:A"")) = mod (A380 - 1, 12) + 1, ZONE (MOIS_VERS_ANNEE (A380), ""A2:A"") &lt;&gt; """"))"),1850.0)</f>
        <v>1850</v>
      </c>
    </row>
    <row r="381" ht="12.75" customHeight="1">
      <c r="A381" s="35">
        <f t="shared" si="2"/>
        <v>76</v>
      </c>
      <c r="B381" s="40">
        <f t="shared" ref="B381:C381" si="376"> B376</f>
        <v>2</v>
      </c>
      <c r="C381" s="36">
        <f t="shared" si="376"/>
        <v>5</v>
      </c>
      <c r="D381" s="50">
        <f> indirect(address(match("Nbre " &amp; vlookup(A381, Mois!$A$2:$C1000, 3), ZONE(MOIS_VERS_ANNEE(A381), "K:K"), 0) - 1, 14, 4, true, MOIS_VERS_ANNEE(A381)))</f>
        <v>6826.9</v>
      </c>
    </row>
    <row r="382" ht="12.75" customHeight="1">
      <c r="A382" s="35">
        <f t="shared" si="2"/>
        <v>77</v>
      </c>
      <c r="B382" s="40">
        <f t="shared" ref="B382:C382" si="377"> B377</f>
        <v>1</v>
      </c>
      <c r="C382" s="36">
        <f t="shared" si="377"/>
        <v>1</v>
      </c>
      <c r="D382" s="50">
        <f>IFERROR(__xludf.DUMMYFUNCTION(" sum (filter (ZONE (MOIS_VERS_ANNEE (A382), address (2, C382 + 1) &amp; "":"" &amp; address (9999, C382 + 1)), month (ZONE (MOIS_VERS_ANNEE (A382), ""A2:A"")) = mod (A382 - 1, 12) + 1, ZONE (MOIS_VERS_ANNEE (A382), ""A2:A"") &lt;&gt; """"))"),1739.31)</f>
        <v>1739.31</v>
      </c>
    </row>
    <row r="383" ht="12.75" customHeight="1">
      <c r="A383" s="35">
        <f t="shared" si="2"/>
        <v>77</v>
      </c>
      <c r="B383" s="40">
        <f t="shared" ref="B383:C383" si="378"> B378</f>
        <v>1</v>
      </c>
      <c r="C383" s="36">
        <f t="shared" si="378"/>
        <v>2</v>
      </c>
      <c r="D383" s="50">
        <f>IFERROR(__xludf.DUMMYFUNCTION(" sum (filter (ZONE (MOIS_VERS_ANNEE (A383), address (2, C383 + 1) &amp; "":"" &amp; address (9999, C383 + 1)), month (ZONE (MOIS_VERS_ANNEE (A383), ""A2:A"")) = mod (A383 - 1, 12) + 1, ZONE (MOIS_VERS_ANNEE (A383), ""A2:A"") &lt;&gt; """"))"),3151.3500000000004)</f>
        <v>3151.35</v>
      </c>
    </row>
    <row r="384" ht="12.75" customHeight="1">
      <c r="A384" s="35">
        <f t="shared" si="2"/>
        <v>77</v>
      </c>
      <c r="B384" s="40">
        <f t="shared" ref="B384:C384" si="379"> B379</f>
        <v>1</v>
      </c>
      <c r="C384" s="36">
        <f t="shared" si="379"/>
        <v>3</v>
      </c>
      <c r="D384" s="50">
        <f>IFERROR(__xludf.DUMMYFUNCTION(" sum (filter (ZONE (MOIS_VERS_ANNEE (A384), address (2, C384 + 1) &amp; "":"" &amp; address (9999, C384 + 1)), month (ZONE (MOIS_VERS_ANNEE (A384), ""A2:A"")) = mod (A384 - 1, 12) + 1, ZONE (MOIS_VERS_ANNEE (A384), ""A2:A"") &lt;&gt; """"))"),10693.17)</f>
        <v>10693.17</v>
      </c>
    </row>
    <row r="385" ht="12.75" customHeight="1">
      <c r="A385" s="35">
        <f t="shared" si="2"/>
        <v>77</v>
      </c>
      <c r="B385" s="40">
        <f t="shared" ref="B385:C385" si="380"> B380</f>
        <v>1</v>
      </c>
      <c r="C385" s="36">
        <f t="shared" si="380"/>
        <v>4</v>
      </c>
      <c r="D385" s="50">
        <f>IFERROR(__xludf.DUMMYFUNCTION(" sum (filter (ZONE (MOIS_VERS_ANNEE (A385), address (2, C385 + 1) &amp; "":"" &amp; address (9999, C385 + 1)), month (ZONE (MOIS_VERS_ANNEE (A385), ""A2:A"")) = mod (A385 - 1, 12) + 1, ZONE (MOIS_VERS_ANNEE (A385), ""A2:A"") &lt;&gt; """"))"),1074.31)</f>
        <v>1074.31</v>
      </c>
    </row>
    <row r="386" ht="12.75" customHeight="1">
      <c r="A386" s="35">
        <f t="shared" si="2"/>
        <v>77</v>
      </c>
      <c r="B386" s="40">
        <f t="shared" ref="B386:C386" si="381"> B381</f>
        <v>2</v>
      </c>
      <c r="C386" s="36">
        <f t="shared" si="381"/>
        <v>5</v>
      </c>
      <c r="D386" s="50">
        <f> indirect(address(match("Nbre " &amp; vlookup(A386, Mois!$A$2:$C1000, 3), ZONE(MOIS_VERS_ANNEE(A386), "K:K"), 0) - 1, 14, 4, true, MOIS_VERS_ANNEE(A386)))</f>
        <v>5328.97</v>
      </c>
    </row>
    <row r="387" ht="12.75" customHeight="1">
      <c r="A387" s="35">
        <f t="shared" si="2"/>
        <v>78</v>
      </c>
      <c r="B387" s="40">
        <f t="shared" ref="B387:C387" si="382"> B382</f>
        <v>1</v>
      </c>
      <c r="C387" s="36">
        <f t="shared" si="382"/>
        <v>1</v>
      </c>
      <c r="D387" s="50">
        <f>IFERROR(__xludf.DUMMYFUNCTION(" sum (filter (ZONE (MOIS_VERS_ANNEE (A387), address (2, C387 + 1) &amp; "":"" &amp; address (9999, C387 + 1)), month (ZONE (MOIS_VERS_ANNEE (A387), ""A2:A"")) = mod (A387 - 1, 12) + 1, ZONE (MOIS_VERS_ANNEE (A387), ""A2:A"") &lt;&gt; """"))"),1900.0)</f>
        <v>1900</v>
      </c>
    </row>
    <row r="388" ht="12.75" customHeight="1">
      <c r="A388" s="35">
        <f t="shared" si="2"/>
        <v>78</v>
      </c>
      <c r="B388" s="40">
        <f t="shared" ref="B388:C388" si="383"> B383</f>
        <v>1</v>
      </c>
      <c r="C388" s="36">
        <f t="shared" si="383"/>
        <v>2</v>
      </c>
      <c r="D388" s="50">
        <f>IFERROR(__xludf.DUMMYFUNCTION(" sum (filter (ZONE (MOIS_VERS_ANNEE (A388), address (2, C388 + 1) &amp; "":"" &amp; address (9999, C388 + 1)), month (ZONE (MOIS_VERS_ANNEE (A388), ""A2:A"")) = mod (A388 - 1, 12) + 1, ZONE (MOIS_VERS_ANNEE (A388), ""A2:A"") &lt;&gt; """"))"),4007.64)</f>
        <v>4007.64</v>
      </c>
    </row>
    <row r="389" ht="12.75" customHeight="1">
      <c r="A389" s="35">
        <f t="shared" si="2"/>
        <v>78</v>
      </c>
      <c r="B389" s="40">
        <f t="shared" ref="B389:C389" si="384"> B384</f>
        <v>1</v>
      </c>
      <c r="C389" s="36">
        <f t="shared" si="384"/>
        <v>3</v>
      </c>
      <c r="D389" s="50">
        <f>IFERROR(__xludf.DUMMYFUNCTION(" sum (filter (ZONE (MOIS_VERS_ANNEE (A389), address (2, C389 + 1) &amp; "":"" &amp; address (9999, C389 + 1)), month (ZONE (MOIS_VERS_ANNEE (A389), ""A2:A"")) = mod (A389 - 1, 12) + 1, ZONE (MOIS_VERS_ANNEE (A389), ""A2:A"") &lt;&gt; """"))"),15141.56)</f>
        <v>15141.56</v>
      </c>
    </row>
    <row r="390" ht="12.75" customHeight="1">
      <c r="A390" s="35">
        <f t="shared" si="2"/>
        <v>78</v>
      </c>
      <c r="B390" s="40">
        <f t="shared" ref="B390:C390" si="385"> B385</f>
        <v>1</v>
      </c>
      <c r="C390" s="36">
        <f t="shared" si="385"/>
        <v>4</v>
      </c>
      <c r="D390" s="50">
        <f>IFERROR(__xludf.DUMMYFUNCTION(" sum (filter (ZONE (MOIS_VERS_ANNEE (A390), address (2, C390 + 1) &amp; "":"" &amp; address (9999, C390 + 1)), month (ZONE (MOIS_VERS_ANNEE (A390), ""A2:A"")) = mod (A390 - 1, 12) + 1, ZONE (MOIS_VERS_ANNEE (A390), ""A2:A"") &lt;&gt; """"))"),1349.31)</f>
        <v>1349.31</v>
      </c>
    </row>
    <row r="391" ht="12.75" customHeight="1">
      <c r="A391" s="35">
        <f t="shared" si="2"/>
        <v>78</v>
      </c>
      <c r="B391" s="40">
        <f t="shared" ref="B391:C391" si="386"> B386</f>
        <v>2</v>
      </c>
      <c r="C391" s="36">
        <f t="shared" si="386"/>
        <v>5</v>
      </c>
      <c r="D391" s="50">
        <f> indirect(address(match("Nbre " &amp; vlookup(A391, Mois!$A$2:$C1000, 3), ZONE(MOIS_VERS_ANNEE(A391), "K:K"), 0) - 1, 14, 4, true, MOIS_VERS_ANNEE(A391)))</f>
        <v>7738.2</v>
      </c>
    </row>
    <row r="392" ht="12.75" customHeight="1">
      <c r="A392" s="35">
        <f t="shared" si="2"/>
        <v>79</v>
      </c>
      <c r="B392" s="40">
        <f t="shared" ref="B392:C392" si="387"> B387</f>
        <v>1</v>
      </c>
      <c r="C392" s="36">
        <f t="shared" si="387"/>
        <v>1</v>
      </c>
      <c r="D392" s="50">
        <f>IFERROR(__xludf.DUMMYFUNCTION(" sum (filter (ZONE (MOIS_VERS_ANNEE (A392), address (2, C392 + 1) &amp; "":"" &amp; address (9999, C392 + 1)), month (ZONE (MOIS_VERS_ANNEE (A392), ""A2:A"")) = mod (A392 - 1, 12) + 1, ZONE (MOIS_VERS_ANNEE (A392), ""A2:A"") &lt;&gt; """"))"),670.0)</f>
        <v>670</v>
      </c>
    </row>
    <row r="393" ht="12.75" customHeight="1">
      <c r="A393" s="35">
        <f t="shared" si="2"/>
        <v>79</v>
      </c>
      <c r="B393" s="40">
        <f t="shared" ref="B393:C393" si="388"> B388</f>
        <v>1</v>
      </c>
      <c r="C393" s="36">
        <f t="shared" si="388"/>
        <v>2</v>
      </c>
      <c r="D393" s="50">
        <f>IFERROR(__xludf.DUMMYFUNCTION(" sum (filter (ZONE (MOIS_VERS_ANNEE (A393), address (2, C393 + 1) &amp; "":"" &amp; address (9999, C393 + 1)), month (ZONE (MOIS_VERS_ANNEE (A393), ""A2:A"")) = mod (A393 - 1, 12) + 1, ZONE (MOIS_VERS_ANNEE (A393), ""A2:A"") &lt;&gt; """"))"),4086.58)</f>
        <v>4086.58</v>
      </c>
    </row>
    <row r="394" ht="12.75" customHeight="1">
      <c r="A394" s="35">
        <f t="shared" si="2"/>
        <v>79</v>
      </c>
      <c r="B394" s="40">
        <f t="shared" ref="B394:C394" si="389"> B389</f>
        <v>1</v>
      </c>
      <c r="C394" s="36">
        <f t="shared" si="389"/>
        <v>3</v>
      </c>
      <c r="D394" s="50">
        <f>IFERROR(__xludf.DUMMYFUNCTION(" sum (filter (ZONE (MOIS_VERS_ANNEE (A394), address (2, C394 + 1) &amp; "":"" &amp; address (9999, C394 + 1)), month (ZONE (MOIS_VERS_ANNEE (A394), ""A2:A"")) = mod (A394 - 1, 12) + 1, ZONE (MOIS_VERS_ANNEE (A394), ""A2:A"") &lt;&gt; """"))"),16021.719999999998)</f>
        <v>16021.72</v>
      </c>
    </row>
    <row r="395" ht="12.75" customHeight="1">
      <c r="A395" s="35">
        <f t="shared" si="2"/>
        <v>79</v>
      </c>
      <c r="B395" s="40">
        <f t="shared" ref="B395:C395" si="390"> B390</f>
        <v>1</v>
      </c>
      <c r="C395" s="36">
        <f t="shared" si="390"/>
        <v>4</v>
      </c>
      <c r="D395" s="50">
        <f>IFERROR(__xludf.DUMMYFUNCTION(" sum (filter (ZONE (MOIS_VERS_ANNEE (A395), address (2, C395 + 1) &amp; "":"" &amp; address (9999, C395 + 1)), month (ZONE (MOIS_VERS_ANNEE (A395), ""A2:A"")) = mod (A395 - 1, 12) + 1, ZONE (MOIS_VERS_ANNEE (A395), ""A2:A"") &lt;&gt; """"))"),2378.62)</f>
        <v>2378.62</v>
      </c>
    </row>
    <row r="396" ht="12.75" customHeight="1">
      <c r="A396" s="35">
        <f t="shared" si="2"/>
        <v>79</v>
      </c>
      <c r="B396" s="40">
        <f t="shared" ref="B396:C396" si="391"> B391</f>
        <v>2</v>
      </c>
      <c r="C396" s="36">
        <f t="shared" si="391"/>
        <v>5</v>
      </c>
      <c r="D396" s="50">
        <f> indirect(address(match("Nbre " &amp; vlookup(A396, Mois!$A$2:$C1000, 3), ZONE(MOIS_VERS_ANNEE(A396), "K:K"), 0) - 1, 14, 4, true, MOIS_VERS_ANNEE(A396)))</f>
        <v>6316.38</v>
      </c>
    </row>
    <row r="397" ht="12.75" customHeight="1">
      <c r="A397" s="35">
        <f t="shared" si="2"/>
        <v>80</v>
      </c>
      <c r="B397" s="40">
        <f t="shared" ref="B397:C397" si="392"> B392</f>
        <v>1</v>
      </c>
      <c r="C397" s="36">
        <f t="shared" si="392"/>
        <v>1</v>
      </c>
      <c r="D397" s="50">
        <f>IFERROR(__xludf.DUMMYFUNCTION(" sum (filter (ZONE (MOIS_VERS_ANNEE (A397), address (2, C397 + 1) &amp; "":"" &amp; address (9999, C397 + 1)), month (ZONE (MOIS_VERS_ANNEE (A397), ""A2:A"")) = mod (A397 - 1, 12) + 1, ZONE (MOIS_VERS_ANNEE (A397), ""A2:A"") &lt;&gt; """"))"),300.0)</f>
        <v>300</v>
      </c>
    </row>
    <row r="398" ht="12.75" customHeight="1">
      <c r="A398" s="35">
        <f t="shared" si="2"/>
        <v>80</v>
      </c>
      <c r="B398" s="40">
        <f t="shared" ref="B398:C398" si="393"> B393</f>
        <v>1</v>
      </c>
      <c r="C398" s="36">
        <f t="shared" si="393"/>
        <v>2</v>
      </c>
      <c r="D398" s="50">
        <f>IFERROR(__xludf.DUMMYFUNCTION(" sum (filter (ZONE (MOIS_VERS_ANNEE (A398), address (2, C398 + 1) &amp; "":"" &amp; address (9999, C398 + 1)), month (ZONE (MOIS_VERS_ANNEE (A398), ""A2:A"")) = mod (A398 - 1, 12) + 1, ZONE (MOIS_VERS_ANNEE (A398), ""A2:A"") &lt;&gt; """"))"),2241.2299999999996)</f>
        <v>2241.23</v>
      </c>
    </row>
    <row r="399" ht="12.75" customHeight="1">
      <c r="A399" s="35">
        <f t="shared" si="2"/>
        <v>80</v>
      </c>
      <c r="B399" s="40">
        <f t="shared" ref="B399:C399" si="394"> B394</f>
        <v>1</v>
      </c>
      <c r="C399" s="36">
        <f t="shared" si="394"/>
        <v>3</v>
      </c>
      <c r="D399" s="50">
        <f>IFERROR(__xludf.DUMMYFUNCTION(" sum (filter (ZONE (MOIS_VERS_ANNEE (A399), address (2, C399 + 1) &amp; "":"" &amp; address (9999, C399 + 1)), month (ZONE (MOIS_VERS_ANNEE (A399), ""A2:A"")) = mod (A399 - 1, 12) + 1, ZONE (MOIS_VERS_ANNEE (A399), ""A2:A"") &lt;&gt; """"))"),6675.859999999999)</f>
        <v>6675.86</v>
      </c>
    </row>
    <row r="400" ht="12.75" customHeight="1">
      <c r="A400" s="35">
        <f t="shared" si="2"/>
        <v>80</v>
      </c>
      <c r="B400" s="40">
        <f t="shared" ref="B400:C400" si="395"> B395</f>
        <v>1</v>
      </c>
      <c r="C400" s="36">
        <f t="shared" si="395"/>
        <v>4</v>
      </c>
      <c r="D400" s="50">
        <f>IFERROR(__xludf.DUMMYFUNCTION(" sum (filter (ZONE (MOIS_VERS_ANNEE (A400), address (2, C400 + 1) &amp; "":"" &amp; address (9999, C400 + 1)), month (ZONE (MOIS_VERS_ANNEE (A400), ""A2:A"")) = mod (A400 - 1, 12) + 1, ZONE (MOIS_VERS_ANNEE (A400), ""A2:A"") &lt;&gt; """"))"),808.62)</f>
        <v>808.62</v>
      </c>
    </row>
    <row r="401" ht="12.75" customHeight="1">
      <c r="A401" s="35">
        <f t="shared" si="2"/>
        <v>80</v>
      </c>
      <c r="B401" s="40">
        <f t="shared" ref="B401:C401" si="396"> B396</f>
        <v>2</v>
      </c>
      <c r="C401" s="36">
        <f t="shared" si="396"/>
        <v>5</v>
      </c>
      <c r="D401" s="50">
        <f> indirect(address(match("Nbre " &amp; vlookup(A401, Mois!$A$2:$C1000, 3), ZONE(MOIS_VERS_ANNEE(A401), "K:K"), 0) - 1, 14, 4, true, MOIS_VERS_ANNEE(A401)))</f>
        <v>1295.46</v>
      </c>
    </row>
    <row r="402" ht="12.75" customHeight="1">
      <c r="A402" s="35">
        <f t="shared" si="2"/>
        <v>81</v>
      </c>
      <c r="B402" s="40">
        <f t="shared" ref="B402:C402" si="397"> B397</f>
        <v>1</v>
      </c>
      <c r="C402" s="36">
        <f t="shared" si="397"/>
        <v>1</v>
      </c>
      <c r="D402" s="50">
        <f>IFERROR(__xludf.DUMMYFUNCTION(" sum (filter (ZONE (MOIS_VERS_ANNEE (A402), address (2, C402 + 1) &amp; "":"" &amp; address (9999, C402 + 1)), month (ZONE (MOIS_VERS_ANNEE (A402), ""A2:A"")) = mod (A402 - 1, 12) + 1, ZONE (MOIS_VERS_ANNEE (A402), ""A2:A"") &lt;&gt; """"))"),1490.0)</f>
        <v>1490</v>
      </c>
    </row>
    <row r="403" ht="12.75" customHeight="1">
      <c r="A403" s="35">
        <f t="shared" si="2"/>
        <v>81</v>
      </c>
      <c r="B403" s="40">
        <f t="shared" ref="B403:C403" si="398"> B398</f>
        <v>1</v>
      </c>
      <c r="C403" s="36">
        <f t="shared" si="398"/>
        <v>2</v>
      </c>
      <c r="D403" s="50">
        <f>IFERROR(__xludf.DUMMYFUNCTION(" sum (filter (ZONE (MOIS_VERS_ANNEE (A403), address (2, C403 + 1) &amp; "":"" &amp; address (9999, C403 + 1)), month (ZONE (MOIS_VERS_ANNEE (A403), ""A2:A"")) = mod (A403 - 1, 12) + 1, ZONE (MOIS_VERS_ANNEE (A403), ""A2:A"") &lt;&gt; """"))"),5163.649999999999)</f>
        <v>5163.65</v>
      </c>
    </row>
    <row r="404" ht="12.75" customHeight="1">
      <c r="A404" s="35">
        <f t="shared" si="2"/>
        <v>81</v>
      </c>
      <c r="B404" s="40">
        <f t="shared" ref="B404:C404" si="399"> B399</f>
        <v>1</v>
      </c>
      <c r="C404" s="36">
        <f t="shared" si="399"/>
        <v>3</v>
      </c>
      <c r="D404" s="50">
        <f>IFERROR(__xludf.DUMMYFUNCTION(" sum (filter (ZONE (MOIS_VERS_ANNEE (A404), address (2, C404 + 1) &amp; "":"" &amp; address (9999, C404 + 1)), month (ZONE (MOIS_VERS_ANNEE (A404), ""A2:A"")) = mod (A404 - 1, 12) + 1, ZONE (MOIS_VERS_ANNEE (A404), ""A2:A"") &lt;&gt; """"))"),14639.68)</f>
        <v>14639.68</v>
      </c>
    </row>
    <row r="405" ht="12.75" customHeight="1">
      <c r="A405" s="35">
        <f t="shared" si="2"/>
        <v>81</v>
      </c>
      <c r="B405" s="40">
        <f t="shared" ref="B405:C405" si="400"> B400</f>
        <v>1</v>
      </c>
      <c r="C405" s="36">
        <f t="shared" si="400"/>
        <v>4</v>
      </c>
      <c r="D405" s="50">
        <f>IFERROR(__xludf.DUMMYFUNCTION(" sum (filter (ZONE (MOIS_VERS_ANNEE (A405), address (2, C405 + 1) &amp; "":"" &amp; address (9999, C405 + 1)), month (ZONE (MOIS_VERS_ANNEE (A405), ""A2:A"")) = mod (A405 - 1, 12) + 1, ZONE (MOIS_VERS_ANNEE (A405), ""A2:A"") &lt;&gt; """"))"),1838.62)</f>
        <v>1838.62</v>
      </c>
    </row>
    <row r="406" ht="12.75" customHeight="1">
      <c r="A406" s="35">
        <f t="shared" si="2"/>
        <v>81</v>
      </c>
      <c r="B406" s="40">
        <f t="shared" ref="B406:C406" si="401"> B401</f>
        <v>2</v>
      </c>
      <c r="C406" s="36">
        <f t="shared" si="401"/>
        <v>5</v>
      </c>
      <c r="D406" s="50">
        <f> indirect(address(match("Nbre " &amp; vlookup(A406, Mois!$A$2:$C1000, 3), ZONE(MOIS_VERS_ANNEE(A406), "K:K"), 0) - 1, 14, 4, true, MOIS_VERS_ANNEE(A406)))</f>
        <v>6298.2</v>
      </c>
    </row>
    <row r="407" ht="12.75" customHeight="1">
      <c r="A407" s="35">
        <f t="shared" si="2"/>
        <v>82</v>
      </c>
      <c r="B407" s="40">
        <f t="shared" ref="B407:C407" si="402"> B402</f>
        <v>1</v>
      </c>
      <c r="C407" s="36">
        <f t="shared" si="402"/>
        <v>1</v>
      </c>
      <c r="D407" s="50">
        <f>IFERROR(__xludf.DUMMYFUNCTION(" sum (filter (ZONE (MOIS_VERS_ANNEE (A407), address (2, C407 + 1) &amp; "":"" &amp; address (9999, C407 + 1)), month (ZONE (MOIS_VERS_ANNEE (A407), ""A2:A"")) = mod (A407 - 1, 12) + 1, ZONE (MOIS_VERS_ANNEE (A407), ""A2:A"") &lt;&gt; """"))"),760.0)</f>
        <v>760</v>
      </c>
    </row>
    <row r="408" ht="12.75" customHeight="1">
      <c r="A408" s="35">
        <f t="shared" si="2"/>
        <v>82</v>
      </c>
      <c r="B408" s="40">
        <f t="shared" ref="B408:C408" si="403"> B403</f>
        <v>1</v>
      </c>
      <c r="C408" s="36">
        <f t="shared" si="403"/>
        <v>2</v>
      </c>
      <c r="D408" s="50">
        <f>IFERROR(__xludf.DUMMYFUNCTION(" sum (filter (ZONE (MOIS_VERS_ANNEE (A408), address (2, C408 + 1) &amp; "":"" &amp; address (9999, C408 + 1)), month (ZONE (MOIS_VERS_ANNEE (A408), ""A2:A"")) = mod (A408 - 1, 12) + 1, ZONE (MOIS_VERS_ANNEE (A408), ""A2:A"") &lt;&gt; """"))"),3802.2999999999993)</f>
        <v>3802.3</v>
      </c>
    </row>
    <row r="409" ht="12.75" customHeight="1">
      <c r="A409" s="35">
        <f t="shared" si="2"/>
        <v>82</v>
      </c>
      <c r="B409" s="40">
        <f t="shared" ref="B409:C409" si="404"> B404</f>
        <v>1</v>
      </c>
      <c r="C409" s="36">
        <f t="shared" si="404"/>
        <v>3</v>
      </c>
      <c r="D409" s="50">
        <f>IFERROR(__xludf.DUMMYFUNCTION(" sum (filter (ZONE (MOIS_VERS_ANNEE (A409), address (2, C409 + 1) &amp; "":"" &amp; address (9999, C409 + 1)), month (ZONE (MOIS_VERS_ANNEE (A409), ""A2:A"")) = mod (A409 - 1, 12) + 1, ZONE (MOIS_VERS_ANNEE (A409), ""A2:A"") &lt;&gt; """"))"),10629.65)</f>
        <v>10629.65</v>
      </c>
    </row>
    <row r="410" ht="12.75" customHeight="1">
      <c r="A410" s="35">
        <f t="shared" si="2"/>
        <v>82</v>
      </c>
      <c r="B410" s="40">
        <f t="shared" ref="B410:C410" si="405"> B405</f>
        <v>1</v>
      </c>
      <c r="C410" s="36">
        <f t="shared" si="405"/>
        <v>4</v>
      </c>
      <c r="D410" s="50">
        <f>IFERROR(__xludf.DUMMYFUNCTION(" sum (filter (ZONE (MOIS_VERS_ANNEE (A410), address (2, C410 + 1) &amp; "":"" &amp; address (9999, C410 + 1)), month (ZONE (MOIS_VERS_ANNEE (A410), ""A2:A"")) = mod (A410 - 1, 12) + 1, ZONE (MOIS_VERS_ANNEE (A410), ""A2:A"") &lt;&gt; """"))"),930.0)</f>
        <v>930</v>
      </c>
    </row>
    <row r="411" ht="12.75" customHeight="1">
      <c r="A411" s="35">
        <f t="shared" si="2"/>
        <v>82</v>
      </c>
      <c r="B411" s="40">
        <f t="shared" ref="B411:C411" si="406"> B406</f>
        <v>2</v>
      </c>
      <c r="C411" s="36">
        <f t="shared" si="406"/>
        <v>5</v>
      </c>
      <c r="D411" s="50">
        <f> indirect(address(match("Nbre " &amp; vlookup(A411, Mois!$A$2:$C1000, 3), ZONE(MOIS_VERS_ANNEE(A411), "K:K"), 0) - 1, 14, 4, true, MOIS_VERS_ANNEE(A411)))</f>
        <v>4281.84</v>
      </c>
    </row>
    <row r="412" ht="12.75" customHeight="1">
      <c r="A412" s="35">
        <f t="shared" si="2"/>
        <v>83</v>
      </c>
      <c r="B412" s="40">
        <f t="shared" ref="B412:C412" si="407"> B407</f>
        <v>1</v>
      </c>
      <c r="C412" s="36">
        <f t="shared" si="407"/>
        <v>1</v>
      </c>
      <c r="D412" s="50">
        <f>IFERROR(__xludf.DUMMYFUNCTION(" sum (filter (ZONE (MOIS_VERS_ANNEE (A412), address (2, C412 + 1) &amp; "":"" &amp; address (9999, C412 + 1)), month (ZONE (MOIS_VERS_ANNEE (A412), ""A2:A"")) = mod (A412 - 1, 12) + 1, ZONE (MOIS_VERS_ANNEE (A412), ""A2:A"") &lt;&gt; """"))"),840.0)</f>
        <v>840</v>
      </c>
    </row>
    <row r="413" ht="12.75" customHeight="1">
      <c r="A413" s="35">
        <f t="shared" si="2"/>
        <v>83</v>
      </c>
      <c r="B413" s="40">
        <f t="shared" ref="B413:C413" si="408"> B408</f>
        <v>1</v>
      </c>
      <c r="C413" s="36">
        <f t="shared" si="408"/>
        <v>2</v>
      </c>
      <c r="D413" s="50">
        <f>IFERROR(__xludf.DUMMYFUNCTION(" sum (filter (ZONE (MOIS_VERS_ANNEE (A413), address (2, C413 + 1) &amp; "":"" &amp; address (9999, C413 + 1)), month (ZONE (MOIS_VERS_ANNEE (A413), ""A2:A"")) = mod (A413 - 1, 12) + 1, ZONE (MOIS_VERS_ANNEE (A413), ""A2:A"") &lt;&gt; """"))"),2773.5099999999998)</f>
        <v>2773.51</v>
      </c>
    </row>
    <row r="414" ht="12.75" customHeight="1">
      <c r="A414" s="35">
        <f t="shared" si="2"/>
        <v>83</v>
      </c>
      <c r="B414" s="40">
        <f t="shared" ref="B414:C414" si="409"> B409</f>
        <v>1</v>
      </c>
      <c r="C414" s="36">
        <f t="shared" si="409"/>
        <v>3</v>
      </c>
      <c r="D414" s="50">
        <f>IFERROR(__xludf.DUMMYFUNCTION(" sum (filter (ZONE (MOIS_VERS_ANNEE (A414), address (2, C414 + 1) &amp; "":"" &amp; address (9999, C414 + 1)), month (ZONE (MOIS_VERS_ANNEE (A414), ""A2:A"")) = mod (A414 - 1, 12) + 1, ZONE (MOIS_VERS_ANNEE (A414), ""A2:A"") &lt;&gt; """"))"),10133.789999999997)</f>
        <v>10133.79</v>
      </c>
    </row>
    <row r="415" ht="12.75" customHeight="1">
      <c r="A415" s="35">
        <f t="shared" si="2"/>
        <v>83</v>
      </c>
      <c r="B415" s="40">
        <f t="shared" ref="B415:C415" si="410"> B410</f>
        <v>1</v>
      </c>
      <c r="C415" s="36">
        <f t="shared" si="410"/>
        <v>4</v>
      </c>
      <c r="D415" s="50">
        <f>IFERROR(__xludf.DUMMYFUNCTION(" sum (filter (ZONE (MOIS_VERS_ANNEE (A415), address (2, C415 + 1) &amp; "":"" &amp; address (9999, C415 + 1)), month (ZONE (MOIS_VERS_ANNEE (A415), ""A2:A"")) = mod (A415 - 1, 12) + 1, ZONE (MOIS_VERS_ANNEE (A415), ""A2:A"") &lt;&gt; """"))"),910.0)</f>
        <v>910</v>
      </c>
    </row>
    <row r="416" ht="12.75" customHeight="1">
      <c r="A416" s="35">
        <f t="shared" si="2"/>
        <v>83</v>
      </c>
      <c r="B416" s="40">
        <f t="shared" ref="B416:C416" si="411"> B411</f>
        <v>2</v>
      </c>
      <c r="C416" s="36">
        <f t="shared" si="411"/>
        <v>5</v>
      </c>
      <c r="D416" s="50">
        <f> indirect(address(match("Nbre " &amp; vlookup(A416, Mois!$A$2:$C1000, 3), ZONE(MOIS_VERS_ANNEE(A416), "K:K"), 0) - 1, 14, 4, true, MOIS_VERS_ANNEE(A416)))</f>
        <v>4371.84</v>
      </c>
    </row>
    <row r="417" ht="12.75" customHeight="1">
      <c r="A417" s="35">
        <f t="shared" si="2"/>
        <v>84</v>
      </c>
      <c r="B417" s="40">
        <f t="shared" ref="B417:C417" si="412"> B412</f>
        <v>1</v>
      </c>
      <c r="C417" s="36">
        <f t="shared" si="412"/>
        <v>1</v>
      </c>
      <c r="D417" s="50">
        <f>IFERROR(__xludf.DUMMYFUNCTION(" sum (filter (ZONE (MOIS_VERS_ANNEE (A417), address (2, C417 + 1) &amp; "":"" &amp; address (9999, C417 + 1)), month (ZONE (MOIS_VERS_ANNEE (A417), ""A2:A"")) = mod (A417 - 1, 12) + 1, ZONE (MOIS_VERS_ANNEE (A417), ""A2:A"") &lt;&gt; """"))"),730.0)</f>
        <v>730</v>
      </c>
    </row>
    <row r="418" ht="12.75" customHeight="1">
      <c r="A418" s="35">
        <f t="shared" si="2"/>
        <v>84</v>
      </c>
      <c r="B418" s="40">
        <f t="shared" ref="B418:C418" si="413"> B413</f>
        <v>1</v>
      </c>
      <c r="C418" s="36">
        <f t="shared" si="413"/>
        <v>2</v>
      </c>
      <c r="D418" s="50">
        <f>IFERROR(__xludf.DUMMYFUNCTION(" sum (filter (ZONE (MOIS_VERS_ANNEE (A418), address (2, C418 + 1) &amp; "":"" &amp; address (9999, C418 + 1)), month (ZONE (MOIS_VERS_ANNEE (A418), ""A2:A"")) = mod (A418 - 1, 12) + 1, ZONE (MOIS_VERS_ANNEE (A418), ""A2:A"") &lt;&gt; """"))"),3007.4099999999994)</f>
        <v>3007.41</v>
      </c>
    </row>
    <row r="419" ht="12.75" customHeight="1">
      <c r="A419" s="35">
        <f t="shared" si="2"/>
        <v>84</v>
      </c>
      <c r="B419" s="40">
        <f t="shared" ref="B419:C419" si="414"> B414</f>
        <v>1</v>
      </c>
      <c r="C419" s="36">
        <f t="shared" si="414"/>
        <v>3</v>
      </c>
      <c r="D419" s="50">
        <f>IFERROR(__xludf.DUMMYFUNCTION(" sum (filter (ZONE (MOIS_VERS_ANNEE (A419), address (2, C419 + 1) &amp; "":"" &amp; address (9999, C419 + 1)), month (ZONE (MOIS_VERS_ANNEE (A419), ""A2:A"")) = mod (A419 - 1, 12) + 1, ZONE (MOIS_VERS_ANNEE (A419), ""A2:A"") &lt;&gt; """"))"),7711.719999999999)</f>
        <v>7711.72</v>
      </c>
    </row>
    <row r="420" ht="12.75" customHeight="1">
      <c r="A420" s="35">
        <f t="shared" si="2"/>
        <v>84</v>
      </c>
      <c r="B420" s="40">
        <f t="shared" ref="B420:C420" si="415"> B415</f>
        <v>1</v>
      </c>
      <c r="C420" s="36">
        <f t="shared" si="415"/>
        <v>4</v>
      </c>
      <c r="D420" s="50">
        <f>IFERROR(__xludf.DUMMYFUNCTION(" sum (filter (ZONE (MOIS_VERS_ANNEE (A420), address (2, C420 + 1) &amp; "":"" &amp; address (9999, C420 + 1)), month (ZONE (MOIS_VERS_ANNEE (A420), ""A2:A"")) = mod (A420 - 1, 12) + 1, ZONE (MOIS_VERS_ANNEE (A420), ""A2:A"") &lt;&gt; """"))"),890.0)</f>
        <v>890</v>
      </c>
    </row>
    <row r="421" ht="12.75" customHeight="1">
      <c r="A421" s="35">
        <f t="shared" si="2"/>
        <v>84</v>
      </c>
      <c r="B421" s="40">
        <f t="shared" ref="B421:C421" si="416"> B416</f>
        <v>2</v>
      </c>
      <c r="C421" s="36">
        <f t="shared" si="416"/>
        <v>5</v>
      </c>
      <c r="D421" s="50">
        <f> indirect(address(match("Nbre " &amp; vlookup(A421, Mois!$A$2:$C1000, 3), ZONE(MOIS_VERS_ANNEE(A421), "K:K"), 0) - 1, 14, 4, true, MOIS_VERS_ANNEE(A421)))</f>
        <v>4642.74</v>
      </c>
    </row>
    <row r="422" ht="12.75" customHeight="1">
      <c r="A422" s="53">
        <f t="shared" si="2"/>
        <v>85</v>
      </c>
      <c r="B422" s="42">
        <f t="shared" ref="B422:C422" si="417"> B417</f>
        <v>1</v>
      </c>
      <c r="C422" s="41">
        <f t="shared" si="417"/>
        <v>1</v>
      </c>
      <c r="D422" s="54">
        <v>3123.265908253971</v>
      </c>
      <c r="H422" s="50"/>
    </row>
    <row r="423" ht="12.75" customHeight="1">
      <c r="A423" s="35">
        <f t="shared" si="2"/>
        <v>85</v>
      </c>
      <c r="B423" s="40">
        <f t="shared" ref="B423:C423" si="418"> B418</f>
        <v>1</v>
      </c>
      <c r="C423" s="36">
        <f t="shared" si="418"/>
        <v>2</v>
      </c>
      <c r="D423" s="50">
        <v>3360.2957876764767</v>
      </c>
      <c r="G423" s="50"/>
      <c r="H423" s="50"/>
    </row>
    <row r="424" ht="12.75" customHeight="1">
      <c r="A424" s="35">
        <f t="shared" si="2"/>
        <v>85</v>
      </c>
      <c r="B424" s="40">
        <f t="shared" ref="B424:C424" si="419"> B419</f>
        <v>1</v>
      </c>
      <c r="C424" s="36">
        <f t="shared" si="419"/>
        <v>3</v>
      </c>
      <c r="D424" s="50">
        <v>11742.608530769294</v>
      </c>
      <c r="G424" s="50"/>
      <c r="H424" s="50"/>
    </row>
    <row r="425" ht="12.75" customHeight="1">
      <c r="A425" s="35">
        <f t="shared" si="2"/>
        <v>85</v>
      </c>
      <c r="B425" s="40">
        <f t="shared" ref="B425:C425" si="420"> B420</f>
        <v>1</v>
      </c>
      <c r="C425" s="36">
        <f t="shared" si="420"/>
        <v>4</v>
      </c>
      <c r="D425" s="50">
        <v>1648.454579352025</v>
      </c>
      <c r="G425" s="50"/>
      <c r="H425" s="50"/>
    </row>
    <row r="426" ht="12.75" customHeight="1">
      <c r="A426" s="35">
        <f t="shared" si="2"/>
        <v>85</v>
      </c>
      <c r="B426" s="40">
        <f t="shared" ref="B426:C426" si="421"> B421</f>
        <v>2</v>
      </c>
      <c r="C426" s="36">
        <f t="shared" si="421"/>
        <v>5</v>
      </c>
      <c r="D426" s="50">
        <v>5585.375193948237</v>
      </c>
      <c r="G426" s="50"/>
      <c r="H426" s="50"/>
    </row>
    <row r="427" ht="12.75" customHeight="1">
      <c r="A427" s="35">
        <f t="shared" si="2"/>
        <v>86</v>
      </c>
      <c r="B427" s="40">
        <f t="shared" ref="B427:C427" si="422"> B422</f>
        <v>1</v>
      </c>
      <c r="C427" s="36">
        <f t="shared" si="422"/>
        <v>1</v>
      </c>
      <c r="D427" s="50">
        <v>3120.8124393551066</v>
      </c>
      <c r="G427" s="50"/>
      <c r="H427" s="50"/>
    </row>
    <row r="428" ht="12.75" customHeight="1">
      <c r="A428" s="35">
        <f t="shared" si="2"/>
        <v>86</v>
      </c>
      <c r="B428" s="40">
        <f t="shared" ref="B428:C428" si="423"> B423</f>
        <v>1</v>
      </c>
      <c r="C428" s="36">
        <f t="shared" si="423"/>
        <v>2</v>
      </c>
      <c r="D428" s="50">
        <v>3357.6561209147508</v>
      </c>
      <c r="G428" s="50"/>
      <c r="H428" s="50"/>
    </row>
    <row r="429" ht="12.75" customHeight="1">
      <c r="A429" s="35">
        <f t="shared" si="2"/>
        <v>86</v>
      </c>
      <c r="B429" s="40">
        <f t="shared" ref="B429:C429" si="424"> B424</f>
        <v>1</v>
      </c>
      <c r="C429" s="36">
        <f t="shared" si="424"/>
        <v>3</v>
      </c>
      <c r="D429" s="50">
        <v>11733.384172143395</v>
      </c>
      <c r="G429" s="50"/>
      <c r="H429" s="50"/>
    </row>
    <row r="430" ht="12.75" customHeight="1">
      <c r="A430" s="35">
        <f t="shared" si="2"/>
        <v>86</v>
      </c>
      <c r="B430" s="40">
        <f t="shared" ref="B430:C430" si="425"> B425</f>
        <v>1</v>
      </c>
      <c r="C430" s="36">
        <f t="shared" si="425"/>
        <v>4</v>
      </c>
      <c r="D430" s="50">
        <v>1647.1596425261396</v>
      </c>
      <c r="G430" s="50"/>
      <c r="H430" s="50"/>
    </row>
    <row r="431" ht="12.75" customHeight="1">
      <c r="A431" s="35">
        <f t="shared" si="2"/>
        <v>86</v>
      </c>
      <c r="B431" s="40">
        <f t="shared" ref="B431:C431" si="426"> B426</f>
        <v>2</v>
      </c>
      <c r="C431" s="36">
        <f t="shared" si="426"/>
        <v>5</v>
      </c>
      <c r="D431" s="50">
        <v>5580.987625060611</v>
      </c>
      <c r="G431" s="50"/>
      <c r="H431" s="50"/>
    </row>
    <row r="432" ht="12.75" customHeight="1">
      <c r="A432" s="35">
        <f t="shared" si="2"/>
        <v>87</v>
      </c>
      <c r="B432" s="40">
        <f t="shared" ref="B432:C432" si="427"> B427</f>
        <v>1</v>
      </c>
      <c r="C432" s="36">
        <f t="shared" si="427"/>
        <v>1</v>
      </c>
      <c r="D432" s="50">
        <v>3118.358970456243</v>
      </c>
      <c r="G432" s="50"/>
      <c r="H432" s="50"/>
    </row>
    <row r="433" ht="12.75" customHeight="1">
      <c r="A433" s="35">
        <f t="shared" si="2"/>
        <v>87</v>
      </c>
      <c r="B433" s="40">
        <f t="shared" ref="B433:C433" si="428"> B428</f>
        <v>1</v>
      </c>
      <c r="C433" s="36">
        <f t="shared" si="428"/>
        <v>2</v>
      </c>
      <c r="D433" s="50">
        <v>3355.0164541530253</v>
      </c>
      <c r="G433" s="50"/>
      <c r="H433" s="50"/>
    </row>
    <row r="434" ht="12.75" customHeight="1">
      <c r="A434" s="35">
        <f t="shared" si="2"/>
        <v>87</v>
      </c>
      <c r="B434" s="40">
        <f t="shared" ref="B434:C434" si="429"> B429</f>
        <v>1</v>
      </c>
      <c r="C434" s="36">
        <f t="shared" si="429"/>
        <v>3</v>
      </c>
      <c r="D434" s="50">
        <v>11724.159813517495</v>
      </c>
      <c r="G434" s="50"/>
      <c r="H434" s="50"/>
    </row>
    <row r="435" ht="12.75" customHeight="1">
      <c r="A435" s="35">
        <f t="shared" si="2"/>
        <v>87</v>
      </c>
      <c r="B435" s="40">
        <f t="shared" ref="B435:C435" si="430"> B430</f>
        <v>1</v>
      </c>
      <c r="C435" s="36">
        <f t="shared" si="430"/>
        <v>4</v>
      </c>
      <c r="D435" s="50">
        <v>1645.8647057002543</v>
      </c>
      <c r="G435" s="50"/>
      <c r="H435" s="50"/>
    </row>
    <row r="436" ht="12.75" customHeight="1">
      <c r="A436" s="35">
        <f t="shared" si="2"/>
        <v>87</v>
      </c>
      <c r="B436" s="40">
        <f t="shared" ref="B436:C436" si="431"> B431</f>
        <v>2</v>
      </c>
      <c r="C436" s="36">
        <f t="shared" si="431"/>
        <v>5</v>
      </c>
      <c r="D436" s="50">
        <v>5576.600056172985</v>
      </c>
      <c r="G436" s="50"/>
      <c r="H436" s="50"/>
    </row>
    <row r="437" ht="12.75" customHeight="1">
      <c r="A437" s="35">
        <f t="shared" si="2"/>
        <v>88</v>
      </c>
      <c r="B437" s="40">
        <f t="shared" ref="B437:C437" si="432"> B432</f>
        <v>1</v>
      </c>
      <c r="C437" s="36">
        <f t="shared" si="432"/>
        <v>1</v>
      </c>
      <c r="D437" s="50">
        <v>3114.6787671079464</v>
      </c>
      <c r="G437" s="50"/>
      <c r="H437" s="50"/>
    </row>
    <row r="438" ht="12.75" customHeight="1">
      <c r="A438" s="35">
        <f t="shared" si="2"/>
        <v>88</v>
      </c>
      <c r="B438" s="40">
        <f t="shared" ref="B438:C438" si="433"> B433</f>
        <v>1</v>
      </c>
      <c r="C438" s="36">
        <f t="shared" si="433"/>
        <v>2</v>
      </c>
      <c r="D438" s="50">
        <v>3351.056954010437</v>
      </c>
      <c r="G438" s="50"/>
      <c r="H438" s="50"/>
    </row>
    <row r="439" ht="12.75" customHeight="1">
      <c r="A439" s="35">
        <f t="shared" si="2"/>
        <v>88</v>
      </c>
      <c r="B439" s="40">
        <f t="shared" ref="B439:C439" si="434"> B434</f>
        <v>1</v>
      </c>
      <c r="C439" s="36">
        <f t="shared" si="434"/>
        <v>3</v>
      </c>
      <c r="D439" s="50">
        <v>11710.323275578647</v>
      </c>
      <c r="G439" s="50"/>
      <c r="H439" s="50"/>
    </row>
    <row r="440" ht="12.75" customHeight="1">
      <c r="A440" s="35">
        <f t="shared" si="2"/>
        <v>88</v>
      </c>
      <c r="B440" s="40">
        <f t="shared" ref="B440:C440" si="435"> B435</f>
        <v>1</v>
      </c>
      <c r="C440" s="36">
        <f t="shared" si="435"/>
        <v>4</v>
      </c>
      <c r="D440" s="50">
        <v>1643.9223004614262</v>
      </c>
      <c r="G440" s="50"/>
      <c r="H440" s="50"/>
    </row>
    <row r="441" ht="12.75" customHeight="1">
      <c r="A441" s="35">
        <f t="shared" si="2"/>
        <v>88</v>
      </c>
      <c r="B441" s="40">
        <f t="shared" ref="B441:C441" si="436"> B436</f>
        <v>2</v>
      </c>
      <c r="C441" s="36">
        <f t="shared" si="436"/>
        <v>5</v>
      </c>
      <c r="D441" s="50">
        <v>5570.018702841546</v>
      </c>
      <c r="G441" s="50"/>
      <c r="H441" s="50"/>
    </row>
    <row r="442" ht="12.75" customHeight="1">
      <c r="A442" s="35">
        <f t="shared" si="2"/>
        <v>89</v>
      </c>
      <c r="B442" s="40">
        <f t="shared" ref="B442:C442" si="437"> B437</f>
        <v>1</v>
      </c>
      <c r="C442" s="36">
        <f t="shared" si="437"/>
        <v>1</v>
      </c>
      <c r="D442" s="50">
        <v>3112.225298209082</v>
      </c>
      <c r="G442" s="50"/>
      <c r="H442" s="50"/>
    </row>
    <row r="443" ht="12.75" customHeight="1">
      <c r="A443" s="35">
        <f t="shared" si="2"/>
        <v>89</v>
      </c>
      <c r="B443" s="40">
        <f t="shared" ref="B443:C443" si="438"> B438</f>
        <v>1</v>
      </c>
      <c r="C443" s="36">
        <f t="shared" si="438"/>
        <v>2</v>
      </c>
      <c r="D443" s="50">
        <v>3348.417287248712</v>
      </c>
      <c r="G443" s="50"/>
      <c r="H443" s="50"/>
    </row>
    <row r="444" ht="12.75" customHeight="1">
      <c r="A444" s="35">
        <f t="shared" si="2"/>
        <v>89</v>
      </c>
      <c r="B444" s="40">
        <f t="shared" ref="B444:C444" si="439"> B439</f>
        <v>1</v>
      </c>
      <c r="C444" s="36">
        <f t="shared" si="439"/>
        <v>3</v>
      </c>
      <c r="D444" s="50">
        <v>11701.09891695275</v>
      </c>
      <c r="G444" s="50"/>
      <c r="H444" s="50"/>
    </row>
    <row r="445" ht="12.75" customHeight="1">
      <c r="A445" s="35">
        <f t="shared" si="2"/>
        <v>89</v>
      </c>
      <c r="B445" s="40">
        <f t="shared" ref="B445:C445" si="440"> B440</f>
        <v>1</v>
      </c>
      <c r="C445" s="36">
        <f t="shared" si="440"/>
        <v>4</v>
      </c>
      <c r="D445" s="50">
        <v>1642.627363635541</v>
      </c>
      <c r="G445" s="50"/>
      <c r="H445" s="50"/>
    </row>
    <row r="446" ht="12.75" customHeight="1">
      <c r="A446" s="35">
        <f t="shared" si="2"/>
        <v>89</v>
      </c>
      <c r="B446" s="40">
        <f t="shared" ref="B446:C446" si="441"> B441</f>
        <v>2</v>
      </c>
      <c r="C446" s="36">
        <f t="shared" si="441"/>
        <v>5</v>
      </c>
      <c r="D446" s="50">
        <v>5565.631133953919</v>
      </c>
      <c r="G446" s="50"/>
      <c r="H446" s="50"/>
    </row>
    <row r="447" ht="12.75" customHeight="1">
      <c r="A447" s="35">
        <f t="shared" si="2"/>
        <v>90</v>
      </c>
      <c r="B447" s="40">
        <f t="shared" ref="B447:C447" si="442"> B442</f>
        <v>1</v>
      </c>
      <c r="C447" s="36">
        <f t="shared" si="442"/>
        <v>1</v>
      </c>
      <c r="D447" s="50">
        <v>3109.7718293102184</v>
      </c>
      <c r="G447" s="50"/>
      <c r="H447" s="50"/>
    </row>
    <row r="448" ht="12.75" customHeight="1">
      <c r="A448" s="35">
        <f t="shared" si="2"/>
        <v>90</v>
      </c>
      <c r="B448" s="40">
        <f t="shared" ref="B448:C448" si="443"> B443</f>
        <v>1</v>
      </c>
      <c r="C448" s="36">
        <f t="shared" si="443"/>
        <v>2</v>
      </c>
      <c r="D448" s="50">
        <v>3345.7776204869865</v>
      </c>
      <c r="G448" s="50"/>
      <c r="H448" s="50"/>
    </row>
    <row r="449" ht="12.75" customHeight="1">
      <c r="A449" s="35">
        <f t="shared" si="2"/>
        <v>90</v>
      </c>
      <c r="B449" s="40">
        <f t="shared" ref="B449:C449" si="444"> B444</f>
        <v>1</v>
      </c>
      <c r="C449" s="36">
        <f t="shared" si="444"/>
        <v>3</v>
      </c>
      <c r="D449" s="50">
        <v>11691.87455832685</v>
      </c>
      <c r="G449" s="50"/>
      <c r="H449" s="50"/>
    </row>
    <row r="450" ht="12.75" customHeight="1">
      <c r="A450" s="35">
        <f t="shared" si="2"/>
        <v>90</v>
      </c>
      <c r="B450" s="40">
        <f t="shared" ref="B450:C450" si="445"> B445</f>
        <v>1</v>
      </c>
      <c r="C450" s="36">
        <f t="shared" si="445"/>
        <v>4</v>
      </c>
      <c r="D450" s="50">
        <v>1641.3324268096555</v>
      </c>
      <c r="G450" s="50"/>
      <c r="H450" s="50"/>
    </row>
    <row r="451" ht="12.75" customHeight="1">
      <c r="A451" s="35">
        <f t="shared" si="2"/>
        <v>90</v>
      </c>
      <c r="B451" s="40">
        <f t="shared" ref="B451:C451" si="446"> B446</f>
        <v>2</v>
      </c>
      <c r="C451" s="36">
        <f t="shared" si="446"/>
        <v>5</v>
      </c>
      <c r="D451" s="50">
        <v>5561.243565066293</v>
      </c>
      <c r="G451" s="50"/>
      <c r="H451" s="50"/>
    </row>
    <row r="452" ht="12.75" customHeight="1">
      <c r="A452" s="35">
        <f t="shared" si="2"/>
        <v>91</v>
      </c>
      <c r="B452" s="40">
        <f t="shared" ref="B452:C452" si="447"> B447</f>
        <v>1</v>
      </c>
      <c r="C452" s="36">
        <f t="shared" si="447"/>
        <v>1</v>
      </c>
      <c r="D452" s="50">
        <v>3107.318360411354</v>
      </c>
      <c r="G452" s="50"/>
      <c r="H452" s="50"/>
    </row>
    <row r="453" ht="12.75" customHeight="1">
      <c r="A453" s="35">
        <f t="shared" si="2"/>
        <v>91</v>
      </c>
      <c r="B453" s="40">
        <f t="shared" ref="B453:C453" si="448"> B448</f>
        <v>1</v>
      </c>
      <c r="C453" s="36">
        <f t="shared" si="448"/>
        <v>2</v>
      </c>
      <c r="D453" s="50">
        <v>3343.1379537252615</v>
      </c>
      <c r="G453" s="50"/>
      <c r="H453" s="50"/>
    </row>
    <row r="454" ht="12.75" customHeight="1">
      <c r="A454" s="35">
        <f t="shared" si="2"/>
        <v>91</v>
      </c>
      <c r="B454" s="40">
        <f t="shared" ref="B454:C454" si="449"> B449</f>
        <v>1</v>
      </c>
      <c r="C454" s="36">
        <f t="shared" si="449"/>
        <v>3</v>
      </c>
      <c r="D454" s="50">
        <v>11682.65019970095</v>
      </c>
      <c r="G454" s="50"/>
      <c r="H454" s="50"/>
    </row>
    <row r="455" ht="12.75" customHeight="1">
      <c r="A455" s="35">
        <f t="shared" si="2"/>
        <v>91</v>
      </c>
      <c r="B455" s="40">
        <f t="shared" ref="B455:C455" si="450"> B450</f>
        <v>1</v>
      </c>
      <c r="C455" s="36">
        <f t="shared" si="450"/>
        <v>4</v>
      </c>
      <c r="D455" s="50">
        <v>1640.0374899837705</v>
      </c>
      <c r="G455" s="50"/>
      <c r="H455" s="50"/>
    </row>
    <row r="456" ht="12.75" customHeight="1">
      <c r="A456" s="35">
        <f t="shared" si="2"/>
        <v>91</v>
      </c>
      <c r="B456" s="40">
        <f t="shared" ref="B456:C456" si="451"> B451</f>
        <v>2</v>
      </c>
      <c r="C456" s="36">
        <f t="shared" si="451"/>
        <v>5</v>
      </c>
      <c r="D456" s="50">
        <v>5556.855996178667</v>
      </c>
      <c r="G456" s="50"/>
      <c r="H456" s="50"/>
    </row>
    <row r="457" ht="12.75" customHeight="1">
      <c r="A457" s="35">
        <f t="shared" si="2"/>
        <v>92</v>
      </c>
      <c r="B457" s="40">
        <f t="shared" ref="B457:C457" si="452"> B452</f>
        <v>1</v>
      </c>
      <c r="C457" s="36">
        <f t="shared" si="452"/>
        <v>1</v>
      </c>
      <c r="D457" s="50">
        <v>3104.8648915124904</v>
      </c>
      <c r="G457" s="50"/>
      <c r="H457" s="50"/>
    </row>
    <row r="458" ht="12.75" customHeight="1">
      <c r="A458" s="35">
        <f t="shared" si="2"/>
        <v>92</v>
      </c>
      <c r="B458" s="40">
        <f t="shared" ref="B458:C458" si="453"> B453</f>
        <v>1</v>
      </c>
      <c r="C458" s="36">
        <f t="shared" si="453"/>
        <v>2</v>
      </c>
      <c r="D458" s="50">
        <v>3340.4982869635355</v>
      </c>
      <c r="G458" s="50"/>
      <c r="H458" s="50"/>
    </row>
    <row r="459" ht="12.75" customHeight="1">
      <c r="A459" s="35">
        <f t="shared" si="2"/>
        <v>92</v>
      </c>
      <c r="B459" s="40">
        <f t="shared" ref="B459:C459" si="454"> B454</f>
        <v>1</v>
      </c>
      <c r="C459" s="36">
        <f t="shared" si="454"/>
        <v>3</v>
      </c>
      <c r="D459" s="50">
        <v>11673.425841075052</v>
      </c>
      <c r="G459" s="50"/>
      <c r="H459" s="50"/>
    </row>
    <row r="460" ht="12.75" customHeight="1">
      <c r="A460" s="35">
        <f t="shared" si="2"/>
        <v>92</v>
      </c>
      <c r="B460" s="40">
        <f t="shared" ref="B460:C460" si="455"> B455</f>
        <v>1</v>
      </c>
      <c r="C460" s="36">
        <f t="shared" si="455"/>
        <v>4</v>
      </c>
      <c r="D460" s="50">
        <v>1638.742553157885</v>
      </c>
      <c r="G460" s="50"/>
      <c r="H460" s="50"/>
    </row>
    <row r="461" ht="12.75" customHeight="1">
      <c r="A461" s="35">
        <f t="shared" si="2"/>
        <v>92</v>
      </c>
      <c r="B461" s="40">
        <f t="shared" ref="B461:C461" si="456"> B456</f>
        <v>2</v>
      </c>
      <c r="C461" s="36">
        <f t="shared" si="456"/>
        <v>5</v>
      </c>
      <c r="D461" s="50">
        <v>5552.468427291041</v>
      </c>
      <c r="G461" s="50"/>
      <c r="H461" s="50"/>
    </row>
    <row r="462" ht="12.75" customHeight="1">
      <c r="A462" s="35">
        <f t="shared" si="2"/>
        <v>93</v>
      </c>
      <c r="B462" s="40">
        <f t="shared" ref="B462:C462" si="457"> B457</f>
        <v>1</v>
      </c>
      <c r="C462" s="36">
        <f t="shared" si="457"/>
        <v>1</v>
      </c>
      <c r="D462" s="50">
        <v>3101.184688164194</v>
      </c>
      <c r="G462" s="50"/>
      <c r="H462" s="50"/>
    </row>
    <row r="463" ht="12.75" customHeight="1">
      <c r="A463" s="35">
        <f t="shared" si="2"/>
        <v>93</v>
      </c>
      <c r="B463" s="40">
        <f t="shared" ref="B463:C463" si="458"> B458</f>
        <v>1</v>
      </c>
      <c r="C463" s="36">
        <f t="shared" si="458"/>
        <v>2</v>
      </c>
      <c r="D463" s="50">
        <v>3336.5387868209477</v>
      </c>
      <c r="G463" s="50"/>
      <c r="H463" s="50"/>
    </row>
    <row r="464" ht="12.75" customHeight="1">
      <c r="A464" s="35">
        <f t="shared" si="2"/>
        <v>93</v>
      </c>
      <c r="B464" s="40">
        <f t="shared" ref="B464:C464" si="459"> B459</f>
        <v>1</v>
      </c>
      <c r="C464" s="36">
        <f t="shared" si="459"/>
        <v>3</v>
      </c>
      <c r="D464" s="50">
        <v>11659.589303136203</v>
      </c>
      <c r="G464" s="50"/>
      <c r="H464" s="50"/>
    </row>
    <row r="465" ht="12.75" customHeight="1">
      <c r="A465" s="35">
        <f t="shared" si="2"/>
        <v>93</v>
      </c>
      <c r="B465" s="40">
        <f t="shared" ref="B465:C465" si="460"> B460</f>
        <v>1</v>
      </c>
      <c r="C465" s="36">
        <f t="shared" si="460"/>
        <v>4</v>
      </c>
      <c r="D465" s="50">
        <v>1636.800147919057</v>
      </c>
      <c r="G465" s="50"/>
      <c r="H465" s="50"/>
    </row>
    <row r="466" ht="12.75" customHeight="1">
      <c r="A466" s="35">
        <f t="shared" si="2"/>
        <v>93</v>
      </c>
      <c r="B466" s="40">
        <f t="shared" ref="B466:C466" si="461"> B461</f>
        <v>2</v>
      </c>
      <c r="C466" s="36">
        <f t="shared" si="461"/>
        <v>5</v>
      </c>
      <c r="D466" s="50">
        <v>5545.8870739596005</v>
      </c>
      <c r="G466" s="50"/>
      <c r="H466" s="50"/>
    </row>
    <row r="467" ht="12.75" customHeight="1">
      <c r="A467" s="35">
        <f t="shared" si="2"/>
        <v>94</v>
      </c>
      <c r="B467" s="40">
        <f t="shared" ref="B467:C467" si="462"> B462</f>
        <v>1</v>
      </c>
      <c r="C467" s="36">
        <f t="shared" si="462"/>
        <v>1</v>
      </c>
      <c r="D467" s="50">
        <v>3098.73121926533</v>
      </c>
      <c r="G467" s="50"/>
      <c r="H467" s="50"/>
    </row>
    <row r="468" ht="12.75" customHeight="1">
      <c r="A468" s="35">
        <f t="shared" si="2"/>
        <v>94</v>
      </c>
      <c r="B468" s="40">
        <f t="shared" ref="B468:C468" si="463"> B463</f>
        <v>1</v>
      </c>
      <c r="C468" s="36">
        <f t="shared" si="463"/>
        <v>2</v>
      </c>
      <c r="D468" s="50">
        <v>3333.899120059222</v>
      </c>
      <c r="G468" s="50"/>
      <c r="H468" s="50"/>
    </row>
    <row r="469" ht="12.75" customHeight="1">
      <c r="A469" s="35">
        <f t="shared" si="2"/>
        <v>94</v>
      </c>
      <c r="B469" s="40">
        <f t="shared" ref="B469:C469" si="464"> B464</f>
        <v>1</v>
      </c>
      <c r="C469" s="36">
        <f t="shared" si="464"/>
        <v>3</v>
      </c>
      <c r="D469" s="50">
        <v>11650.364944510304</v>
      </c>
      <c r="G469" s="50"/>
      <c r="H469" s="50"/>
    </row>
    <row r="470" ht="12.75" customHeight="1">
      <c r="A470" s="35">
        <f t="shared" si="2"/>
        <v>94</v>
      </c>
      <c r="B470" s="40">
        <f t="shared" ref="B470:C470" si="465"> B465</f>
        <v>1</v>
      </c>
      <c r="C470" s="36">
        <f t="shared" si="465"/>
        <v>4</v>
      </c>
      <c r="D470" s="50">
        <v>1635.5052110931717</v>
      </c>
      <c r="G470" s="50"/>
      <c r="H470" s="50"/>
    </row>
    <row r="471" ht="12.75" customHeight="1">
      <c r="A471" s="35">
        <f t="shared" si="2"/>
        <v>94</v>
      </c>
      <c r="B471" s="40">
        <f t="shared" ref="B471:C471" si="466"> B466</f>
        <v>2</v>
      </c>
      <c r="C471" s="36">
        <f t="shared" si="466"/>
        <v>5</v>
      </c>
      <c r="D471" s="50">
        <v>5541.499505071974</v>
      </c>
      <c r="G471" s="50"/>
      <c r="H471" s="50"/>
    </row>
    <row r="472" ht="12.75" customHeight="1">
      <c r="A472" s="35">
        <f t="shared" si="2"/>
        <v>95</v>
      </c>
      <c r="B472" s="40">
        <f t="shared" ref="B472:C472" si="467"> B467</f>
        <v>1</v>
      </c>
      <c r="C472" s="36">
        <f t="shared" si="467"/>
        <v>1</v>
      </c>
      <c r="D472" s="50">
        <v>3096.277750366466</v>
      </c>
      <c r="G472" s="50"/>
      <c r="H472" s="50"/>
    </row>
    <row r="473" ht="12.75" customHeight="1">
      <c r="A473" s="35">
        <f t="shared" si="2"/>
        <v>95</v>
      </c>
      <c r="B473" s="40">
        <f t="shared" ref="B473:C473" si="468"> B468</f>
        <v>1</v>
      </c>
      <c r="C473" s="36">
        <f t="shared" si="468"/>
        <v>2</v>
      </c>
      <c r="D473" s="50">
        <v>3331.2594532974967</v>
      </c>
      <c r="G473" s="50"/>
      <c r="H473" s="50"/>
    </row>
    <row r="474" ht="12.75" customHeight="1">
      <c r="A474" s="35">
        <f t="shared" si="2"/>
        <v>95</v>
      </c>
      <c r="B474" s="40">
        <f t="shared" ref="B474:C474" si="469"> B469</f>
        <v>1</v>
      </c>
      <c r="C474" s="36">
        <f t="shared" si="469"/>
        <v>3</v>
      </c>
      <c r="D474" s="50">
        <v>11641.140585884405</v>
      </c>
      <c r="G474" s="50"/>
      <c r="H474" s="50"/>
    </row>
    <row r="475" ht="12.75" customHeight="1">
      <c r="A475" s="35">
        <f t="shared" si="2"/>
        <v>95</v>
      </c>
      <c r="B475" s="40">
        <f t="shared" ref="B475:C475" si="470"> B470</f>
        <v>1</v>
      </c>
      <c r="C475" s="36">
        <f t="shared" si="470"/>
        <v>4</v>
      </c>
      <c r="D475" s="50">
        <v>1634.2102742672862</v>
      </c>
      <c r="G475" s="50"/>
      <c r="H475" s="50"/>
    </row>
    <row r="476" ht="12.75" customHeight="1">
      <c r="A476" s="35">
        <f t="shared" si="2"/>
        <v>95</v>
      </c>
      <c r="B476" s="40">
        <f t="shared" ref="B476:C476" si="471"> B471</f>
        <v>2</v>
      </c>
      <c r="C476" s="36">
        <f t="shared" si="471"/>
        <v>5</v>
      </c>
      <c r="D476" s="50">
        <v>5537.111936184348</v>
      </c>
      <c r="G476" s="50"/>
      <c r="H476" s="50"/>
    </row>
    <row r="477" ht="12.75" customHeight="1">
      <c r="A477" s="35">
        <f t="shared" si="2"/>
        <v>96</v>
      </c>
      <c r="B477" s="40">
        <f t="shared" ref="B477:C477" si="472"> B472</f>
        <v>1</v>
      </c>
      <c r="C477" s="36">
        <f t="shared" si="472"/>
        <v>1</v>
      </c>
      <c r="D477" s="50">
        <v>3093.824281467602</v>
      </c>
      <c r="G477" s="50"/>
      <c r="H477" s="50"/>
    </row>
    <row r="478" ht="12.75" customHeight="1">
      <c r="A478" s="35">
        <f t="shared" si="2"/>
        <v>96</v>
      </c>
      <c r="B478" s="40">
        <f t="shared" ref="B478:C478" si="473"> B473</f>
        <v>1</v>
      </c>
      <c r="C478" s="36">
        <f t="shared" si="473"/>
        <v>2</v>
      </c>
      <c r="D478" s="50">
        <v>3328.6197865357713</v>
      </c>
      <c r="G478" s="50"/>
      <c r="H478" s="50"/>
    </row>
    <row r="479" ht="12.75" customHeight="1">
      <c r="A479" s="35">
        <f t="shared" si="2"/>
        <v>96</v>
      </c>
      <c r="B479" s="40">
        <f t="shared" ref="B479:C479" si="474"> B474</f>
        <v>1</v>
      </c>
      <c r="C479" s="36">
        <f t="shared" si="474"/>
        <v>3</v>
      </c>
      <c r="D479" s="50">
        <v>11631.916227258509</v>
      </c>
      <c r="G479" s="50"/>
      <c r="H479" s="50"/>
    </row>
    <row r="480" ht="12.75" customHeight="1">
      <c r="A480" s="35">
        <f t="shared" si="2"/>
        <v>96</v>
      </c>
      <c r="B480" s="40">
        <f t="shared" ref="B480:C480" si="475"> B475</f>
        <v>1</v>
      </c>
      <c r="C480" s="36">
        <f t="shared" si="475"/>
        <v>4</v>
      </c>
      <c r="D480" s="50">
        <v>1632.915337441401</v>
      </c>
      <c r="G480" s="50"/>
      <c r="H480" s="50"/>
    </row>
    <row r="481" ht="12.75" customHeight="1">
      <c r="A481" s="35">
        <f t="shared" si="2"/>
        <v>96</v>
      </c>
      <c r="B481" s="40">
        <f t="shared" ref="B481:C481" si="476"> B476</f>
        <v>2</v>
      </c>
      <c r="C481" s="36">
        <f t="shared" si="476"/>
        <v>5</v>
      </c>
      <c r="D481" s="50">
        <v>5532.724367296722</v>
      </c>
      <c r="G481" s="50"/>
      <c r="H481" s="50"/>
    </row>
    <row r="482" ht="12.75" customHeight="1">
      <c r="A482" s="35">
        <f t="shared" si="2"/>
        <v>97</v>
      </c>
      <c r="B482" s="40">
        <f t="shared" ref="B482:C482" si="477"> B477</f>
        <v>1</v>
      </c>
      <c r="C482" s="36">
        <f t="shared" si="477"/>
        <v>1</v>
      </c>
      <c r="D482" s="50">
        <v>3091.3708125687376</v>
      </c>
      <c r="G482" s="50"/>
      <c r="H482" s="50"/>
    </row>
    <row r="483" ht="12.75" customHeight="1">
      <c r="A483" s="35">
        <f t="shared" si="2"/>
        <v>97</v>
      </c>
      <c r="B483" s="40">
        <f t="shared" ref="B483:C483" si="478"> B478</f>
        <v>1</v>
      </c>
      <c r="C483" s="36">
        <f t="shared" si="478"/>
        <v>2</v>
      </c>
      <c r="D483" s="50">
        <v>3325.980119774046</v>
      </c>
      <c r="G483" s="50"/>
      <c r="H483" s="50"/>
    </row>
    <row r="484" ht="12.75" customHeight="1">
      <c r="A484" s="35">
        <f t="shared" si="2"/>
        <v>97</v>
      </c>
      <c r="B484" s="40">
        <f t="shared" ref="B484:C484" si="479"> B479</f>
        <v>1</v>
      </c>
      <c r="C484" s="36">
        <f t="shared" si="479"/>
        <v>3</v>
      </c>
      <c r="D484" s="50">
        <v>11622.69186863261</v>
      </c>
      <c r="G484" s="50"/>
      <c r="H484" s="50"/>
    </row>
    <row r="485" ht="12.75" customHeight="1">
      <c r="A485" s="35">
        <f t="shared" si="2"/>
        <v>97</v>
      </c>
      <c r="B485" s="40">
        <f t="shared" ref="B485:C485" si="480"> B480</f>
        <v>1</v>
      </c>
      <c r="C485" s="36">
        <f t="shared" si="480"/>
        <v>4</v>
      </c>
      <c r="D485" s="50">
        <v>1631.6204006155156</v>
      </c>
      <c r="G485" s="50"/>
      <c r="H485" s="50"/>
    </row>
    <row r="486" ht="12.75" customHeight="1">
      <c r="A486" s="35">
        <f t="shared" si="2"/>
        <v>97</v>
      </c>
      <c r="B486" s="40">
        <f t="shared" ref="B486:C486" si="481"> B481</f>
        <v>2</v>
      </c>
      <c r="C486" s="36">
        <f t="shared" si="481"/>
        <v>5</v>
      </c>
      <c r="D486" s="50">
        <v>5528.3367984090955</v>
      </c>
      <c r="G486" s="50"/>
      <c r="H486" s="50"/>
    </row>
    <row r="487" ht="12.75" customHeight="1">
      <c r="A487" s="35">
        <f t="shared" si="2"/>
        <v>98</v>
      </c>
      <c r="B487" s="40">
        <f t="shared" ref="B487:C487" si="482"> B482</f>
        <v>1</v>
      </c>
      <c r="C487" s="36">
        <f t="shared" si="482"/>
        <v>1</v>
      </c>
      <c r="D487" s="50">
        <v>3087.6906092204413</v>
      </c>
      <c r="G487" s="50"/>
      <c r="H487" s="50"/>
    </row>
    <row r="488" ht="12.75" customHeight="1">
      <c r="A488" s="35">
        <f t="shared" si="2"/>
        <v>98</v>
      </c>
      <c r="B488" s="40">
        <f t="shared" ref="B488:C488" si="483"> B483</f>
        <v>1</v>
      </c>
      <c r="C488" s="36">
        <f t="shared" si="483"/>
        <v>2</v>
      </c>
      <c r="D488" s="50">
        <v>3322.020619631458</v>
      </c>
      <c r="G488" s="50"/>
      <c r="H488" s="50"/>
    </row>
    <row r="489" ht="12.75" customHeight="1">
      <c r="A489" s="35">
        <f t="shared" si="2"/>
        <v>98</v>
      </c>
      <c r="B489" s="40">
        <f t="shared" ref="B489:C489" si="484"> B484</f>
        <v>1</v>
      </c>
      <c r="C489" s="36">
        <f t="shared" si="484"/>
        <v>3</v>
      </c>
      <c r="D489" s="50">
        <v>11608.855330693761</v>
      </c>
      <c r="G489" s="50"/>
      <c r="H489" s="50"/>
    </row>
    <row r="490" ht="12.75" customHeight="1">
      <c r="A490" s="35">
        <f t="shared" si="2"/>
        <v>98</v>
      </c>
      <c r="B490" s="40">
        <f t="shared" ref="B490:C490" si="485"> B485</f>
        <v>1</v>
      </c>
      <c r="C490" s="36">
        <f t="shared" si="485"/>
        <v>4</v>
      </c>
      <c r="D490" s="50">
        <v>1629.6779953766877</v>
      </c>
      <c r="G490" s="50"/>
      <c r="H490" s="50"/>
    </row>
    <row r="491" ht="12.75" customHeight="1">
      <c r="A491" s="35">
        <f t="shared" si="2"/>
        <v>98</v>
      </c>
      <c r="B491" s="40">
        <f t="shared" ref="B491:C491" si="486"> B486</f>
        <v>2</v>
      </c>
      <c r="C491" s="36">
        <f t="shared" si="486"/>
        <v>5</v>
      </c>
      <c r="D491" s="50">
        <v>5521.755445077656</v>
      </c>
      <c r="G491" s="50"/>
      <c r="H491" s="50"/>
    </row>
    <row r="492" ht="12.75" customHeight="1">
      <c r="A492" s="35">
        <f t="shared" si="2"/>
        <v>99</v>
      </c>
      <c r="B492" s="40">
        <f t="shared" ref="B492:C492" si="487"> B487</f>
        <v>1</v>
      </c>
      <c r="C492" s="36">
        <f t="shared" si="487"/>
        <v>1</v>
      </c>
      <c r="D492" s="50">
        <v>3085.2371403215775</v>
      </c>
      <c r="G492" s="50"/>
      <c r="H492" s="50"/>
    </row>
    <row r="493" ht="12.75" customHeight="1">
      <c r="A493" s="35">
        <f t="shared" si="2"/>
        <v>99</v>
      </c>
      <c r="B493" s="40">
        <f t="shared" ref="B493:C493" si="488"> B488</f>
        <v>1</v>
      </c>
      <c r="C493" s="36">
        <f t="shared" si="488"/>
        <v>2</v>
      </c>
      <c r="D493" s="50">
        <v>3319.380952869732</v>
      </c>
      <c r="G493" s="50"/>
      <c r="H493" s="50"/>
    </row>
    <row r="494" ht="12.75" customHeight="1">
      <c r="A494" s="35">
        <f t="shared" si="2"/>
        <v>99</v>
      </c>
      <c r="B494" s="40">
        <f t="shared" ref="B494:C494" si="489"> B489</f>
        <v>1</v>
      </c>
      <c r="C494" s="36">
        <f t="shared" si="489"/>
        <v>3</v>
      </c>
      <c r="D494" s="50">
        <v>11599.630972067862</v>
      </c>
      <c r="G494" s="50"/>
      <c r="H494" s="50"/>
    </row>
    <row r="495" ht="12.75" customHeight="1">
      <c r="A495" s="35">
        <f t="shared" si="2"/>
        <v>99</v>
      </c>
      <c r="B495" s="40">
        <f t="shared" ref="B495:C495" si="490"> B490</f>
        <v>1</v>
      </c>
      <c r="C495" s="36">
        <f t="shared" si="490"/>
        <v>4</v>
      </c>
      <c r="D495" s="50">
        <v>1628.3830585508024</v>
      </c>
      <c r="G495" s="50"/>
      <c r="H495" s="50"/>
    </row>
    <row r="496" ht="12.75" customHeight="1">
      <c r="A496" s="35">
        <f t="shared" si="2"/>
        <v>99</v>
      </c>
      <c r="B496" s="40">
        <f t="shared" ref="B496:C496" si="491"> B491</f>
        <v>2</v>
      </c>
      <c r="C496" s="36">
        <f t="shared" si="491"/>
        <v>5</v>
      </c>
      <c r="D496" s="50">
        <v>5517.36787619003</v>
      </c>
      <c r="G496" s="50"/>
      <c r="H496" s="50"/>
    </row>
    <row r="497" ht="12.75" customHeight="1">
      <c r="A497" s="35">
        <f t="shared" si="2"/>
        <v>100</v>
      </c>
      <c r="B497" s="40">
        <f t="shared" ref="B497:C497" si="492"> B492</f>
        <v>1</v>
      </c>
      <c r="C497" s="36">
        <f t="shared" si="492"/>
        <v>1</v>
      </c>
      <c r="D497" s="50">
        <v>3082.7836714227133</v>
      </c>
      <c r="G497" s="50"/>
      <c r="H497" s="50"/>
    </row>
    <row r="498" ht="12.75" customHeight="1">
      <c r="A498" s="35">
        <f t="shared" si="2"/>
        <v>100</v>
      </c>
      <c r="B498" s="40">
        <f t="shared" ref="B498:C498" si="493"> B493</f>
        <v>1</v>
      </c>
      <c r="C498" s="36">
        <f t="shared" si="493"/>
        <v>2</v>
      </c>
      <c r="D498" s="50">
        <v>3316.7412861080065</v>
      </c>
      <c r="G498" s="50"/>
      <c r="H498" s="50"/>
    </row>
    <row r="499" ht="12.75" customHeight="1">
      <c r="A499" s="35">
        <f t="shared" si="2"/>
        <v>100</v>
      </c>
      <c r="B499" s="40">
        <f t="shared" ref="B499:C499" si="494"> B494</f>
        <v>1</v>
      </c>
      <c r="C499" s="36">
        <f t="shared" si="494"/>
        <v>3</v>
      </c>
      <c r="D499" s="50">
        <v>11590.406613441963</v>
      </c>
      <c r="G499" s="50"/>
      <c r="H499" s="50"/>
    </row>
    <row r="500" ht="12.75" customHeight="1">
      <c r="A500" s="35">
        <f t="shared" si="2"/>
        <v>100</v>
      </c>
      <c r="B500" s="40">
        <f t="shared" ref="B500:C500" si="495"> B495</f>
        <v>1</v>
      </c>
      <c r="C500" s="36">
        <f t="shared" si="495"/>
        <v>4</v>
      </c>
      <c r="D500" s="50">
        <v>1627.0881217249168</v>
      </c>
      <c r="G500" s="50"/>
      <c r="H500" s="50"/>
    </row>
    <row r="501" ht="12.75" customHeight="1">
      <c r="A501" s="35">
        <f t="shared" si="2"/>
        <v>100</v>
      </c>
      <c r="B501" s="40">
        <f t="shared" ref="B501:C501" si="496"> B496</f>
        <v>2</v>
      </c>
      <c r="C501" s="36">
        <f t="shared" si="496"/>
        <v>5</v>
      </c>
      <c r="D501" s="50">
        <v>5512.980307302404</v>
      </c>
      <c r="G501" s="50"/>
      <c r="H501" s="50"/>
    </row>
    <row r="502" ht="12.75" customHeight="1">
      <c r="A502" s="35">
        <f t="shared" si="2"/>
        <v>101</v>
      </c>
      <c r="B502" s="40">
        <f t="shared" ref="B502:C502" si="497"> B497</f>
        <v>1</v>
      </c>
      <c r="C502" s="36">
        <f t="shared" si="497"/>
        <v>1</v>
      </c>
      <c r="D502" s="50">
        <v>3080.3302025238495</v>
      </c>
      <c r="G502" s="50"/>
      <c r="H502" s="50"/>
    </row>
    <row r="503" ht="12.75" customHeight="1">
      <c r="A503" s="35">
        <f t="shared" si="2"/>
        <v>101</v>
      </c>
      <c r="B503" s="40">
        <f t="shared" ref="B503:C503" si="498"> B498</f>
        <v>1</v>
      </c>
      <c r="C503" s="36">
        <f t="shared" si="498"/>
        <v>2</v>
      </c>
      <c r="D503" s="50">
        <v>3314.1016193462815</v>
      </c>
      <c r="G503" s="50"/>
      <c r="H503" s="50"/>
    </row>
    <row r="504" ht="12.75" customHeight="1">
      <c r="A504" s="35">
        <f t="shared" si="2"/>
        <v>101</v>
      </c>
      <c r="B504" s="40">
        <f t="shared" ref="B504:C504" si="499"> B499</f>
        <v>1</v>
      </c>
      <c r="C504" s="36">
        <f t="shared" si="499"/>
        <v>3</v>
      </c>
      <c r="D504" s="50">
        <v>11581.182254816064</v>
      </c>
      <c r="G504" s="50"/>
      <c r="H504" s="50"/>
    </row>
    <row r="505" ht="12.75" customHeight="1">
      <c r="A505" s="35">
        <f t="shared" si="2"/>
        <v>101</v>
      </c>
      <c r="B505" s="40">
        <f t="shared" ref="B505:C505" si="500"> B500</f>
        <v>1</v>
      </c>
      <c r="C505" s="36">
        <f t="shared" si="500"/>
        <v>4</v>
      </c>
      <c r="D505" s="50">
        <v>1625.7931848990318</v>
      </c>
      <c r="G505" s="50"/>
      <c r="H505" s="50"/>
    </row>
    <row r="506" ht="12.75" customHeight="1">
      <c r="A506" s="35">
        <f t="shared" si="2"/>
        <v>101</v>
      </c>
      <c r="B506" s="40">
        <f t="shared" ref="B506:C506" si="501"> B501</f>
        <v>2</v>
      </c>
      <c r="C506" s="36">
        <f t="shared" si="501"/>
        <v>5</v>
      </c>
      <c r="D506" s="50">
        <v>5508.592738414777</v>
      </c>
      <c r="G506" s="50"/>
      <c r="H506" s="50"/>
    </row>
    <row r="507" ht="12.75" customHeight="1">
      <c r="A507" s="35">
        <f t="shared" si="2"/>
        <v>102</v>
      </c>
      <c r="B507" s="40">
        <f t="shared" ref="B507:C507" si="502"> B502</f>
        <v>1</v>
      </c>
      <c r="C507" s="36">
        <f t="shared" si="502"/>
        <v>1</v>
      </c>
      <c r="D507" s="50">
        <v>3077.8767336249853</v>
      </c>
      <c r="G507" s="50"/>
      <c r="H507" s="50"/>
    </row>
    <row r="508" ht="12.75" customHeight="1">
      <c r="A508" s="35">
        <f t="shared" si="2"/>
        <v>102</v>
      </c>
      <c r="B508" s="40">
        <f t="shared" ref="B508:C508" si="503"> B503</f>
        <v>1</v>
      </c>
      <c r="C508" s="36">
        <f t="shared" si="503"/>
        <v>2</v>
      </c>
      <c r="D508" s="50">
        <v>3311.461952584556</v>
      </c>
      <c r="G508" s="50"/>
      <c r="H508" s="50"/>
    </row>
    <row r="509" ht="12.75" customHeight="1">
      <c r="A509" s="35">
        <f t="shared" si="2"/>
        <v>102</v>
      </c>
      <c r="B509" s="40">
        <f t="shared" ref="B509:C509" si="504"> B504</f>
        <v>1</v>
      </c>
      <c r="C509" s="36">
        <f t="shared" si="504"/>
        <v>3</v>
      </c>
      <c r="D509" s="50">
        <v>11571.957896190164</v>
      </c>
      <c r="G509" s="50"/>
      <c r="H509" s="50"/>
    </row>
    <row r="510" ht="12.75" customHeight="1">
      <c r="A510" s="35">
        <f t="shared" si="2"/>
        <v>102</v>
      </c>
      <c r="B510" s="40">
        <f t="shared" ref="B510:C510" si="505"> B505</f>
        <v>1</v>
      </c>
      <c r="C510" s="36">
        <f t="shared" si="505"/>
        <v>4</v>
      </c>
      <c r="D510" s="50">
        <v>1624.4982480731462</v>
      </c>
      <c r="G510" s="50"/>
      <c r="H510" s="50"/>
    </row>
    <row r="511" ht="12.75" customHeight="1">
      <c r="A511" s="35">
        <f t="shared" si="2"/>
        <v>102</v>
      </c>
      <c r="B511" s="40">
        <f t="shared" ref="B511:C511" si="506"> B506</f>
        <v>2</v>
      </c>
      <c r="C511" s="36">
        <f t="shared" si="506"/>
        <v>5</v>
      </c>
      <c r="D511" s="50">
        <v>5504.205169527151</v>
      </c>
      <c r="G511" s="50"/>
      <c r="H511" s="50"/>
    </row>
    <row r="512" ht="12.75" customHeight="1">
      <c r="A512" s="35">
        <f t="shared" si="2"/>
        <v>103</v>
      </c>
      <c r="B512" s="40">
        <f t="shared" ref="B512:C512" si="507"> B507</f>
        <v>1</v>
      </c>
      <c r="C512" s="36">
        <f t="shared" si="507"/>
        <v>1</v>
      </c>
      <c r="D512" s="50">
        <v>3075.4232647261215</v>
      </c>
      <c r="G512" s="50"/>
      <c r="H512" s="50"/>
    </row>
    <row r="513" ht="12.75" customHeight="1">
      <c r="A513" s="35">
        <f t="shared" si="2"/>
        <v>103</v>
      </c>
      <c r="B513" s="40">
        <f t="shared" ref="B513:C513" si="508"> B508</f>
        <v>1</v>
      </c>
      <c r="C513" s="36">
        <f t="shared" si="508"/>
        <v>2</v>
      </c>
      <c r="D513" s="50">
        <v>3308.82228582283</v>
      </c>
      <c r="G513" s="50"/>
      <c r="H513" s="50"/>
    </row>
    <row r="514" ht="12.75" customHeight="1">
      <c r="A514" s="35">
        <f t="shared" si="2"/>
        <v>103</v>
      </c>
      <c r="B514" s="40">
        <f t="shared" ref="B514:C514" si="509"> B509</f>
        <v>1</v>
      </c>
      <c r="C514" s="36">
        <f t="shared" si="509"/>
        <v>3</v>
      </c>
      <c r="D514" s="50">
        <v>11562.733537564267</v>
      </c>
      <c r="G514" s="50"/>
      <c r="H514" s="50"/>
    </row>
    <row r="515" ht="12.75" customHeight="1">
      <c r="A515" s="35">
        <f t="shared" si="2"/>
        <v>103</v>
      </c>
      <c r="B515" s="40">
        <f t="shared" ref="B515:C515" si="510"> B510</f>
        <v>1</v>
      </c>
      <c r="C515" s="36">
        <f t="shared" si="510"/>
        <v>4</v>
      </c>
      <c r="D515" s="50">
        <v>1623.2033112472611</v>
      </c>
      <c r="G515" s="50"/>
      <c r="H515" s="50"/>
    </row>
    <row r="516" ht="12.75" customHeight="1">
      <c r="A516" s="35">
        <f t="shared" si="2"/>
        <v>103</v>
      </c>
      <c r="B516" s="40">
        <f t="shared" ref="B516:C516" si="511"> B511</f>
        <v>2</v>
      </c>
      <c r="C516" s="36">
        <f t="shared" si="511"/>
        <v>5</v>
      </c>
      <c r="D516" s="50">
        <v>5499.817600639525</v>
      </c>
      <c r="G516" s="50"/>
      <c r="H516" s="50"/>
    </row>
    <row r="517" ht="12.75" customHeight="1">
      <c r="A517" s="35">
        <f t="shared" si="2"/>
        <v>104</v>
      </c>
      <c r="B517" s="40">
        <f t="shared" ref="B517:C517" si="512"> B512</f>
        <v>1</v>
      </c>
      <c r="C517" s="36">
        <f t="shared" si="512"/>
        <v>1</v>
      </c>
      <c r="D517" s="50">
        <v>3072.9697958272573</v>
      </c>
      <c r="G517" s="50"/>
      <c r="H517" s="50"/>
    </row>
    <row r="518" ht="12.75" customHeight="1">
      <c r="A518" s="35">
        <f t="shared" si="2"/>
        <v>104</v>
      </c>
      <c r="B518" s="40">
        <f t="shared" ref="B518:C518" si="513"> B513</f>
        <v>1</v>
      </c>
      <c r="C518" s="36">
        <f t="shared" si="513"/>
        <v>2</v>
      </c>
      <c r="D518" s="50">
        <v>3306.182619061105</v>
      </c>
      <c r="G518" s="50"/>
      <c r="H518" s="50"/>
    </row>
    <row r="519" ht="12.75" customHeight="1">
      <c r="A519" s="35">
        <f t="shared" si="2"/>
        <v>104</v>
      </c>
      <c r="B519" s="40">
        <f t="shared" ref="B519:C519" si="514"> B514</f>
        <v>1</v>
      </c>
      <c r="C519" s="36">
        <f t="shared" si="514"/>
        <v>3</v>
      </c>
      <c r="D519" s="50">
        <v>11553.509178938368</v>
      </c>
      <c r="G519" s="50"/>
      <c r="H519" s="50"/>
    </row>
    <row r="520" ht="12.75" customHeight="1">
      <c r="A520" s="35">
        <f t="shared" si="2"/>
        <v>104</v>
      </c>
      <c r="B520" s="40">
        <f t="shared" ref="B520:C520" si="515"> B515</f>
        <v>1</v>
      </c>
      <c r="C520" s="36">
        <f t="shared" si="515"/>
        <v>4</v>
      </c>
      <c r="D520" s="50">
        <v>1621.9083744213758</v>
      </c>
      <c r="G520" s="50"/>
      <c r="H520" s="50"/>
    </row>
    <row r="521" ht="12.75" customHeight="1">
      <c r="A521" s="35">
        <f t="shared" si="2"/>
        <v>104</v>
      </c>
      <c r="B521" s="40">
        <f t="shared" ref="B521:C521" si="516"> B516</f>
        <v>2</v>
      </c>
      <c r="C521" s="36">
        <f t="shared" si="516"/>
        <v>5</v>
      </c>
      <c r="D521" s="50">
        <v>5495.430031751899</v>
      </c>
      <c r="G521" s="50"/>
      <c r="H521" s="50"/>
    </row>
    <row r="522" ht="12.75" customHeight="1">
      <c r="A522" s="35">
        <f t="shared" si="2"/>
        <v>105</v>
      </c>
      <c r="B522" s="40">
        <f t="shared" ref="B522:C522" si="517"> B517</f>
        <v>1</v>
      </c>
      <c r="C522" s="36">
        <f t="shared" si="517"/>
        <v>1</v>
      </c>
      <c r="D522" s="50">
        <v>3070.5163269283935</v>
      </c>
      <c r="G522" s="50"/>
      <c r="H522" s="50"/>
    </row>
    <row r="523" ht="12.75" customHeight="1">
      <c r="A523" s="35">
        <f t="shared" si="2"/>
        <v>105</v>
      </c>
      <c r="B523" s="40">
        <f t="shared" ref="B523:C523" si="518"> B518</f>
        <v>1</v>
      </c>
      <c r="C523" s="36">
        <f t="shared" si="518"/>
        <v>2</v>
      </c>
      <c r="D523" s="50">
        <v>3303.5429522993795</v>
      </c>
      <c r="G523" s="50"/>
      <c r="H523" s="50"/>
    </row>
    <row r="524" ht="12.75" customHeight="1">
      <c r="A524" s="35">
        <f t="shared" si="2"/>
        <v>105</v>
      </c>
      <c r="B524" s="40">
        <f t="shared" ref="B524:C524" si="519"> B519</f>
        <v>1</v>
      </c>
      <c r="C524" s="36">
        <f t="shared" si="519"/>
        <v>3</v>
      </c>
      <c r="D524" s="50">
        <v>11544.284820312469</v>
      </c>
      <c r="G524" s="50"/>
      <c r="H524" s="50"/>
    </row>
    <row r="525" ht="12.75" customHeight="1">
      <c r="A525" s="35">
        <f t="shared" si="2"/>
        <v>105</v>
      </c>
      <c r="B525" s="40">
        <f t="shared" ref="B525:C525" si="520"> B520</f>
        <v>1</v>
      </c>
      <c r="C525" s="36">
        <f t="shared" si="520"/>
        <v>4</v>
      </c>
      <c r="D525" s="50">
        <v>1620.6134375954903</v>
      </c>
      <c r="G525" s="50"/>
      <c r="H525" s="50"/>
    </row>
    <row r="526" ht="12.75" customHeight="1">
      <c r="A526" s="35">
        <f t="shared" si="2"/>
        <v>105</v>
      </c>
      <c r="B526" s="40">
        <f t="shared" ref="B526:C526" si="521"> B521</f>
        <v>2</v>
      </c>
      <c r="C526" s="36">
        <f t="shared" si="521"/>
        <v>5</v>
      </c>
      <c r="D526" s="50">
        <v>5491.042462864273</v>
      </c>
      <c r="G526" s="50"/>
      <c r="H526" s="50"/>
    </row>
    <row r="527" ht="12.75" customHeight="1">
      <c r="A527" s="35">
        <f t="shared" si="2"/>
        <v>106</v>
      </c>
      <c r="B527" s="40">
        <f t="shared" ref="B527:C527" si="522"> B522</f>
        <v>1</v>
      </c>
      <c r="C527" s="36">
        <f t="shared" si="522"/>
        <v>1</v>
      </c>
      <c r="D527" s="50">
        <v>3068.0628580295293</v>
      </c>
      <c r="G527" s="50"/>
      <c r="H527" s="50"/>
    </row>
    <row r="528" ht="12.75" customHeight="1">
      <c r="A528" s="35">
        <f t="shared" si="2"/>
        <v>106</v>
      </c>
      <c r="B528" s="40">
        <f t="shared" ref="B528:C528" si="523"> B523</f>
        <v>1</v>
      </c>
      <c r="C528" s="36">
        <f t="shared" si="523"/>
        <v>2</v>
      </c>
      <c r="D528" s="50">
        <v>3300.9032855376545</v>
      </c>
      <c r="G528" s="50"/>
      <c r="H528" s="50"/>
    </row>
    <row r="529" ht="12.75" customHeight="1">
      <c r="A529" s="35">
        <f t="shared" si="2"/>
        <v>106</v>
      </c>
      <c r="B529" s="40">
        <f t="shared" ref="B529:C529" si="524"> B524</f>
        <v>1</v>
      </c>
      <c r="C529" s="36">
        <f t="shared" si="524"/>
        <v>3</v>
      </c>
      <c r="D529" s="50">
        <v>11535.06046168657</v>
      </c>
      <c r="G529" s="50"/>
      <c r="H529" s="50"/>
    </row>
    <row r="530" ht="12.75" customHeight="1">
      <c r="A530" s="35">
        <f t="shared" si="2"/>
        <v>106</v>
      </c>
      <c r="B530" s="40">
        <f t="shared" ref="B530:C530" si="525"> B525</f>
        <v>1</v>
      </c>
      <c r="C530" s="36">
        <f t="shared" si="525"/>
        <v>4</v>
      </c>
      <c r="D530" s="50">
        <v>1619.3185007696052</v>
      </c>
      <c r="G530" s="50"/>
      <c r="H530" s="50"/>
    </row>
    <row r="531" ht="12.75" customHeight="1">
      <c r="A531" s="35">
        <f t="shared" si="2"/>
        <v>106</v>
      </c>
      <c r="B531" s="40">
        <f t="shared" ref="B531:C531" si="526"> B526</f>
        <v>2</v>
      </c>
      <c r="C531" s="36">
        <f t="shared" si="526"/>
        <v>5</v>
      </c>
      <c r="D531" s="50">
        <v>5486.654893976646</v>
      </c>
      <c r="G531" s="50"/>
      <c r="H531" s="50"/>
    </row>
    <row r="532" ht="12.75" customHeight="1">
      <c r="A532" s="35">
        <f t="shared" si="2"/>
        <v>107</v>
      </c>
      <c r="B532" s="40">
        <f t="shared" ref="B532:C532" si="527"> B527</f>
        <v>1</v>
      </c>
      <c r="C532" s="36">
        <f t="shared" si="527"/>
        <v>1</v>
      </c>
      <c r="D532" s="50">
        <v>3065.609389130665</v>
      </c>
      <c r="G532" s="50"/>
      <c r="H532" s="50"/>
    </row>
    <row r="533" ht="12.75" customHeight="1">
      <c r="A533" s="35">
        <f t="shared" si="2"/>
        <v>107</v>
      </c>
      <c r="B533" s="40">
        <f t="shared" ref="B533:C533" si="528"> B528</f>
        <v>1</v>
      </c>
      <c r="C533" s="36">
        <f t="shared" si="528"/>
        <v>2</v>
      </c>
      <c r="D533" s="50">
        <v>3298.2636187759285</v>
      </c>
      <c r="G533" s="50"/>
      <c r="H533" s="50"/>
    </row>
    <row r="534" ht="12.75" customHeight="1">
      <c r="A534" s="35">
        <f t="shared" si="2"/>
        <v>107</v>
      </c>
      <c r="B534" s="40">
        <f t="shared" ref="B534:C534" si="529"> B529</f>
        <v>1</v>
      </c>
      <c r="C534" s="36">
        <f t="shared" si="529"/>
        <v>3</v>
      </c>
      <c r="D534" s="50">
        <v>11525.83610306067</v>
      </c>
      <c r="G534" s="50"/>
      <c r="H534" s="50"/>
    </row>
    <row r="535" ht="12.75" customHeight="1">
      <c r="A535" s="35">
        <f t="shared" si="2"/>
        <v>107</v>
      </c>
      <c r="B535" s="40">
        <f t="shared" ref="B535:C535" si="530"> B530</f>
        <v>1</v>
      </c>
      <c r="C535" s="36">
        <f t="shared" si="530"/>
        <v>4</v>
      </c>
      <c r="D535" s="50">
        <v>1618.0235639437196</v>
      </c>
      <c r="G535" s="50"/>
      <c r="H535" s="50"/>
    </row>
    <row r="536" ht="12.75" customHeight="1">
      <c r="A536" s="35">
        <f t="shared" si="2"/>
        <v>107</v>
      </c>
      <c r="B536" s="40">
        <f t="shared" ref="B536:C536" si="531"> B531</f>
        <v>2</v>
      </c>
      <c r="C536" s="36">
        <f t="shared" si="531"/>
        <v>5</v>
      </c>
      <c r="D536" s="50">
        <v>5482.26732508902</v>
      </c>
      <c r="G536" s="50"/>
      <c r="H536" s="50"/>
    </row>
    <row r="537" ht="12.75" customHeight="1">
      <c r="A537" s="35">
        <f t="shared" si="2"/>
        <v>108</v>
      </c>
      <c r="B537" s="40">
        <f t="shared" ref="B537:C537" si="532"> B532</f>
        <v>1</v>
      </c>
      <c r="C537" s="36">
        <f t="shared" si="532"/>
        <v>1</v>
      </c>
      <c r="D537" s="50">
        <v>3063.155920231801</v>
      </c>
      <c r="G537" s="50"/>
      <c r="H537" s="50"/>
    </row>
    <row r="538" ht="12.75" customHeight="1">
      <c r="A538" s="35">
        <f t="shared" si="2"/>
        <v>108</v>
      </c>
      <c r="B538" s="40">
        <f t="shared" ref="B538:C538" si="533"> B533</f>
        <v>1</v>
      </c>
      <c r="C538" s="36">
        <f t="shared" si="533"/>
        <v>2</v>
      </c>
      <c r="D538" s="50">
        <v>3295.623952014203</v>
      </c>
      <c r="G538" s="50"/>
      <c r="H538" s="50"/>
    </row>
    <row r="539" ht="12.75" customHeight="1">
      <c r="A539" s="35">
        <f t="shared" si="2"/>
        <v>108</v>
      </c>
      <c r="B539" s="40">
        <f t="shared" ref="B539:C539" si="534"> B534</f>
        <v>1</v>
      </c>
      <c r="C539" s="36">
        <f t="shared" si="534"/>
        <v>3</v>
      </c>
      <c r="D539" s="50">
        <v>11516.611744434771</v>
      </c>
      <c r="G539" s="50"/>
      <c r="H539" s="50"/>
    </row>
    <row r="540" ht="12.75" customHeight="1">
      <c r="A540" s="35">
        <f t="shared" si="2"/>
        <v>108</v>
      </c>
      <c r="B540" s="40">
        <f t="shared" ref="B540:C540" si="535"> B535</f>
        <v>1</v>
      </c>
      <c r="C540" s="36">
        <f t="shared" si="535"/>
        <v>4</v>
      </c>
      <c r="D540" s="50">
        <v>1616.7286271178343</v>
      </c>
      <c r="G540" s="50"/>
      <c r="H540" s="50"/>
    </row>
    <row r="541" ht="12.75" customHeight="1">
      <c r="A541" s="35">
        <f t="shared" si="2"/>
        <v>108</v>
      </c>
      <c r="B541" s="40">
        <f t="shared" ref="B541:C541" si="536"> B536</f>
        <v>2</v>
      </c>
      <c r="C541" s="36">
        <f t="shared" si="536"/>
        <v>5</v>
      </c>
      <c r="D541" s="50">
        <v>5477.879756201394</v>
      </c>
      <c r="G541" s="50"/>
      <c r="H541" s="50"/>
    </row>
    <row r="542" ht="12.75" customHeight="1">
      <c r="A542" s="35"/>
      <c r="C542" s="36"/>
      <c r="D542" s="50"/>
    </row>
    <row r="543" ht="12.75" customHeight="1">
      <c r="A543" s="35"/>
      <c r="C543" s="36"/>
      <c r="D543" s="50"/>
    </row>
    <row r="544" ht="12.75" customHeight="1">
      <c r="A544" s="35"/>
      <c r="C544" s="36"/>
      <c r="D544" s="50"/>
    </row>
    <row r="545" ht="12.75" customHeight="1">
      <c r="A545" s="35"/>
      <c r="C545" s="36"/>
      <c r="D545" s="50"/>
    </row>
    <row r="546" ht="12.75" customHeight="1">
      <c r="A546" s="35"/>
      <c r="C546" s="36"/>
      <c r="D546" s="50"/>
    </row>
    <row r="547" ht="12.75" customHeight="1">
      <c r="A547" s="35"/>
      <c r="C547" s="36"/>
      <c r="D547" s="50"/>
    </row>
    <row r="548" ht="12.75" customHeight="1">
      <c r="A548" s="35"/>
      <c r="C548" s="36"/>
      <c r="D548" s="50"/>
    </row>
    <row r="549" ht="12.75" customHeight="1">
      <c r="A549" s="35"/>
      <c r="C549" s="36"/>
      <c r="D549" s="50"/>
    </row>
    <row r="550" ht="12.75" customHeight="1">
      <c r="A550" s="35"/>
      <c r="C550" s="36"/>
      <c r="D550" s="50"/>
    </row>
    <row r="551" ht="12.75" customHeight="1">
      <c r="A551" s="35"/>
      <c r="C551" s="36"/>
      <c r="D551" s="50"/>
    </row>
    <row r="552" ht="12.75" customHeight="1">
      <c r="A552" s="35"/>
      <c r="C552" s="36"/>
      <c r="D552" s="50"/>
    </row>
    <row r="553" ht="12.75" customHeight="1">
      <c r="A553" s="35"/>
      <c r="C553" s="36"/>
      <c r="D553" s="50"/>
    </row>
    <row r="554" ht="12.75" customHeight="1">
      <c r="A554" s="35"/>
      <c r="C554" s="36"/>
      <c r="D554" s="50"/>
    </row>
    <row r="555" ht="12.75" customHeight="1">
      <c r="A555" s="35"/>
      <c r="C555" s="36"/>
      <c r="D555" s="50"/>
    </row>
    <row r="556" ht="12.75" customHeight="1">
      <c r="A556" s="35"/>
      <c r="C556" s="36"/>
      <c r="D556" s="50"/>
    </row>
    <row r="557" ht="12.75" customHeight="1">
      <c r="A557" s="35"/>
      <c r="C557" s="36"/>
      <c r="D557" s="50"/>
    </row>
    <row r="558" ht="12.75" customHeight="1">
      <c r="A558" s="35"/>
      <c r="C558" s="36"/>
      <c r="D558" s="50"/>
    </row>
    <row r="559" ht="12.75" customHeight="1">
      <c r="A559" s="35"/>
      <c r="C559" s="36"/>
      <c r="D559" s="50"/>
    </row>
    <row r="560" ht="12.75" customHeight="1">
      <c r="A560" s="35"/>
      <c r="C560" s="36"/>
      <c r="D560" s="50"/>
    </row>
    <row r="561" ht="12.75" customHeight="1">
      <c r="A561" s="35"/>
      <c r="C561" s="36"/>
      <c r="D561" s="50"/>
    </row>
    <row r="562" ht="12.75" customHeight="1">
      <c r="A562" s="35"/>
      <c r="C562" s="36"/>
      <c r="D562" s="50"/>
    </row>
    <row r="563" ht="12.75" customHeight="1">
      <c r="A563" s="35"/>
      <c r="C563" s="36"/>
      <c r="D563" s="50"/>
    </row>
    <row r="564" ht="12.75" customHeight="1">
      <c r="A564" s="35"/>
      <c r="C564" s="36"/>
      <c r="D564" s="50"/>
    </row>
    <row r="565" ht="12.75" customHeight="1">
      <c r="A565" s="35"/>
      <c r="C565" s="36"/>
      <c r="D565" s="50"/>
    </row>
    <row r="566" ht="12.75" customHeight="1">
      <c r="A566" s="35"/>
      <c r="C566" s="36"/>
      <c r="D566" s="50"/>
    </row>
    <row r="567" ht="12.75" customHeight="1">
      <c r="A567" s="35"/>
      <c r="C567" s="36"/>
      <c r="D567" s="50"/>
    </row>
    <row r="568" ht="12.75" customHeight="1">
      <c r="A568" s="35"/>
      <c r="C568" s="36"/>
      <c r="D568" s="50"/>
    </row>
    <row r="569" ht="12.75" customHeight="1">
      <c r="A569" s="35"/>
      <c r="C569" s="36"/>
      <c r="D569" s="50"/>
    </row>
    <row r="570" ht="12.75" customHeight="1">
      <c r="A570" s="35"/>
      <c r="C570" s="36"/>
      <c r="D570" s="50"/>
    </row>
    <row r="571" ht="12.75" customHeight="1">
      <c r="A571" s="35"/>
      <c r="C571" s="36"/>
      <c r="D571" s="50"/>
    </row>
    <row r="572" ht="12.75" customHeight="1">
      <c r="A572" s="35"/>
      <c r="C572" s="36"/>
      <c r="D572" s="50"/>
    </row>
    <row r="573" ht="12.75" customHeight="1">
      <c r="A573" s="35"/>
      <c r="C573" s="36"/>
      <c r="D573" s="50"/>
    </row>
    <row r="574" ht="12.75" customHeight="1">
      <c r="A574" s="35"/>
      <c r="C574" s="36"/>
      <c r="D574" s="50"/>
    </row>
    <row r="575" ht="12.75" customHeight="1">
      <c r="A575" s="35"/>
      <c r="C575" s="36"/>
      <c r="D575" s="50"/>
    </row>
    <row r="576" ht="12.75" customHeight="1">
      <c r="A576" s="35"/>
      <c r="C576" s="36"/>
      <c r="D576" s="50"/>
    </row>
    <row r="577" ht="12.75" customHeight="1">
      <c r="A577" s="35"/>
      <c r="C577" s="36"/>
      <c r="D577" s="50"/>
    </row>
    <row r="578" ht="12.75" customHeight="1">
      <c r="A578" s="35"/>
      <c r="C578" s="36"/>
      <c r="D578" s="50"/>
    </row>
    <row r="579" ht="12.75" customHeight="1">
      <c r="A579" s="35"/>
      <c r="C579" s="36"/>
      <c r="D579" s="50"/>
    </row>
    <row r="580" ht="12.75" customHeight="1">
      <c r="A580" s="35"/>
      <c r="C580" s="36"/>
      <c r="D580" s="50"/>
    </row>
    <row r="581" ht="12.75" customHeight="1">
      <c r="A581" s="35"/>
      <c r="C581" s="36"/>
      <c r="D581" s="50"/>
    </row>
    <row r="582" ht="12.75" customHeight="1">
      <c r="A582" s="35"/>
      <c r="C582" s="36"/>
      <c r="D582" s="50"/>
    </row>
    <row r="583" ht="12.75" customHeight="1">
      <c r="A583" s="35"/>
      <c r="C583" s="36"/>
      <c r="D583" s="50"/>
    </row>
    <row r="584" ht="12.75" customHeight="1">
      <c r="A584" s="35"/>
      <c r="C584" s="36"/>
      <c r="D584" s="50"/>
    </row>
    <row r="585" ht="12.75" customHeight="1">
      <c r="A585" s="35"/>
      <c r="C585" s="36"/>
      <c r="D585" s="50"/>
    </row>
    <row r="586" ht="12.75" customHeight="1">
      <c r="A586" s="35"/>
      <c r="C586" s="36"/>
      <c r="D586" s="50"/>
    </row>
    <row r="587" ht="12.75" customHeight="1">
      <c r="A587" s="35"/>
      <c r="C587" s="36"/>
      <c r="D587" s="50"/>
    </row>
    <row r="588" ht="12.75" customHeight="1">
      <c r="A588" s="35"/>
      <c r="C588" s="36"/>
      <c r="D588" s="50"/>
    </row>
    <row r="589" ht="12.75" customHeight="1">
      <c r="A589" s="35"/>
      <c r="C589" s="36"/>
      <c r="D589" s="50"/>
    </row>
    <row r="590" ht="12.75" customHeight="1">
      <c r="A590" s="35"/>
      <c r="C590" s="36"/>
      <c r="D590" s="50"/>
    </row>
    <row r="591" ht="12.75" customHeight="1">
      <c r="A591" s="35"/>
      <c r="C591" s="36"/>
      <c r="D591" s="50"/>
    </row>
    <row r="592" ht="12.75" customHeight="1">
      <c r="A592" s="35"/>
      <c r="C592" s="36"/>
      <c r="D592" s="50"/>
    </row>
    <row r="593" ht="12.75" customHeight="1">
      <c r="A593" s="35"/>
      <c r="C593" s="36"/>
      <c r="D593" s="50"/>
    </row>
    <row r="594" ht="12.75" customHeight="1">
      <c r="A594" s="35"/>
      <c r="C594" s="36"/>
      <c r="D594" s="50"/>
    </row>
    <row r="595" ht="12.75" customHeight="1">
      <c r="A595" s="35"/>
      <c r="C595" s="36"/>
      <c r="D595" s="50"/>
    </row>
    <row r="596" ht="12.75" customHeight="1">
      <c r="A596" s="35"/>
      <c r="C596" s="36"/>
      <c r="D596" s="50"/>
    </row>
    <row r="597" ht="12.75" customHeight="1">
      <c r="A597" s="35"/>
      <c r="C597" s="36"/>
      <c r="D597" s="50"/>
    </row>
    <row r="598" ht="12.75" customHeight="1">
      <c r="A598" s="35"/>
      <c r="C598" s="36"/>
      <c r="D598" s="50"/>
    </row>
    <row r="599" ht="12.75" customHeight="1">
      <c r="A599" s="35"/>
      <c r="C599" s="36"/>
      <c r="D599" s="50"/>
    </row>
    <row r="600" ht="12.75" customHeight="1">
      <c r="A600" s="35"/>
      <c r="C600" s="36"/>
      <c r="D600" s="50"/>
    </row>
    <row r="601" ht="12.75" customHeight="1">
      <c r="A601" s="35"/>
      <c r="C601" s="36"/>
      <c r="D601" s="50"/>
    </row>
    <row r="602" ht="12.75" customHeight="1">
      <c r="A602" s="35"/>
      <c r="C602" s="36"/>
      <c r="D602" s="50"/>
    </row>
    <row r="603" ht="12.75" customHeight="1">
      <c r="A603" s="35"/>
      <c r="C603" s="36"/>
      <c r="D603" s="50"/>
    </row>
    <row r="604" ht="12.75" customHeight="1">
      <c r="A604" s="35"/>
      <c r="C604" s="36"/>
      <c r="D604" s="50"/>
    </row>
    <row r="605" ht="12.75" customHeight="1">
      <c r="A605" s="35"/>
      <c r="C605" s="36"/>
      <c r="D605" s="50"/>
    </row>
    <row r="606" ht="12.75" customHeight="1">
      <c r="A606" s="35"/>
      <c r="C606" s="36"/>
      <c r="D606" s="50"/>
    </row>
    <row r="607" ht="12.75" customHeight="1">
      <c r="A607" s="35"/>
      <c r="C607" s="36"/>
      <c r="D607" s="50"/>
    </row>
    <row r="608" ht="12.75" customHeight="1">
      <c r="A608" s="35"/>
      <c r="C608" s="36"/>
      <c r="D608" s="50"/>
    </row>
    <row r="609" ht="12.75" customHeight="1">
      <c r="A609" s="35"/>
      <c r="C609" s="36"/>
      <c r="D609" s="50"/>
    </row>
    <row r="610" ht="12.75" customHeight="1">
      <c r="A610" s="35"/>
      <c r="C610" s="36"/>
      <c r="D610" s="50"/>
    </row>
    <row r="611" ht="12.75" customHeight="1">
      <c r="A611" s="35"/>
      <c r="C611" s="36"/>
      <c r="D611" s="50"/>
    </row>
    <row r="612" ht="12.75" customHeight="1">
      <c r="A612" s="35"/>
      <c r="C612" s="36"/>
      <c r="D612" s="50"/>
    </row>
    <row r="613" ht="12.75" customHeight="1">
      <c r="A613" s="35"/>
      <c r="C613" s="36"/>
      <c r="D613" s="50"/>
    </row>
    <row r="614" ht="12.75" customHeight="1">
      <c r="A614" s="35"/>
      <c r="C614" s="36"/>
      <c r="D614" s="50"/>
    </row>
    <row r="615" ht="12.75" customHeight="1">
      <c r="A615" s="35"/>
      <c r="C615" s="36"/>
      <c r="D615" s="50"/>
    </row>
    <row r="616" ht="12.75" customHeight="1">
      <c r="A616" s="35"/>
      <c r="C616" s="36"/>
      <c r="D616" s="50"/>
    </row>
    <row r="617" ht="12.75" customHeight="1">
      <c r="A617" s="35"/>
      <c r="C617" s="36"/>
      <c r="D617" s="50"/>
    </row>
    <row r="618" ht="12.75" customHeight="1">
      <c r="A618" s="35"/>
      <c r="C618" s="36"/>
      <c r="D618" s="50"/>
    </row>
    <row r="619" ht="12.75" customHeight="1">
      <c r="A619" s="35"/>
      <c r="C619" s="36"/>
      <c r="D619" s="50"/>
    </row>
    <row r="620" ht="12.75" customHeight="1">
      <c r="A620" s="35"/>
      <c r="C620" s="36"/>
      <c r="D620" s="50"/>
    </row>
    <row r="621" ht="12.75" customHeight="1">
      <c r="A621" s="35"/>
      <c r="C621" s="36"/>
      <c r="D621" s="50"/>
    </row>
    <row r="622" ht="12.75" customHeight="1">
      <c r="A622" s="35"/>
      <c r="C622" s="36"/>
      <c r="D622" s="50"/>
    </row>
    <row r="623" ht="12.75" customHeight="1">
      <c r="A623" s="35"/>
      <c r="C623" s="36"/>
      <c r="D623" s="50"/>
    </row>
    <row r="624" ht="12.75" customHeight="1">
      <c r="A624" s="35"/>
      <c r="C624" s="36"/>
      <c r="D624" s="50"/>
    </row>
    <row r="625" ht="12.75" customHeight="1">
      <c r="A625" s="35"/>
      <c r="C625" s="36"/>
      <c r="D625" s="50"/>
    </row>
    <row r="626" ht="12.75" customHeight="1">
      <c r="A626" s="35"/>
      <c r="C626" s="36"/>
      <c r="D626" s="50"/>
    </row>
    <row r="627" ht="12.75" customHeight="1">
      <c r="A627" s="35"/>
      <c r="C627" s="36"/>
      <c r="D627" s="50"/>
    </row>
    <row r="628" ht="12.75" customHeight="1">
      <c r="A628" s="35"/>
      <c r="C628" s="36"/>
      <c r="D628" s="50"/>
    </row>
    <row r="629" ht="12.75" customHeight="1">
      <c r="A629" s="35"/>
      <c r="C629" s="36"/>
      <c r="D629" s="50"/>
    </row>
    <row r="630" ht="12.75" customHeight="1">
      <c r="A630" s="35"/>
      <c r="C630" s="36"/>
      <c r="D630" s="50"/>
    </row>
    <row r="631" ht="12.75" customHeight="1">
      <c r="A631" s="35"/>
      <c r="C631" s="36"/>
      <c r="D631" s="50"/>
    </row>
    <row r="632" ht="12.75" customHeight="1">
      <c r="A632" s="35"/>
      <c r="C632" s="36"/>
      <c r="D632" s="50"/>
    </row>
    <row r="633" ht="12.75" customHeight="1">
      <c r="A633" s="35"/>
      <c r="C633" s="36"/>
      <c r="D633" s="50"/>
    </row>
    <row r="634" ht="12.75" customHeight="1">
      <c r="A634" s="35"/>
      <c r="C634" s="36"/>
      <c r="D634" s="50"/>
    </row>
    <row r="635" ht="12.75" customHeight="1">
      <c r="A635" s="35"/>
      <c r="C635" s="36"/>
      <c r="D635" s="50"/>
    </row>
    <row r="636" ht="12.75" customHeight="1">
      <c r="A636" s="35"/>
      <c r="C636" s="36"/>
      <c r="D636" s="50"/>
    </row>
    <row r="637" ht="12.75" customHeight="1">
      <c r="A637" s="35"/>
      <c r="C637" s="36"/>
      <c r="D637" s="50"/>
    </row>
    <row r="638" ht="12.75" customHeight="1">
      <c r="A638" s="35"/>
      <c r="C638" s="36"/>
      <c r="D638" s="50"/>
    </row>
    <row r="639" ht="12.75" customHeight="1">
      <c r="A639" s="35"/>
      <c r="C639" s="36"/>
      <c r="D639" s="50"/>
    </row>
    <row r="640" ht="12.75" customHeight="1">
      <c r="A640" s="35"/>
      <c r="C640" s="36"/>
      <c r="D640" s="50"/>
    </row>
    <row r="641" ht="12.75" customHeight="1">
      <c r="A641" s="35"/>
      <c r="C641" s="36"/>
      <c r="D641" s="50"/>
    </row>
    <row r="642" ht="12.75" customHeight="1">
      <c r="A642" s="35"/>
      <c r="C642" s="36"/>
      <c r="D642" s="50"/>
    </row>
    <row r="643" ht="12.75" customHeight="1">
      <c r="A643" s="35"/>
      <c r="C643" s="36"/>
      <c r="D643" s="50"/>
    </row>
    <row r="644" ht="12.75" customHeight="1">
      <c r="A644" s="35"/>
      <c r="C644" s="36"/>
      <c r="D644" s="50"/>
    </row>
    <row r="645" ht="12.75" customHeight="1">
      <c r="A645" s="35"/>
      <c r="C645" s="36"/>
      <c r="D645" s="50"/>
    </row>
    <row r="646" ht="12.75" customHeight="1">
      <c r="A646" s="35"/>
      <c r="C646" s="36"/>
      <c r="D646" s="50"/>
    </row>
    <row r="647" ht="12.75" customHeight="1">
      <c r="A647" s="35"/>
      <c r="C647" s="36"/>
      <c r="D647" s="50"/>
    </row>
    <row r="648" ht="12.75" customHeight="1">
      <c r="A648" s="35"/>
      <c r="C648" s="36"/>
      <c r="D648" s="50"/>
    </row>
    <row r="649" ht="12.75" customHeight="1">
      <c r="A649" s="35"/>
      <c r="C649" s="36"/>
      <c r="D649" s="50"/>
    </row>
    <row r="650" ht="12.75" customHeight="1">
      <c r="A650" s="35"/>
      <c r="C650" s="36"/>
      <c r="D650" s="50"/>
    </row>
    <row r="651" ht="12.75" customHeight="1">
      <c r="A651" s="35"/>
      <c r="C651" s="36"/>
      <c r="D651" s="50"/>
    </row>
    <row r="652" ht="12.75" customHeight="1">
      <c r="A652" s="35"/>
      <c r="C652" s="36"/>
      <c r="D652" s="50"/>
    </row>
    <row r="653" ht="12.75" customHeight="1">
      <c r="A653" s="35"/>
      <c r="C653" s="36"/>
      <c r="D653" s="50"/>
    </row>
    <row r="654" ht="12.75" customHeight="1">
      <c r="A654" s="35"/>
      <c r="C654" s="36"/>
      <c r="D654" s="50"/>
    </row>
    <row r="655" ht="12.75" customHeight="1">
      <c r="A655" s="35"/>
      <c r="C655" s="36"/>
      <c r="D655" s="50"/>
    </row>
    <row r="656" ht="12.75" customHeight="1">
      <c r="A656" s="35"/>
      <c r="C656" s="36"/>
      <c r="D656" s="50"/>
    </row>
    <row r="657" ht="12.75" customHeight="1">
      <c r="A657" s="35"/>
      <c r="C657" s="36"/>
      <c r="D657" s="50"/>
    </row>
    <row r="658" ht="12.75" customHeight="1">
      <c r="A658" s="35"/>
      <c r="C658" s="36"/>
      <c r="D658" s="50"/>
    </row>
    <row r="659" ht="12.75" customHeight="1">
      <c r="A659" s="35"/>
      <c r="C659" s="36"/>
      <c r="D659" s="50"/>
    </row>
    <row r="660" ht="12.75" customHeight="1">
      <c r="A660" s="35"/>
      <c r="C660" s="36"/>
      <c r="D660" s="50"/>
    </row>
    <row r="661" ht="12.75" customHeight="1">
      <c r="A661" s="35"/>
      <c r="C661" s="36"/>
      <c r="D661" s="50"/>
    </row>
    <row r="662" ht="12.75" customHeight="1">
      <c r="A662" s="35"/>
      <c r="C662" s="36"/>
      <c r="D662" s="50"/>
    </row>
    <row r="663" ht="12.75" customHeight="1">
      <c r="A663" s="35"/>
      <c r="C663" s="36"/>
      <c r="D663" s="50"/>
    </row>
    <row r="664" ht="12.75" customHeight="1">
      <c r="A664" s="35"/>
      <c r="C664" s="36"/>
      <c r="D664" s="50"/>
    </row>
    <row r="665" ht="12.75" customHeight="1">
      <c r="A665" s="35"/>
      <c r="C665" s="36"/>
      <c r="D665" s="50"/>
    </row>
    <row r="666" ht="12.75" customHeight="1">
      <c r="A666" s="35"/>
      <c r="C666" s="36"/>
      <c r="D666" s="50"/>
    </row>
    <row r="667" ht="12.75" customHeight="1">
      <c r="A667" s="35"/>
      <c r="C667" s="36"/>
      <c r="D667" s="50"/>
    </row>
    <row r="668" ht="12.75" customHeight="1">
      <c r="A668" s="35"/>
      <c r="C668" s="36"/>
      <c r="D668" s="50"/>
    </row>
    <row r="669" ht="12.75" customHeight="1">
      <c r="A669" s="35"/>
      <c r="C669" s="36"/>
      <c r="D669" s="50"/>
    </row>
    <row r="670" ht="12.75" customHeight="1">
      <c r="A670" s="35"/>
      <c r="C670" s="36"/>
      <c r="D670" s="50"/>
    </row>
    <row r="671" ht="12.75" customHeight="1">
      <c r="A671" s="35"/>
      <c r="C671" s="36"/>
      <c r="D671" s="50"/>
    </row>
    <row r="672" ht="12.75" customHeight="1">
      <c r="A672" s="35"/>
      <c r="C672" s="36"/>
      <c r="D672" s="50"/>
    </row>
    <row r="673" ht="12.75" customHeight="1">
      <c r="A673" s="35"/>
      <c r="C673" s="36"/>
      <c r="D673" s="50"/>
    </row>
    <row r="674" ht="12.75" customHeight="1">
      <c r="A674" s="35"/>
      <c r="C674" s="36"/>
      <c r="D674" s="50"/>
    </row>
    <row r="675" ht="12.75" customHeight="1">
      <c r="A675" s="35"/>
      <c r="C675" s="36"/>
      <c r="D675" s="50"/>
    </row>
    <row r="676" ht="12.75" customHeight="1">
      <c r="A676" s="35"/>
      <c r="C676" s="36"/>
      <c r="D676" s="50"/>
    </row>
    <row r="677" ht="12.75" customHeight="1">
      <c r="A677" s="35"/>
      <c r="C677" s="36"/>
      <c r="D677" s="50"/>
    </row>
    <row r="678" ht="12.75" customHeight="1">
      <c r="A678" s="35"/>
      <c r="C678" s="36"/>
      <c r="D678" s="50"/>
    </row>
    <row r="679" ht="12.75" customHeight="1">
      <c r="A679" s="35"/>
      <c r="C679" s="36"/>
      <c r="D679" s="50"/>
    </row>
    <row r="680" ht="12.75" customHeight="1">
      <c r="A680" s="35"/>
      <c r="C680" s="36"/>
      <c r="D680" s="50"/>
    </row>
    <row r="681" ht="12.75" customHeight="1">
      <c r="A681" s="35"/>
      <c r="C681" s="36"/>
      <c r="D681" s="50"/>
    </row>
    <row r="682" ht="12.75" customHeight="1">
      <c r="A682" s="35"/>
      <c r="C682" s="36"/>
      <c r="D682" s="50"/>
    </row>
    <row r="683" ht="12.75" customHeight="1">
      <c r="A683" s="35"/>
      <c r="C683" s="36"/>
      <c r="D683" s="50"/>
    </row>
    <row r="684" ht="12.75" customHeight="1">
      <c r="A684" s="35"/>
      <c r="C684" s="36"/>
      <c r="D684" s="50"/>
    </row>
    <row r="685" ht="12.75" customHeight="1">
      <c r="A685" s="35"/>
      <c r="C685" s="36"/>
      <c r="D685" s="50"/>
    </row>
    <row r="686" ht="12.75" customHeight="1">
      <c r="A686" s="35"/>
      <c r="C686" s="36"/>
      <c r="D686" s="50"/>
    </row>
    <row r="687" ht="12.75" customHeight="1">
      <c r="A687" s="35"/>
      <c r="C687" s="36"/>
      <c r="D687" s="50"/>
    </row>
    <row r="688" ht="12.75" customHeight="1">
      <c r="A688" s="35"/>
      <c r="C688" s="36"/>
      <c r="D688" s="50"/>
    </row>
    <row r="689" ht="12.75" customHeight="1">
      <c r="A689" s="35"/>
      <c r="C689" s="36"/>
      <c r="D689" s="50"/>
    </row>
    <row r="690" ht="12.75" customHeight="1">
      <c r="A690" s="35"/>
      <c r="C690" s="36"/>
      <c r="D690" s="50"/>
    </row>
    <row r="691" ht="12.75" customHeight="1">
      <c r="A691" s="35"/>
      <c r="C691" s="36"/>
      <c r="D691" s="50"/>
    </row>
    <row r="692" ht="12.75" customHeight="1">
      <c r="A692" s="35"/>
      <c r="C692" s="36"/>
      <c r="D692" s="50"/>
    </row>
    <row r="693" ht="12.75" customHeight="1">
      <c r="A693" s="35"/>
      <c r="C693" s="36"/>
      <c r="D693" s="50"/>
    </row>
    <row r="694" ht="12.75" customHeight="1">
      <c r="A694" s="35"/>
      <c r="C694" s="36"/>
      <c r="D694" s="50"/>
    </row>
    <row r="695" ht="12.75" customHeight="1">
      <c r="A695" s="35"/>
      <c r="C695" s="36"/>
      <c r="D695" s="50"/>
    </row>
    <row r="696" ht="12.75" customHeight="1">
      <c r="A696" s="35"/>
      <c r="C696" s="36"/>
      <c r="D696" s="50"/>
    </row>
    <row r="697" ht="12.75" customHeight="1">
      <c r="A697" s="35"/>
      <c r="C697" s="36"/>
      <c r="D697" s="50"/>
    </row>
    <row r="698" ht="12.75" customHeight="1">
      <c r="A698" s="35"/>
      <c r="C698" s="36"/>
      <c r="D698" s="50"/>
    </row>
    <row r="699" ht="12.75" customHeight="1">
      <c r="A699" s="35"/>
      <c r="C699" s="36"/>
      <c r="D699" s="50"/>
    </row>
    <row r="700" ht="12.75" customHeight="1">
      <c r="A700" s="35"/>
      <c r="C700" s="36"/>
      <c r="D700" s="50"/>
    </row>
    <row r="701" ht="12.75" customHeight="1">
      <c r="A701" s="35"/>
      <c r="C701" s="36"/>
      <c r="D701" s="50"/>
    </row>
    <row r="702" ht="12.75" customHeight="1">
      <c r="A702" s="35"/>
      <c r="C702" s="36"/>
      <c r="D702" s="50"/>
    </row>
    <row r="703" ht="12.75" customHeight="1">
      <c r="A703" s="35"/>
      <c r="C703" s="36"/>
      <c r="D703" s="50"/>
    </row>
    <row r="704" ht="12.75" customHeight="1">
      <c r="A704" s="35"/>
      <c r="C704" s="36"/>
      <c r="D704" s="50"/>
    </row>
    <row r="705" ht="12.75" customHeight="1">
      <c r="A705" s="35"/>
      <c r="C705" s="36"/>
      <c r="D705" s="50"/>
    </row>
    <row r="706" ht="12.75" customHeight="1">
      <c r="A706" s="35"/>
      <c r="C706" s="36"/>
      <c r="D706" s="50"/>
    </row>
    <row r="707" ht="12.75" customHeight="1">
      <c r="A707" s="35"/>
      <c r="C707" s="36"/>
      <c r="D707" s="50"/>
    </row>
    <row r="708" ht="12.75" customHeight="1">
      <c r="A708" s="35"/>
      <c r="C708" s="36"/>
      <c r="D708" s="50"/>
    </row>
    <row r="709" ht="12.75" customHeight="1">
      <c r="A709" s="35"/>
      <c r="C709" s="36"/>
      <c r="D709" s="50"/>
    </row>
    <row r="710" ht="12.75" customHeight="1">
      <c r="A710" s="35"/>
      <c r="C710" s="36"/>
      <c r="D710" s="50"/>
    </row>
    <row r="711" ht="12.75" customHeight="1">
      <c r="A711" s="35"/>
      <c r="C711" s="36"/>
      <c r="D711" s="50"/>
    </row>
    <row r="712" ht="12.75" customHeight="1">
      <c r="A712" s="35"/>
      <c r="C712" s="36"/>
      <c r="D712" s="50"/>
    </row>
    <row r="713" ht="12.75" customHeight="1">
      <c r="A713" s="35"/>
      <c r="C713" s="36"/>
      <c r="D713" s="50"/>
    </row>
    <row r="714" ht="12.75" customHeight="1">
      <c r="A714" s="35"/>
      <c r="C714" s="36"/>
      <c r="D714" s="50"/>
    </row>
    <row r="715" ht="12.75" customHeight="1">
      <c r="A715" s="35"/>
      <c r="C715" s="36"/>
      <c r="D715" s="50"/>
    </row>
    <row r="716" ht="12.75" customHeight="1">
      <c r="A716" s="35"/>
      <c r="C716" s="36"/>
      <c r="D716" s="50"/>
    </row>
    <row r="717" ht="12.75" customHeight="1">
      <c r="A717" s="35"/>
      <c r="C717" s="36"/>
      <c r="D717" s="50"/>
    </row>
    <row r="718" ht="12.75" customHeight="1">
      <c r="A718" s="35"/>
      <c r="C718" s="36"/>
      <c r="D718" s="50"/>
    </row>
    <row r="719" ht="12.75" customHeight="1">
      <c r="A719" s="35"/>
      <c r="C719" s="36"/>
      <c r="D719" s="50"/>
    </row>
    <row r="720" ht="12.75" customHeight="1">
      <c r="A720" s="35"/>
      <c r="C720" s="36"/>
      <c r="D720" s="50"/>
    </row>
    <row r="721" ht="12.75" customHeight="1">
      <c r="A721" s="35"/>
      <c r="C721" s="36"/>
      <c r="D721" s="50"/>
    </row>
    <row r="722" ht="12.75" customHeight="1">
      <c r="A722" s="35"/>
      <c r="C722" s="36"/>
      <c r="D722" s="50"/>
    </row>
    <row r="723" ht="12.75" customHeight="1">
      <c r="A723" s="35"/>
      <c r="C723" s="36"/>
      <c r="D723" s="50"/>
    </row>
    <row r="724" ht="12.75" customHeight="1">
      <c r="A724" s="35"/>
      <c r="C724" s="36"/>
      <c r="D724" s="50"/>
    </row>
    <row r="725" ht="12.75" customHeight="1">
      <c r="A725" s="35"/>
      <c r="C725" s="36"/>
      <c r="D725" s="50"/>
    </row>
    <row r="726" ht="12.75" customHeight="1">
      <c r="A726" s="35"/>
      <c r="C726" s="36"/>
      <c r="D726" s="50"/>
    </row>
    <row r="727" ht="12.75" customHeight="1">
      <c r="A727" s="35"/>
      <c r="C727" s="36"/>
      <c r="D727" s="50"/>
    </row>
    <row r="728" ht="12.75" customHeight="1">
      <c r="A728" s="35"/>
      <c r="C728" s="36"/>
      <c r="D728" s="50"/>
    </row>
    <row r="729" ht="12.75" customHeight="1">
      <c r="A729" s="35"/>
      <c r="C729" s="36"/>
      <c r="D729" s="50"/>
    </row>
    <row r="730" ht="12.75" customHeight="1">
      <c r="A730" s="35"/>
      <c r="C730" s="36"/>
      <c r="D730" s="50"/>
    </row>
    <row r="731" ht="12.75" customHeight="1">
      <c r="A731" s="35"/>
      <c r="C731" s="36"/>
      <c r="D731" s="50"/>
    </row>
    <row r="732" ht="12.75" customHeight="1">
      <c r="A732" s="35"/>
      <c r="C732" s="36"/>
      <c r="D732" s="50"/>
    </row>
    <row r="733" ht="12.75" customHeight="1">
      <c r="A733" s="35"/>
      <c r="C733" s="36"/>
      <c r="D733" s="50"/>
    </row>
    <row r="734" ht="12.75" customHeight="1">
      <c r="A734" s="35"/>
      <c r="C734" s="36"/>
      <c r="D734" s="50"/>
    </row>
    <row r="735" ht="12.75" customHeight="1">
      <c r="A735" s="35"/>
      <c r="C735" s="36"/>
      <c r="D735" s="50"/>
    </row>
    <row r="736" ht="12.75" customHeight="1">
      <c r="A736" s="35"/>
      <c r="C736" s="36"/>
      <c r="D736" s="50"/>
    </row>
    <row r="737" ht="12.75" customHeight="1">
      <c r="A737" s="35"/>
      <c r="C737" s="36"/>
      <c r="D737" s="50"/>
    </row>
    <row r="738" ht="12.75" customHeight="1">
      <c r="A738" s="35"/>
      <c r="C738" s="36"/>
      <c r="D738" s="50"/>
    </row>
    <row r="739" ht="12.75" customHeight="1">
      <c r="A739" s="35"/>
      <c r="C739" s="36"/>
      <c r="D739" s="50"/>
    </row>
    <row r="740" ht="12.75" customHeight="1">
      <c r="A740" s="35"/>
      <c r="C740" s="36"/>
      <c r="D740" s="50"/>
    </row>
    <row r="741" ht="12.75" customHeight="1">
      <c r="A741" s="35"/>
      <c r="C741" s="36"/>
      <c r="D741" s="50"/>
    </row>
    <row r="742" ht="12.75" customHeight="1">
      <c r="A742" s="35"/>
      <c r="C742" s="36"/>
      <c r="D742" s="50"/>
    </row>
    <row r="743" ht="12.75" customHeight="1">
      <c r="A743" s="35"/>
      <c r="C743" s="36"/>
      <c r="D743" s="50"/>
    </row>
    <row r="744" ht="12.75" customHeight="1">
      <c r="A744" s="35"/>
      <c r="C744" s="36"/>
      <c r="D744" s="50"/>
    </row>
    <row r="745" ht="12.75" customHeight="1">
      <c r="A745" s="35"/>
      <c r="C745" s="36"/>
      <c r="D745" s="50"/>
    </row>
    <row r="746" ht="12.75" customHeight="1">
      <c r="A746" s="35"/>
      <c r="C746" s="36"/>
      <c r="D746" s="50"/>
    </row>
    <row r="747" ht="12.75" customHeight="1">
      <c r="A747" s="35"/>
      <c r="C747" s="36"/>
      <c r="D747" s="50"/>
    </row>
    <row r="748" ht="12.75" customHeight="1">
      <c r="A748" s="35"/>
      <c r="C748" s="36"/>
      <c r="D748" s="50"/>
    </row>
    <row r="749" ht="12.75" customHeight="1">
      <c r="A749" s="35"/>
      <c r="C749" s="36"/>
      <c r="D749" s="50"/>
    </row>
    <row r="750" ht="12.75" customHeight="1">
      <c r="A750" s="35"/>
      <c r="C750" s="36"/>
      <c r="D750" s="50"/>
    </row>
    <row r="751" ht="12.75" customHeight="1">
      <c r="A751" s="35"/>
      <c r="C751" s="36"/>
      <c r="D751" s="50"/>
    </row>
    <row r="752" ht="12.75" customHeight="1">
      <c r="A752" s="35"/>
      <c r="C752" s="36"/>
      <c r="D752" s="50"/>
    </row>
    <row r="753" ht="12.75" customHeight="1">
      <c r="A753" s="35"/>
      <c r="C753" s="36"/>
      <c r="D753" s="50"/>
    </row>
    <row r="754" ht="12.75" customHeight="1">
      <c r="A754" s="35"/>
      <c r="C754" s="36"/>
      <c r="D754" s="50"/>
    </row>
    <row r="755" ht="12.75" customHeight="1">
      <c r="A755" s="35"/>
      <c r="C755" s="36"/>
      <c r="D755" s="50"/>
    </row>
    <row r="756" ht="12.75" customHeight="1">
      <c r="A756" s="35"/>
      <c r="C756" s="36"/>
      <c r="D756" s="50"/>
    </row>
    <row r="757" ht="12.75" customHeight="1">
      <c r="A757" s="35"/>
      <c r="C757" s="36"/>
      <c r="D757" s="50"/>
    </row>
    <row r="758" ht="12.75" customHeight="1">
      <c r="A758" s="35"/>
      <c r="C758" s="36"/>
      <c r="D758" s="50"/>
    </row>
    <row r="759" ht="12.75" customHeight="1">
      <c r="A759" s="35"/>
      <c r="C759" s="36"/>
      <c r="D759" s="50"/>
    </row>
    <row r="760" ht="12.75" customHeight="1">
      <c r="A760" s="35"/>
      <c r="C760" s="36"/>
      <c r="D760" s="50"/>
    </row>
    <row r="761" ht="12.75" customHeight="1">
      <c r="A761" s="35"/>
      <c r="C761" s="36"/>
      <c r="D761" s="50"/>
    </row>
    <row r="762" ht="12.75" customHeight="1">
      <c r="A762" s="35"/>
      <c r="C762" s="36"/>
      <c r="D762" s="50"/>
    </row>
    <row r="763" ht="12.75" customHeight="1">
      <c r="A763" s="35"/>
      <c r="C763" s="36"/>
      <c r="D763" s="50"/>
    </row>
    <row r="764" ht="12.75" customHeight="1">
      <c r="A764" s="35"/>
      <c r="C764" s="36"/>
      <c r="D764" s="50"/>
    </row>
    <row r="765" ht="12.75" customHeight="1">
      <c r="A765" s="35"/>
      <c r="C765" s="36"/>
      <c r="D765" s="50"/>
    </row>
    <row r="766" ht="12.75" customHeight="1">
      <c r="A766" s="35"/>
      <c r="C766" s="36"/>
      <c r="D766" s="50"/>
    </row>
    <row r="767" ht="12.75" customHeight="1">
      <c r="A767" s="35"/>
      <c r="C767" s="36"/>
      <c r="D767" s="50"/>
    </row>
    <row r="768" ht="12.75" customHeight="1">
      <c r="A768" s="35"/>
      <c r="C768" s="36"/>
      <c r="D768" s="50"/>
    </row>
    <row r="769" ht="12.75" customHeight="1">
      <c r="A769" s="35"/>
      <c r="C769" s="36"/>
      <c r="D769" s="50"/>
    </row>
    <row r="770" ht="12.75" customHeight="1">
      <c r="A770" s="35"/>
      <c r="C770" s="36"/>
      <c r="D770" s="50"/>
    </row>
    <row r="771" ht="12.75" customHeight="1">
      <c r="A771" s="35"/>
      <c r="C771" s="36"/>
      <c r="D771" s="50"/>
    </row>
    <row r="772" ht="12.75" customHeight="1">
      <c r="A772" s="35"/>
      <c r="C772" s="36"/>
      <c r="D772" s="50"/>
    </row>
    <row r="773" ht="12.75" customHeight="1">
      <c r="A773" s="35"/>
      <c r="C773" s="36"/>
      <c r="D773" s="50"/>
    </row>
    <row r="774" ht="12.75" customHeight="1">
      <c r="A774" s="35"/>
      <c r="C774" s="36"/>
      <c r="D774" s="50"/>
    </row>
    <row r="775" ht="12.75" customHeight="1">
      <c r="A775" s="35"/>
      <c r="C775" s="36"/>
      <c r="D775" s="50"/>
    </row>
    <row r="776" ht="12.75" customHeight="1">
      <c r="A776" s="35"/>
      <c r="C776" s="36"/>
      <c r="D776" s="50"/>
    </row>
    <row r="777" ht="12.75" customHeight="1">
      <c r="A777" s="35"/>
      <c r="C777" s="36"/>
      <c r="D777" s="50"/>
    </row>
    <row r="778" ht="12.75" customHeight="1">
      <c r="A778" s="35"/>
      <c r="C778" s="36"/>
      <c r="D778" s="50"/>
    </row>
    <row r="779" ht="12.75" customHeight="1">
      <c r="A779" s="35"/>
      <c r="C779" s="36"/>
      <c r="D779" s="50"/>
    </row>
    <row r="780" ht="12.75" customHeight="1">
      <c r="A780" s="35"/>
      <c r="C780" s="36"/>
      <c r="D780" s="50"/>
    </row>
    <row r="781" ht="12.75" customHeight="1">
      <c r="A781" s="35"/>
      <c r="C781" s="36"/>
      <c r="D781" s="50"/>
    </row>
    <row r="782" ht="12.75" customHeight="1">
      <c r="A782" s="35"/>
      <c r="C782" s="36"/>
      <c r="D782" s="50"/>
    </row>
    <row r="783" ht="12.75" customHeight="1">
      <c r="A783" s="35"/>
      <c r="C783" s="36"/>
      <c r="D783" s="50"/>
    </row>
    <row r="784" ht="12.75" customHeight="1">
      <c r="A784" s="35"/>
      <c r="C784" s="36"/>
      <c r="D784" s="50"/>
    </row>
    <row r="785" ht="12.75" customHeight="1">
      <c r="A785" s="35"/>
      <c r="C785" s="36"/>
      <c r="D785" s="50"/>
    </row>
    <row r="786" ht="12.75" customHeight="1">
      <c r="A786" s="35"/>
      <c r="C786" s="36"/>
      <c r="D786" s="50"/>
    </row>
    <row r="787" ht="12.75" customHeight="1">
      <c r="A787" s="35"/>
      <c r="C787" s="36"/>
      <c r="D787" s="50"/>
    </row>
    <row r="788" ht="12.75" customHeight="1">
      <c r="A788" s="35"/>
      <c r="C788" s="36"/>
      <c r="D788" s="50"/>
    </row>
    <row r="789" ht="12.75" customHeight="1">
      <c r="A789" s="35"/>
      <c r="C789" s="36"/>
      <c r="D789" s="50"/>
    </row>
    <row r="790" ht="12.75" customHeight="1">
      <c r="A790" s="35"/>
      <c r="C790" s="36"/>
      <c r="D790" s="50"/>
    </row>
    <row r="791" ht="12.75" customHeight="1">
      <c r="A791" s="35"/>
      <c r="C791" s="36"/>
      <c r="D791" s="50"/>
    </row>
    <row r="792" ht="12.75" customHeight="1">
      <c r="A792" s="35"/>
      <c r="C792" s="36"/>
      <c r="D792" s="50"/>
    </row>
    <row r="793" ht="12.75" customHeight="1">
      <c r="A793" s="35"/>
      <c r="C793" s="36"/>
      <c r="D793" s="50"/>
    </row>
    <row r="794" ht="12.75" customHeight="1">
      <c r="A794" s="35"/>
      <c r="C794" s="36"/>
      <c r="D794" s="50"/>
    </row>
    <row r="795" ht="12.75" customHeight="1">
      <c r="A795" s="35"/>
      <c r="C795" s="36"/>
      <c r="D795" s="50"/>
    </row>
    <row r="796" ht="12.75" customHeight="1">
      <c r="A796" s="35"/>
      <c r="C796" s="36"/>
      <c r="D796" s="50"/>
    </row>
    <row r="797" ht="12.75" customHeight="1">
      <c r="A797" s="35"/>
      <c r="C797" s="36"/>
      <c r="D797" s="50"/>
    </row>
    <row r="798" ht="12.75" customHeight="1">
      <c r="A798" s="35"/>
      <c r="C798" s="36"/>
      <c r="D798" s="50"/>
    </row>
    <row r="799" ht="12.75" customHeight="1">
      <c r="A799" s="35"/>
      <c r="C799" s="36"/>
      <c r="D799" s="50"/>
    </row>
    <row r="800" ht="12.75" customHeight="1">
      <c r="A800" s="35"/>
      <c r="C800" s="36"/>
      <c r="D800" s="50"/>
    </row>
    <row r="801" ht="12.75" customHeight="1">
      <c r="A801" s="35"/>
      <c r="C801" s="36"/>
      <c r="D801" s="50"/>
    </row>
    <row r="802" ht="12.75" customHeight="1">
      <c r="A802" s="35"/>
      <c r="C802" s="36"/>
      <c r="D802" s="50"/>
    </row>
    <row r="803" ht="12.75" customHeight="1">
      <c r="A803" s="35"/>
      <c r="C803" s="36"/>
      <c r="D803" s="50"/>
    </row>
    <row r="804" ht="12.75" customHeight="1">
      <c r="A804" s="35"/>
      <c r="C804" s="36"/>
      <c r="D804" s="50"/>
    </row>
    <row r="805" ht="12.75" customHeight="1">
      <c r="A805" s="35"/>
      <c r="C805" s="36"/>
      <c r="D805" s="50"/>
    </row>
    <row r="806" ht="12.75" customHeight="1">
      <c r="A806" s="35"/>
      <c r="C806" s="36"/>
      <c r="D806" s="50"/>
    </row>
    <row r="807" ht="12.75" customHeight="1">
      <c r="A807" s="35"/>
      <c r="C807" s="36"/>
      <c r="D807" s="50"/>
    </row>
    <row r="808" ht="12.75" customHeight="1">
      <c r="A808" s="35"/>
      <c r="C808" s="36"/>
      <c r="D808" s="50"/>
    </row>
    <row r="809" ht="12.75" customHeight="1">
      <c r="A809" s="35"/>
      <c r="C809" s="36"/>
      <c r="D809" s="50"/>
    </row>
    <row r="810" ht="12.75" customHeight="1">
      <c r="A810" s="35"/>
      <c r="C810" s="36"/>
      <c r="D810" s="50"/>
    </row>
    <row r="811" ht="12.75" customHeight="1">
      <c r="A811" s="35"/>
      <c r="C811" s="36"/>
      <c r="D811" s="50"/>
    </row>
    <row r="812" ht="12.75" customHeight="1">
      <c r="A812" s="35"/>
      <c r="C812" s="36"/>
      <c r="D812" s="50"/>
    </row>
    <row r="813" ht="12.75" customHeight="1">
      <c r="A813" s="35"/>
      <c r="C813" s="36"/>
      <c r="D813" s="50"/>
    </row>
    <row r="814" ht="12.75" customHeight="1">
      <c r="A814" s="35"/>
      <c r="C814" s="36"/>
      <c r="D814" s="50"/>
    </row>
    <row r="815" ht="12.75" customHeight="1">
      <c r="A815" s="35"/>
      <c r="C815" s="36"/>
      <c r="D815" s="50"/>
    </row>
    <row r="816" ht="12.75" customHeight="1">
      <c r="A816" s="35"/>
      <c r="C816" s="36"/>
      <c r="D816" s="50"/>
    </row>
    <row r="817" ht="12.75" customHeight="1">
      <c r="A817" s="35"/>
      <c r="C817" s="36"/>
      <c r="D817" s="50"/>
    </row>
    <row r="818" ht="12.75" customHeight="1">
      <c r="A818" s="35"/>
      <c r="C818" s="36"/>
      <c r="D818" s="50"/>
    </row>
    <row r="819" ht="12.75" customHeight="1">
      <c r="A819" s="35"/>
      <c r="C819" s="36"/>
      <c r="D819" s="50"/>
    </row>
    <row r="820" ht="12.75" customHeight="1">
      <c r="A820" s="35"/>
      <c r="C820" s="36"/>
      <c r="D820" s="50"/>
    </row>
    <row r="821" ht="12.75" customHeight="1">
      <c r="A821" s="35"/>
      <c r="C821" s="36"/>
      <c r="D821" s="50"/>
    </row>
    <row r="822" ht="12.75" customHeight="1">
      <c r="A822" s="35"/>
      <c r="C822" s="36"/>
      <c r="D822" s="50"/>
    </row>
    <row r="823" ht="12.75" customHeight="1">
      <c r="A823" s="35"/>
      <c r="C823" s="36"/>
      <c r="D823" s="50"/>
    </row>
    <row r="824" ht="12.75" customHeight="1">
      <c r="A824" s="35"/>
      <c r="C824" s="36"/>
      <c r="D824" s="50"/>
    </row>
    <row r="825" ht="12.75" customHeight="1">
      <c r="A825" s="35"/>
      <c r="C825" s="36"/>
      <c r="D825" s="50"/>
    </row>
    <row r="826" ht="12.75" customHeight="1">
      <c r="A826" s="35"/>
      <c r="C826" s="36"/>
      <c r="D826" s="50"/>
    </row>
    <row r="827" ht="12.75" customHeight="1">
      <c r="A827" s="35"/>
      <c r="C827" s="36"/>
      <c r="D827" s="50"/>
    </row>
    <row r="828" ht="12.75" customHeight="1">
      <c r="A828" s="35"/>
      <c r="C828" s="36"/>
      <c r="D828" s="50"/>
    </row>
    <row r="829" ht="12.75" customHeight="1">
      <c r="A829" s="35"/>
      <c r="C829" s="36"/>
      <c r="D829" s="50"/>
    </row>
    <row r="830" ht="12.75" customHeight="1">
      <c r="A830" s="35"/>
      <c r="C830" s="36"/>
      <c r="D830" s="50"/>
    </row>
    <row r="831" ht="12.75" customHeight="1">
      <c r="A831" s="35"/>
      <c r="C831" s="36"/>
      <c r="D831" s="50"/>
    </row>
    <row r="832" ht="12.75" customHeight="1">
      <c r="A832" s="35"/>
      <c r="C832" s="36"/>
      <c r="D832" s="50"/>
    </row>
    <row r="833" ht="12.75" customHeight="1">
      <c r="A833" s="35"/>
      <c r="C833" s="36"/>
      <c r="D833" s="50"/>
    </row>
    <row r="834" ht="12.75" customHeight="1">
      <c r="A834" s="35"/>
      <c r="C834" s="36"/>
      <c r="D834" s="50"/>
    </row>
    <row r="835" ht="12.75" customHeight="1">
      <c r="A835" s="35"/>
      <c r="C835" s="36"/>
      <c r="D835" s="50"/>
    </row>
    <row r="836" ht="12.75" customHeight="1">
      <c r="A836" s="35"/>
      <c r="C836" s="36"/>
      <c r="D836" s="50"/>
    </row>
    <row r="837" ht="12.75" customHeight="1">
      <c r="A837" s="35"/>
      <c r="C837" s="36"/>
      <c r="D837" s="50"/>
    </row>
    <row r="838" ht="12.75" customHeight="1">
      <c r="A838" s="35"/>
      <c r="C838" s="36"/>
      <c r="D838" s="50"/>
    </row>
    <row r="839" ht="12.75" customHeight="1">
      <c r="A839" s="35"/>
      <c r="C839" s="36"/>
      <c r="D839" s="50"/>
    </row>
    <row r="840" ht="12.75" customHeight="1">
      <c r="A840" s="35"/>
      <c r="C840" s="36"/>
      <c r="D840" s="50"/>
    </row>
    <row r="841" ht="12.75" customHeight="1">
      <c r="A841" s="35"/>
      <c r="C841" s="36"/>
      <c r="D841" s="50"/>
    </row>
    <row r="842" ht="12.75" customHeight="1">
      <c r="A842" s="35"/>
      <c r="C842" s="36"/>
      <c r="D842" s="50"/>
    </row>
    <row r="843" ht="12.75" customHeight="1">
      <c r="A843" s="35"/>
      <c r="C843" s="36"/>
      <c r="D843" s="50"/>
    </row>
    <row r="844" ht="12.75" customHeight="1">
      <c r="A844" s="35"/>
      <c r="C844" s="36"/>
      <c r="D844" s="50"/>
    </row>
    <row r="845" ht="12.75" customHeight="1">
      <c r="A845" s="35"/>
      <c r="C845" s="36"/>
      <c r="D845" s="50"/>
    </row>
    <row r="846" ht="12.75" customHeight="1">
      <c r="A846" s="35"/>
      <c r="C846" s="36"/>
      <c r="D846" s="50"/>
    </row>
    <row r="847" ht="12.75" customHeight="1">
      <c r="A847" s="35"/>
      <c r="C847" s="36"/>
      <c r="D847" s="50"/>
    </row>
    <row r="848" ht="12.75" customHeight="1">
      <c r="A848" s="35"/>
      <c r="C848" s="36"/>
      <c r="D848" s="50"/>
    </row>
    <row r="849" ht="12.75" customHeight="1">
      <c r="A849" s="35"/>
      <c r="C849" s="36"/>
      <c r="D849" s="50"/>
    </row>
    <row r="850" ht="12.75" customHeight="1">
      <c r="A850" s="35"/>
      <c r="C850" s="36"/>
      <c r="D850" s="50"/>
    </row>
    <row r="851" ht="12.75" customHeight="1">
      <c r="A851" s="35"/>
      <c r="C851" s="36"/>
      <c r="D851" s="50"/>
    </row>
    <row r="852" ht="12.75" customHeight="1">
      <c r="A852" s="35"/>
      <c r="C852" s="36"/>
      <c r="D852" s="50"/>
    </row>
    <row r="853" ht="12.75" customHeight="1">
      <c r="A853" s="35"/>
      <c r="C853" s="36"/>
      <c r="D853" s="50"/>
    </row>
    <row r="854" ht="12.75" customHeight="1">
      <c r="A854" s="35"/>
      <c r="C854" s="36"/>
      <c r="D854" s="50"/>
    </row>
    <row r="855" ht="12.75" customHeight="1">
      <c r="A855" s="35"/>
      <c r="C855" s="36"/>
      <c r="D855" s="50"/>
    </row>
    <row r="856" ht="12.75" customHeight="1">
      <c r="A856" s="35"/>
      <c r="C856" s="36"/>
      <c r="D856" s="50"/>
    </row>
    <row r="857" ht="12.75" customHeight="1">
      <c r="A857" s="35"/>
      <c r="C857" s="36"/>
      <c r="D857" s="50"/>
    </row>
    <row r="858" ht="12.75" customHeight="1">
      <c r="A858" s="35"/>
      <c r="C858" s="36"/>
      <c r="D858" s="50"/>
    </row>
    <row r="859" ht="12.75" customHeight="1">
      <c r="A859" s="35"/>
      <c r="C859" s="36"/>
      <c r="D859" s="50"/>
    </row>
    <row r="860" ht="12.75" customHeight="1">
      <c r="A860" s="35"/>
      <c r="C860" s="36"/>
      <c r="D860" s="50"/>
    </row>
    <row r="861" ht="12.75" customHeight="1">
      <c r="A861" s="35"/>
      <c r="C861" s="36"/>
      <c r="D861" s="50"/>
    </row>
    <row r="862" ht="12.75" customHeight="1">
      <c r="A862" s="35"/>
      <c r="C862" s="36"/>
      <c r="D862" s="50"/>
    </row>
    <row r="863" ht="12.75" customHeight="1">
      <c r="A863" s="35"/>
      <c r="C863" s="36"/>
      <c r="D863" s="50"/>
    </row>
    <row r="864" ht="12.75" customHeight="1">
      <c r="A864" s="35"/>
      <c r="C864" s="36"/>
      <c r="D864" s="50"/>
    </row>
    <row r="865" ht="12.75" customHeight="1">
      <c r="A865" s="35"/>
      <c r="C865" s="36"/>
      <c r="D865" s="50"/>
    </row>
    <row r="866" ht="12.75" customHeight="1">
      <c r="D866" s="50"/>
    </row>
    <row r="867" ht="12.75" customHeight="1">
      <c r="D867" s="50"/>
    </row>
    <row r="868" ht="12.75" customHeight="1">
      <c r="D868" s="50"/>
    </row>
    <row r="869" ht="12.75" customHeight="1">
      <c r="D869" s="50"/>
    </row>
    <row r="870" ht="12.75" customHeight="1">
      <c r="D870" s="50"/>
    </row>
    <row r="871" ht="12.75" customHeight="1">
      <c r="D871" s="50"/>
    </row>
    <row r="872" ht="12.75" customHeight="1">
      <c r="D872" s="50"/>
    </row>
    <row r="873" ht="12.75" customHeight="1">
      <c r="D873" s="50"/>
    </row>
    <row r="874" ht="12.75" customHeight="1">
      <c r="D874" s="50"/>
    </row>
    <row r="875" ht="12.75" customHeight="1">
      <c r="D875" s="50"/>
    </row>
    <row r="876" ht="12.75" customHeight="1">
      <c r="D876" s="50"/>
    </row>
    <row r="877" ht="12.75" customHeight="1">
      <c r="D877" s="50"/>
    </row>
    <row r="878" ht="12.75" customHeight="1">
      <c r="D878" s="50"/>
    </row>
    <row r="879" ht="12.75" customHeight="1">
      <c r="D879" s="50"/>
    </row>
    <row r="880" ht="12.75" customHeight="1">
      <c r="D880" s="50"/>
    </row>
    <row r="881" ht="12.75" customHeight="1">
      <c r="D881" s="50"/>
    </row>
    <row r="882" ht="12.75" customHeight="1">
      <c r="D882" s="50"/>
    </row>
    <row r="883" ht="12.75" customHeight="1">
      <c r="D883" s="50"/>
    </row>
    <row r="884" ht="12.75" customHeight="1">
      <c r="D884" s="50"/>
    </row>
    <row r="885" ht="12.75" customHeight="1">
      <c r="D885" s="50"/>
    </row>
    <row r="886" ht="12.75" customHeight="1">
      <c r="D886" s="50"/>
    </row>
    <row r="887" ht="12.75" customHeight="1">
      <c r="D887" s="50"/>
    </row>
    <row r="888" ht="12.75" customHeight="1">
      <c r="D888" s="50"/>
    </row>
    <row r="889" ht="12.75" customHeight="1">
      <c r="D889" s="50"/>
    </row>
    <row r="890" ht="12.75" customHeight="1">
      <c r="D890" s="50"/>
    </row>
    <row r="891" ht="12.75" customHeight="1">
      <c r="D891" s="50"/>
    </row>
    <row r="892" ht="12.75" customHeight="1">
      <c r="D892" s="50"/>
    </row>
    <row r="893" ht="12.75" customHeight="1">
      <c r="D893" s="50"/>
    </row>
    <row r="894" ht="12.75" customHeight="1">
      <c r="D894" s="50"/>
    </row>
    <row r="895" ht="12.75" customHeight="1">
      <c r="D895" s="50"/>
    </row>
    <row r="896" ht="12.75" customHeight="1">
      <c r="D896" s="50"/>
    </row>
    <row r="897" ht="12.75" customHeight="1">
      <c r="D897" s="50"/>
    </row>
    <row r="898" ht="12.75" customHeight="1">
      <c r="D898" s="50"/>
    </row>
    <row r="899" ht="12.75" customHeight="1">
      <c r="D899" s="50"/>
    </row>
    <row r="900" ht="12.75" customHeight="1">
      <c r="D900" s="50"/>
    </row>
    <row r="901" ht="12.75" customHeight="1">
      <c r="D901" s="50"/>
    </row>
    <row r="902" ht="12.75" customHeight="1">
      <c r="D902" s="50"/>
    </row>
    <row r="903" ht="12.75" customHeight="1">
      <c r="D903" s="50"/>
    </row>
    <row r="904" ht="12.75" customHeight="1">
      <c r="D904" s="50"/>
    </row>
    <row r="905" ht="12.75" customHeight="1">
      <c r="D905" s="50"/>
    </row>
    <row r="906" ht="12.75" customHeight="1">
      <c r="D906" s="50"/>
    </row>
    <row r="907" ht="12.75" customHeight="1">
      <c r="D907" s="50"/>
    </row>
    <row r="908" ht="12.75" customHeight="1">
      <c r="D908" s="50"/>
    </row>
    <row r="909" ht="12.75" customHeight="1">
      <c r="D909" s="50"/>
    </row>
    <row r="910" ht="12.75" customHeight="1">
      <c r="D910" s="50"/>
    </row>
    <row r="911" ht="12.75" customHeight="1">
      <c r="D911" s="50"/>
    </row>
    <row r="912" ht="12.75" customHeight="1">
      <c r="D912" s="50"/>
    </row>
    <row r="913" ht="12.75" customHeight="1">
      <c r="D913" s="50"/>
    </row>
    <row r="914" ht="12.75" customHeight="1">
      <c r="D914" s="50"/>
    </row>
    <row r="915" ht="12.75" customHeight="1">
      <c r="D915" s="50"/>
    </row>
    <row r="916" ht="12.75" customHeight="1">
      <c r="D916" s="50"/>
    </row>
    <row r="917" ht="12.75" customHeight="1">
      <c r="D917" s="50"/>
    </row>
    <row r="918" ht="12.75" customHeight="1">
      <c r="D918" s="50"/>
    </row>
    <row r="919" ht="12.75" customHeight="1">
      <c r="D919" s="50"/>
    </row>
    <row r="920" ht="12.75" customHeight="1">
      <c r="D920" s="50"/>
    </row>
    <row r="921" ht="12.75" customHeight="1">
      <c r="D921" s="50"/>
    </row>
    <row r="922" ht="12.75" customHeight="1">
      <c r="D922" s="50"/>
    </row>
    <row r="923" ht="12.75" customHeight="1">
      <c r="D923" s="50"/>
    </row>
    <row r="924" ht="12.75" customHeight="1">
      <c r="D924" s="50"/>
    </row>
    <row r="925" ht="12.75" customHeight="1">
      <c r="D925" s="50"/>
    </row>
    <row r="926" ht="12.75" customHeight="1">
      <c r="D926" s="50"/>
    </row>
    <row r="927" ht="12.75" customHeight="1">
      <c r="D927" s="50"/>
    </row>
    <row r="928" ht="12.75" customHeight="1">
      <c r="D928" s="50"/>
    </row>
    <row r="929" ht="12.75" customHeight="1">
      <c r="D929" s="50"/>
    </row>
    <row r="930" ht="12.75" customHeight="1">
      <c r="D930" s="50"/>
    </row>
    <row r="931" ht="12.75" customHeight="1">
      <c r="D931" s="50"/>
    </row>
    <row r="932" ht="12.75" customHeight="1">
      <c r="D932" s="50"/>
    </row>
    <row r="933" ht="12.75" customHeight="1">
      <c r="D933" s="50"/>
    </row>
    <row r="934" ht="12.75" customHeight="1">
      <c r="D934" s="50"/>
    </row>
    <row r="935" ht="12.75" customHeight="1">
      <c r="D935" s="50"/>
    </row>
    <row r="936" ht="12.75" customHeight="1">
      <c r="D936" s="50"/>
    </row>
    <row r="937" ht="12.75" customHeight="1">
      <c r="D937" s="50"/>
    </row>
    <row r="938" ht="12.75" customHeight="1">
      <c r="D938" s="50"/>
    </row>
    <row r="939" ht="12.75" customHeight="1">
      <c r="D939" s="50"/>
    </row>
    <row r="940" ht="12.75" customHeight="1">
      <c r="D940" s="50"/>
    </row>
    <row r="941" ht="12.75" customHeight="1">
      <c r="D941" s="50"/>
    </row>
    <row r="942" ht="12.75" customHeight="1">
      <c r="D942" s="50"/>
    </row>
    <row r="943" ht="12.75" customHeight="1">
      <c r="D943" s="50"/>
    </row>
    <row r="944" ht="12.75" customHeight="1">
      <c r="D944" s="50"/>
    </row>
    <row r="945" ht="12.75" customHeight="1">
      <c r="D945" s="50"/>
    </row>
    <row r="946" ht="12.75" customHeight="1">
      <c r="D946" s="50"/>
    </row>
    <row r="947" ht="12.75" customHeight="1">
      <c r="D947" s="50"/>
    </row>
    <row r="948" ht="12.75" customHeight="1">
      <c r="D948" s="50"/>
    </row>
    <row r="949" ht="12.75" customHeight="1">
      <c r="D949" s="50"/>
    </row>
    <row r="950" ht="12.75" customHeight="1">
      <c r="D950" s="50"/>
    </row>
    <row r="951" ht="12.75" customHeight="1">
      <c r="D951" s="50"/>
    </row>
    <row r="952" ht="12.75" customHeight="1">
      <c r="D952" s="50"/>
    </row>
    <row r="953" ht="12.75" customHeight="1">
      <c r="D953" s="50"/>
    </row>
    <row r="954" ht="12.75" customHeight="1">
      <c r="D954" s="50"/>
    </row>
    <row r="955" ht="12.75" customHeight="1">
      <c r="D955" s="50"/>
    </row>
    <row r="956" ht="12.75" customHeight="1">
      <c r="D956" s="50"/>
    </row>
    <row r="957" ht="12.75" customHeight="1">
      <c r="D957" s="50"/>
    </row>
    <row r="958" ht="12.75" customHeight="1">
      <c r="D958" s="50"/>
    </row>
    <row r="959" ht="12.75" customHeight="1">
      <c r="D959" s="50"/>
    </row>
    <row r="960" ht="12.75" customHeight="1">
      <c r="D960" s="50"/>
    </row>
    <row r="961" ht="12.75" customHeight="1">
      <c r="D961" s="50"/>
    </row>
    <row r="962" ht="12.75" customHeight="1">
      <c r="D962" s="50"/>
    </row>
    <row r="963" ht="12.75" customHeight="1">
      <c r="D963" s="50"/>
    </row>
    <row r="964" ht="12.75" customHeight="1">
      <c r="D964" s="50"/>
    </row>
    <row r="965" ht="12.75" customHeight="1">
      <c r="D965" s="50"/>
    </row>
    <row r="966" ht="12.75" customHeight="1">
      <c r="D966" s="50"/>
    </row>
    <row r="967" ht="12.75" customHeight="1">
      <c r="D967" s="50"/>
    </row>
    <row r="968" ht="12.75" customHeight="1">
      <c r="D968" s="50"/>
    </row>
    <row r="969" ht="12.75" customHeight="1">
      <c r="D969" s="50"/>
    </row>
    <row r="970" ht="12.75" customHeight="1">
      <c r="D970" s="50"/>
    </row>
    <row r="971" ht="12.75" customHeight="1">
      <c r="D971" s="50"/>
    </row>
    <row r="972" ht="12.75" customHeight="1">
      <c r="D972" s="50"/>
    </row>
    <row r="973" ht="12.75" customHeight="1">
      <c r="D973" s="50"/>
    </row>
    <row r="974" ht="12.75" customHeight="1">
      <c r="D974" s="50"/>
    </row>
    <row r="975" ht="12.75" customHeight="1">
      <c r="D975" s="50"/>
    </row>
    <row r="976" ht="12.75" customHeight="1">
      <c r="D976" s="50"/>
    </row>
    <row r="977" ht="12.75" customHeight="1">
      <c r="D977" s="50"/>
    </row>
    <row r="978" ht="12.75" customHeight="1">
      <c r="D978" s="50"/>
    </row>
    <row r="979" ht="12.75" customHeight="1">
      <c r="D979" s="50"/>
    </row>
    <row r="980" ht="12.75" customHeight="1">
      <c r="D980" s="50"/>
    </row>
    <row r="981" ht="12.75" customHeight="1">
      <c r="D981" s="50"/>
    </row>
    <row r="982" ht="12.75" customHeight="1">
      <c r="D982" s="50"/>
    </row>
    <row r="983" ht="12.75" customHeight="1">
      <c r="D983" s="50"/>
    </row>
    <row r="984" ht="12.75" customHeight="1">
      <c r="D984" s="50"/>
    </row>
    <row r="985" ht="12.75" customHeight="1">
      <c r="D985" s="50"/>
    </row>
    <row r="986" ht="12.75" customHeight="1">
      <c r="D986" s="50"/>
    </row>
    <row r="987" ht="12.75" customHeight="1">
      <c r="D987" s="50"/>
    </row>
    <row r="988" ht="12.75" customHeight="1">
      <c r="D988" s="50"/>
    </row>
    <row r="989" ht="12.75" customHeight="1">
      <c r="D989" s="50"/>
    </row>
    <row r="990" ht="12.75" customHeight="1">
      <c r="D990" s="50"/>
    </row>
    <row r="991" ht="12.75" customHeight="1">
      <c r="D991" s="50"/>
    </row>
    <row r="992" ht="12.75" customHeight="1">
      <c r="D992" s="50"/>
    </row>
    <row r="993" ht="12.75" customHeight="1">
      <c r="D993" s="50"/>
    </row>
    <row r="994" ht="12.75" customHeight="1">
      <c r="D994" s="50"/>
    </row>
    <row r="995" ht="12.75" customHeight="1">
      <c r="D995" s="50"/>
    </row>
    <row r="996" ht="12.75" customHeight="1">
      <c r="D996" s="50"/>
    </row>
    <row r="997" ht="12.75" customHeight="1">
      <c r="D997" s="50"/>
    </row>
    <row r="998" ht="12.75" customHeight="1">
      <c r="D998" s="50"/>
    </row>
    <row r="999" ht="12.75" customHeight="1">
      <c r="D999" s="50"/>
    </row>
    <row r="1000" ht="12.75" customHeight="1">
      <c r="D1000" s="50"/>
    </row>
  </sheetData>
  <printOptions/>
  <pageMargins bottom="0.984027777777778" footer="0.0" header="0.0" left="0.7875" right="0.7875" top="0.984027777777778"/>
  <pageSetup paperSize="9" orientation="portrait"/>
  <drawing r:id="rId1"/>
</worksheet>
</file>