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sus Лена\Рабочий стол\Мое обучение\Экспрес-стажировка у Колоколова 2023\Годовой отчет\"/>
    </mc:Choice>
  </mc:AlternateContent>
  <xr:revisionPtr revIDLastSave="0" documentId="13_ncr:1_{BADE877B-E8B2-4A96-9BAB-CFD4F0443934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Данные" sheetId="2" state="hidden" r:id="rId1"/>
    <sheet name="Годовой отчет" sheetId="3" r:id="rId2"/>
  </sheets>
  <definedNames>
    <definedName name="Срез_Отдел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2" l="1"/>
  <c r="E41" i="2"/>
  <c r="E40" i="2"/>
  <c r="E39" i="2"/>
  <c r="K13" i="2" l="1"/>
  <c r="K12" i="2" s="1"/>
  <c r="K14" i="2"/>
  <c r="M14" i="2" s="1"/>
  <c r="K15" i="2"/>
  <c r="M15" i="2" s="1"/>
  <c r="M13" i="2" l="1"/>
  <c r="G6" i="3"/>
  <c r="I5" i="3"/>
  <c r="F5" i="3"/>
  <c r="C5" i="3"/>
  <c r="W31" i="2"/>
  <c r="M43" i="2"/>
  <c r="M42" i="2"/>
  <c r="M41" i="2"/>
  <c r="M40" i="2"/>
  <c r="E48" i="2" l="1"/>
  <c r="E47" i="2"/>
  <c r="E46" i="2"/>
  <c r="D48" i="2"/>
  <c r="D47" i="2"/>
  <c r="D46" i="2"/>
  <c r="D45" i="2"/>
  <c r="E45" i="2" s="1"/>
  <c r="C49" i="2"/>
  <c r="F45" i="2" s="1"/>
  <c r="U32" i="2" s="1"/>
  <c r="B49" i="2"/>
  <c r="D42" i="2"/>
  <c r="F42" i="2" s="1"/>
  <c r="D41" i="2"/>
  <c r="F41" i="2" s="1"/>
  <c r="D40" i="2"/>
  <c r="F40" i="2" s="1"/>
  <c r="D39" i="2"/>
  <c r="F39" i="2" s="1"/>
  <c r="B38" i="2"/>
  <c r="E38" i="2" s="1"/>
  <c r="W30" i="2"/>
  <c r="D6" i="3" s="1"/>
  <c r="W29" i="2"/>
  <c r="J6" i="3" s="1"/>
  <c r="U9" i="2"/>
  <c r="U8" i="2"/>
  <c r="U7" i="2"/>
  <c r="U6" i="2"/>
  <c r="U5" i="2"/>
  <c r="D8" i="2"/>
  <c r="D49" i="2" s="1"/>
  <c r="E8" i="2"/>
  <c r="F8" i="2"/>
  <c r="C8" i="2"/>
  <c r="B8" i="2"/>
  <c r="G5" i="2"/>
  <c r="G4" i="2"/>
  <c r="G6" i="2"/>
  <c r="G7" i="2"/>
  <c r="O15" i="2"/>
  <c r="O14" i="2"/>
  <c r="O13" i="2"/>
  <c r="N15" i="2"/>
  <c r="N14" i="2"/>
  <c r="N13" i="2"/>
  <c r="N12" i="2"/>
  <c r="S9" i="2"/>
  <c r="U5" i="3" l="1"/>
  <c r="W32" i="2"/>
  <c r="V6" i="3" s="1"/>
  <c r="E49" i="2"/>
  <c r="O5" i="3"/>
  <c r="P6" i="3" s="1"/>
  <c r="B33" i="2" l="1"/>
  <c r="B32" i="2"/>
  <c r="B31" i="2"/>
  <c r="B30" i="2"/>
  <c r="M5" i="2" l="1"/>
  <c r="M6" i="2"/>
  <c r="L12" i="2" l="1"/>
  <c r="M12" i="2" l="1"/>
  <c r="O12" i="2"/>
  <c r="M6" i="3"/>
  <c r="L5" i="3"/>
  <c r="E26" i="2"/>
  <c r="D26" i="2"/>
  <c r="C26" i="2"/>
  <c r="D38" i="2" s="1"/>
  <c r="F38" i="2" s="1"/>
  <c r="B26" i="2"/>
  <c r="R5" i="3" s="1"/>
  <c r="C17" i="2"/>
  <c r="B17" i="2"/>
  <c r="E15" i="2"/>
  <c r="D15" i="2"/>
  <c r="E14" i="2"/>
  <c r="D14" i="2"/>
  <c r="E13" i="2"/>
  <c r="D13" i="2"/>
  <c r="R9" i="2"/>
  <c r="Q9" i="2"/>
  <c r="E16" i="2"/>
  <c r="D16" i="2"/>
  <c r="L7" i="2"/>
  <c r="K7" i="2"/>
  <c r="I7" i="2"/>
  <c r="I6" i="2"/>
  <c r="I5" i="2"/>
  <c r="I4" i="2"/>
  <c r="F16" i="2" l="1"/>
  <c r="F14" i="2"/>
  <c r="F15" i="2"/>
  <c r="F13" i="2"/>
  <c r="C31" i="2"/>
  <c r="C32" i="2"/>
  <c r="C30" i="2"/>
  <c r="C33" i="2"/>
  <c r="E17" i="2"/>
  <c r="D17" i="2"/>
  <c r="G8" i="2"/>
</calcChain>
</file>

<file path=xl/sharedStrings.xml><?xml version="1.0" encoding="utf-8"?>
<sst xmlns="http://schemas.openxmlformats.org/spreadsheetml/2006/main" count="195" uniqueCount="76">
  <si>
    <t>Отдел</t>
  </si>
  <si>
    <t>Производство</t>
  </si>
  <si>
    <t>Логистика и сервис</t>
  </si>
  <si>
    <t>Продажи и маркетинг</t>
  </si>
  <si>
    <t>Управляющая компания</t>
  </si>
  <si>
    <t>Численность</t>
  </si>
  <si>
    <t>принято</t>
  </si>
  <si>
    <t>уволено</t>
  </si>
  <si>
    <t>текучесть</t>
  </si>
  <si>
    <t>уволено с/ж</t>
  </si>
  <si>
    <t>ФОТ</t>
  </si>
  <si>
    <t>ср зп</t>
  </si>
  <si>
    <t>резерв</t>
  </si>
  <si>
    <t>обучение</t>
  </si>
  <si>
    <t>Топ-менедждмент</t>
  </si>
  <si>
    <t>обучено</t>
  </si>
  <si>
    <t>фот</t>
  </si>
  <si>
    <t>вакансий закрыто резервом</t>
  </si>
  <si>
    <t>трудоустройство</t>
  </si>
  <si>
    <t>категории персонала</t>
  </si>
  <si>
    <t>норматив</t>
  </si>
  <si>
    <t>бюджет</t>
  </si>
  <si>
    <t>NPS</t>
  </si>
  <si>
    <t>Линейные руководители</t>
  </si>
  <si>
    <t>Специалисты, рабочие</t>
  </si>
  <si>
    <t>Текучесть</t>
  </si>
  <si>
    <t>отдел</t>
  </si>
  <si>
    <t>Доля обученных</t>
  </si>
  <si>
    <t>Абсентеизм</t>
  </si>
  <si>
    <t>План</t>
  </si>
  <si>
    <t>Итого</t>
  </si>
  <si>
    <t>2021</t>
  </si>
  <si>
    <t>2022</t>
  </si>
  <si>
    <t>дельта</t>
  </si>
  <si>
    <t xml:space="preserve"> 2022</t>
  </si>
  <si>
    <t xml:space="preserve"> 2021</t>
  </si>
  <si>
    <t>ФОТ, млн.руб.</t>
  </si>
  <si>
    <t>Численность, чел.</t>
  </si>
  <si>
    <t>Показатель</t>
  </si>
  <si>
    <t>Сумма по полю 2022</t>
  </si>
  <si>
    <t>Значения</t>
  </si>
  <si>
    <t>Сумма по полю 2021</t>
  </si>
  <si>
    <t>Сумма по полю Динамика</t>
  </si>
  <si>
    <t>Динамика текучести</t>
  </si>
  <si>
    <t>к 2021</t>
  </si>
  <si>
    <t>средняя ЗП</t>
  </si>
  <si>
    <t xml:space="preserve"> </t>
  </si>
  <si>
    <t>ТД</t>
  </si>
  <si>
    <t>СТД</t>
  </si>
  <si>
    <t>Всего</t>
  </si>
  <si>
    <t>Бюджет на обучение, млн.руб.</t>
  </si>
  <si>
    <t>обучено, чел.</t>
  </si>
  <si>
    <t>всего принято</t>
  </si>
  <si>
    <t>Доля назначения из внутреннего резерва</t>
  </si>
  <si>
    <t>Коэф.продвижения резервистов</t>
  </si>
  <si>
    <t>Коэффициент продвижения резервистов</t>
  </si>
  <si>
    <t>бенчмарк 11,5%*</t>
  </si>
  <si>
    <t>Назначено</t>
  </si>
  <si>
    <t>Уволено</t>
  </si>
  <si>
    <t>Резервистов</t>
  </si>
  <si>
    <t>% от валовой прибыли в млн.руб</t>
  </si>
  <si>
    <t xml:space="preserve">17% от </t>
  </si>
  <si>
    <t>6% от</t>
  </si>
  <si>
    <t>Годовой отчет по персоналу за 2022 год</t>
  </si>
  <si>
    <t>10 чел.</t>
  </si>
  <si>
    <t>15 чел.</t>
  </si>
  <si>
    <t>25 чел.</t>
  </si>
  <si>
    <t>60 чел.</t>
  </si>
  <si>
    <t>Бюджет, млн.руб.</t>
  </si>
  <si>
    <t>Принято</t>
  </si>
  <si>
    <t>Общая численность</t>
  </si>
  <si>
    <t>Изменение СЗП к 2021 году</t>
  </si>
  <si>
    <t xml:space="preserve"> Доля обученных</t>
  </si>
  <si>
    <t>45% от</t>
  </si>
  <si>
    <t>22% от</t>
  </si>
  <si>
    <t>*По данным исследования TalentCode в 2022г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</si>
</sst>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₽_-;\-* #,##0.00\ _₽_-;_-* &quot;-&quot;??\ _₽_-;_-@_-"/>
    <numFmt numFmtId="165" formatCode="0.0%"/>
    <numFmt numFmtId="166" formatCode="_-* #,##0.0\ _₽_-;\-* #,##0.0\ _₽_-;_-* &quot;-&quot;??\ _₽_-;_-@_-"/>
    <numFmt numFmtId="167" formatCode="\+0%"/>
    <numFmt numFmtId="168" formatCode="\+0.0%"/>
    <numFmt numFmtId="169" formatCode="#,##0_ ;\-#,##0\ "/>
    <numFmt numFmtId="170" formatCode="_-* #,##0\ _₽_-;\-* #,##0\ _₽_-;_-* &quot;-&quot;??\ _₽_-;_-@_-"/>
  </numFmts>
  <fonts count="11" x14ac:knownFonts="1">
    <font>
      <sz val="11"/>
      <color theme="1"/>
      <name val="Calibri Light"/>
      <family val="2"/>
      <charset val="204"/>
      <scheme val="minor"/>
    </font>
    <font>
      <sz val="11"/>
      <color theme="1"/>
      <name val="Calibri Light"/>
      <family val="2"/>
      <charset val="204"/>
      <scheme val="minor"/>
    </font>
    <font>
      <sz val="12"/>
      <color theme="1"/>
      <name val="Calibri Light"/>
      <family val="2"/>
      <charset val="204"/>
      <scheme val="minor"/>
    </font>
    <font>
      <sz val="20"/>
      <color theme="1"/>
      <name val="Calibri Light"/>
      <family val="2"/>
      <charset val="204"/>
      <scheme val="minor"/>
    </font>
    <font>
      <sz val="9"/>
      <color theme="9" tint="-0.249977111117893"/>
      <name val="Calibri Light"/>
      <family val="2"/>
      <charset val="204"/>
      <scheme val="minor"/>
    </font>
    <font>
      <sz val="9"/>
      <color rgb="FFFF0000"/>
      <name val="Calibri Light"/>
      <family val="2"/>
      <charset val="204"/>
      <scheme val="minor"/>
    </font>
    <font>
      <sz val="9"/>
      <color theme="1"/>
      <name val="Calibri Light"/>
      <family val="2"/>
      <charset val="204"/>
      <scheme val="minor"/>
    </font>
    <font>
      <b/>
      <sz val="20"/>
      <color theme="1"/>
      <name val="Calibri Light"/>
      <family val="2"/>
      <charset val="204"/>
      <scheme val="minor"/>
    </font>
    <font>
      <b/>
      <sz val="14"/>
      <color theme="8" tint="-0.249977111117893"/>
      <name val="Calibri Light"/>
      <family val="2"/>
      <charset val="204"/>
      <scheme val="minor"/>
    </font>
    <font>
      <b/>
      <sz val="14"/>
      <color rgb="FFC00000"/>
      <name val="Calibri Light"/>
      <family val="2"/>
      <charset val="204"/>
      <scheme val="minor"/>
    </font>
    <font>
      <b/>
      <sz val="14"/>
      <color theme="7" tint="-0.249977111117893"/>
      <name val="Calibri Light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F7FF"/>
        <bgColor indexed="64"/>
      </patternFill>
    </fill>
  </fills>
  <borders count="9">
    <border>
      <left/>
      <right/>
      <top/>
      <bottom/>
      <diagonal/>
    </border>
    <border>
      <left style="hair">
        <color theme="2"/>
      </left>
      <right/>
      <top style="hair">
        <color theme="2"/>
      </top>
      <bottom/>
      <diagonal/>
    </border>
    <border>
      <left/>
      <right/>
      <top style="hair">
        <color theme="2"/>
      </top>
      <bottom/>
      <diagonal/>
    </border>
    <border>
      <left/>
      <right style="hair">
        <color theme="2"/>
      </right>
      <top style="hair">
        <color theme="2"/>
      </top>
      <bottom/>
      <diagonal/>
    </border>
    <border>
      <left style="hair">
        <color theme="2"/>
      </left>
      <right/>
      <top/>
      <bottom/>
      <diagonal/>
    </border>
    <border>
      <left/>
      <right style="hair">
        <color theme="2"/>
      </right>
      <top/>
      <bottom/>
      <diagonal/>
    </border>
    <border>
      <left style="hair">
        <color theme="2"/>
      </left>
      <right/>
      <top/>
      <bottom style="hair">
        <color theme="2"/>
      </bottom>
      <diagonal/>
    </border>
    <border>
      <left/>
      <right/>
      <top/>
      <bottom style="hair">
        <color theme="2"/>
      </bottom>
      <diagonal/>
    </border>
    <border>
      <left/>
      <right style="hair">
        <color theme="2"/>
      </right>
      <top/>
      <bottom style="hair">
        <color theme="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0" fillId="3" borderId="0" xfId="1" applyNumberFormat="1" applyFont="1" applyFill="1"/>
    <xf numFmtId="165" fontId="0" fillId="3" borderId="0" xfId="0" applyNumberFormat="1" applyFill="1"/>
    <xf numFmtId="1" fontId="0" fillId="0" borderId="0" xfId="0" applyNumberFormat="1"/>
    <xf numFmtId="1" fontId="0" fillId="3" borderId="0" xfId="0" applyNumberFormat="1" applyFill="1"/>
    <xf numFmtId="164" fontId="0" fillId="0" borderId="0" xfId="2" applyFont="1"/>
    <xf numFmtId="0" fontId="0" fillId="2" borderId="0" xfId="0" quotePrefix="1" applyFill="1"/>
    <xf numFmtId="165" fontId="0" fillId="0" borderId="0" xfId="2" applyNumberFormat="1" applyFont="1"/>
    <xf numFmtId="0" fontId="0" fillId="0" borderId="0" xfId="0" pivotButton="1"/>
    <xf numFmtId="170" fontId="0" fillId="0" borderId="0" xfId="2" applyNumberFormat="1" applyFont="1"/>
    <xf numFmtId="0" fontId="0" fillId="4" borderId="0" xfId="0" applyFill="1"/>
    <xf numFmtId="10" fontId="0" fillId="0" borderId="0" xfId="0" applyNumberFormat="1"/>
    <xf numFmtId="0" fontId="0" fillId="5" borderId="0" xfId="0" applyFill="1"/>
    <xf numFmtId="168" fontId="5" fillId="5" borderId="0" xfId="1" applyNumberFormat="1" applyFont="1" applyFill="1" applyBorder="1" applyAlignment="1">
      <alignment horizontal="left"/>
    </xf>
    <xf numFmtId="168" fontId="5" fillId="5" borderId="0" xfId="1" applyNumberFormat="1" applyFont="1" applyFill="1" applyBorder="1" applyAlignment="1">
      <alignment horizontal="left" vertical="top"/>
    </xf>
    <xf numFmtId="167" fontId="4" fillId="5" borderId="0" xfId="1" applyNumberFormat="1" applyFont="1" applyFill="1" applyBorder="1" applyAlignment="1">
      <alignment horizontal="left"/>
    </xf>
    <xf numFmtId="9" fontId="4" fillId="5" borderId="0" xfId="1" applyFont="1" applyFill="1" applyBorder="1" applyAlignment="1">
      <alignment horizontal="left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3" fillId="5" borderId="0" xfId="0" applyFont="1" applyFill="1"/>
    <xf numFmtId="0" fontId="0" fillId="5" borderId="5" xfId="0" applyFill="1" applyBorder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Alignment="1">
      <alignment horizontal="right"/>
    </xf>
    <xf numFmtId="0" fontId="2" fillId="4" borderId="0" xfId="0" applyFont="1" applyFill="1" applyAlignment="1">
      <alignment horizontal="centerContinuous" vertical="center"/>
    </xf>
    <xf numFmtId="0" fontId="0" fillId="4" borderId="0" xfId="0" applyFill="1" applyAlignment="1">
      <alignment horizontal="centerContinuous"/>
    </xf>
    <xf numFmtId="0" fontId="6" fillId="4" borderId="0" xfId="0" applyFont="1" applyFill="1" applyAlignment="1">
      <alignment horizontal="left"/>
    </xf>
    <xf numFmtId="9" fontId="8" fillId="4" borderId="0" xfId="1" applyFont="1" applyFill="1" applyBorder="1" applyAlignment="1">
      <alignment horizontal="left"/>
    </xf>
    <xf numFmtId="1" fontId="8" fillId="4" borderId="0" xfId="2" applyNumberFormat="1" applyFont="1" applyFill="1" applyBorder="1" applyAlignment="1">
      <alignment horizontal="left"/>
    </xf>
    <xf numFmtId="9" fontId="9" fillId="4" borderId="0" xfId="1" applyFont="1" applyFill="1" applyBorder="1" applyAlignment="1">
      <alignment horizontal="left"/>
    </xf>
    <xf numFmtId="9" fontId="10" fillId="4" borderId="0" xfId="1" applyFont="1" applyFill="1" applyBorder="1" applyAlignment="1">
      <alignment horizontal="left"/>
    </xf>
    <xf numFmtId="9" fontId="0" fillId="5" borderId="0" xfId="0" applyNumberFormat="1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166" fontId="7" fillId="4" borderId="0" xfId="2" applyNumberFormat="1" applyFont="1" applyFill="1" applyBorder="1" applyAlignment="1">
      <alignment horizontal="center" vertical="center"/>
    </xf>
    <xf numFmtId="9" fontId="7" fillId="4" borderId="0" xfId="1" applyFont="1" applyFill="1" applyBorder="1" applyAlignment="1">
      <alignment horizontal="center" vertical="center"/>
    </xf>
    <xf numFmtId="169" fontId="7" fillId="4" borderId="0" xfId="2" applyNumberFormat="1" applyFont="1" applyFill="1" applyBorder="1" applyAlignment="1">
      <alignment horizontal="center" vertical="center" wrapText="1"/>
    </xf>
    <xf numFmtId="169" fontId="7" fillId="4" borderId="0" xfId="2" applyNumberFormat="1" applyFont="1" applyFill="1" applyBorder="1" applyAlignment="1">
      <alignment horizontal="center" vertical="center"/>
    </xf>
    <xf numFmtId="165" fontId="7" fillId="4" borderId="0" xfId="1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16">
    <dxf>
      <font>
        <color theme="7" tint="-0.24994659260841701"/>
      </font>
    </dxf>
    <dxf>
      <font>
        <color rgb="FFC00000"/>
      </font>
    </dxf>
    <dxf>
      <font>
        <color theme="7" tint="-0.24994659260841701"/>
      </font>
    </dxf>
    <dxf>
      <font>
        <color rgb="FFC00000"/>
      </font>
    </dxf>
    <dxf>
      <font>
        <color theme="7" tint="-0.24994659260841701"/>
      </font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04"/>
        <scheme val="minor"/>
      </font>
      <numFmt numFmtId="165" formatCode="0.0%"/>
    </dxf>
    <dxf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04"/>
        <scheme val="minor"/>
      </font>
      <numFmt numFmtId="165" formatCode="0.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04"/>
        <scheme val="minor"/>
      </font>
      <numFmt numFmtId="165" formatCode="0.0%"/>
    </dxf>
    <dxf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04"/>
        <scheme val="minor"/>
      </font>
      <numFmt numFmtId="13" formatCode="0%"/>
    </dxf>
    <dxf>
      <numFmt numFmtId="1" formatCode="0"/>
    </dxf>
    <dxf>
      <numFmt numFmtId="1" formatCode="0"/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mruColors>
      <color rgb="FFFF9900"/>
      <color rgb="FF996600"/>
      <color rgb="FFFF7C80"/>
      <color rgb="FFB08600"/>
      <color rgb="FFE7F7FF"/>
      <color rgb="FFB7FFF1"/>
      <color rgb="FFB7FFFD"/>
      <color rgb="FF00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+mn-lt"/>
                <a:ea typeface="Calibri" panose="020F0502020204030204" pitchFamily="34" charset="0"/>
                <a:cs typeface="Calibri" panose="020F0502020204030204" pitchFamily="34" charset="0"/>
              </a:rPr>
              <a:t>Динамика</a:t>
            </a:r>
            <a:r>
              <a:rPr lang="ru-RU" baseline="0">
                <a:latin typeface="+mn-lt"/>
                <a:ea typeface="Calibri" panose="020F0502020204030204" pitchFamily="34" charset="0"/>
                <a:cs typeface="Calibri" panose="020F0502020204030204" pitchFamily="34" charset="0"/>
              </a:rPr>
              <a:t> снижения кадровых рисков</a:t>
            </a:r>
            <a:endParaRPr lang="ru-RU">
              <a:latin typeface="+mn-lt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3.7671287576090829E-3"/>
          <c:y val="1.3888888888888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294907407407406E-2"/>
          <c:y val="0.34384722222222219"/>
          <c:w val="0.94741035526620165"/>
          <c:h val="0.57025771604938269"/>
        </c:manualLayout>
      </c:layout>
      <c:barChart>
        <c:barDir val="col"/>
        <c:grouping val="percentStacked"/>
        <c:varyColors val="0"/>
        <c:ser>
          <c:idx val="0"/>
          <c:order val="1"/>
          <c:tx>
            <c:strRef>
              <c:f>Данные!$J$5</c:f>
              <c:strCache>
                <c:ptCount val="1"/>
                <c:pt idx="0">
                  <c:v>ТД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Данные!$K$4:$L$4</c:f>
              <c:numCache>
                <c:formatCode>General</c:formatCode>
                <c:ptCount val="2"/>
                <c:pt idx="0">
                  <c:v>2022</c:v>
                </c:pt>
                <c:pt idx="1">
                  <c:v>2021</c:v>
                </c:pt>
              </c:numCache>
            </c:numRef>
          </c:cat>
          <c:val>
            <c:numRef>
              <c:f>Данные!$K$5:$L$5</c:f>
              <c:numCache>
                <c:formatCode>General</c:formatCode>
                <c:ptCount val="2"/>
                <c:pt idx="0">
                  <c:v>80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A-43B6-BABD-131CC9C53C1B}"/>
            </c:ext>
          </c:extLst>
        </c:ser>
        <c:ser>
          <c:idx val="2"/>
          <c:order val="2"/>
          <c:tx>
            <c:strRef>
              <c:f>Данные!$J$6</c:f>
              <c:strCache>
                <c:ptCount val="1"/>
                <c:pt idx="0">
                  <c:v>СТД</c:v>
                </c:pt>
              </c:strCache>
            </c:strRef>
          </c:tx>
          <c:spPr>
            <a:solidFill>
              <a:srgbClr val="FFC00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9966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Данные!$K$4:$L$4</c:f>
              <c:numCache>
                <c:formatCode>General</c:formatCode>
                <c:ptCount val="2"/>
                <c:pt idx="0">
                  <c:v>2022</c:v>
                </c:pt>
                <c:pt idx="1">
                  <c:v>2021</c:v>
                </c:pt>
              </c:numCache>
            </c:numRef>
          </c:cat>
          <c:val>
            <c:numRef>
              <c:f>Данные!$K$6:$L$6</c:f>
              <c:numCache>
                <c:formatCode>General</c:formatCode>
                <c:ptCount val="2"/>
                <c:pt idx="0">
                  <c:v>36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A-43B6-BABD-131CC9C5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995679"/>
        <c:axId val="730396463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Данные!$J$4</c15:sqref>
                        </c15:formulaRef>
                      </c:ext>
                    </c:extLst>
                    <c:strCache>
                      <c:ptCount val="1"/>
                      <c:pt idx="0">
                        <c:v>трудоустройство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Данные!$K$4:$L$4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2022</c:v>
                      </c:pt>
                      <c:pt idx="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Данные!$K$4:$L$4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2022</c:v>
                      </c:pt>
                      <c:pt idx="1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7A-43B6-BABD-131CC9C53C1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Данные!$J$20</c:f>
              <c:strCache>
                <c:ptCount val="1"/>
                <c:pt idx="0">
                  <c:v>Абсентеизм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99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3474200-C369-445C-B948-7A8D2CB65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A2E-4521-82C7-6EB148B969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1ACBDF-E44C-4E1F-A4F1-CE63EE8ED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A2E-4521-82C7-6EB148B969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Данные!$K$20:$L$20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Данные!$K$21:$L$21</c15:f>
                <c15:dlblRangeCache>
                  <c:ptCount val="2"/>
                  <c:pt idx="0">
                    <c:v>6%</c:v>
                  </c:pt>
                  <c:pt idx="1">
                    <c:v>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A2E-4521-82C7-6EB148B9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186463"/>
        <c:axId val="826215279"/>
      </c:lineChart>
      <c:catAx>
        <c:axId val="511995679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396463"/>
        <c:crosses val="autoZero"/>
        <c:auto val="1"/>
        <c:lblAlgn val="ctr"/>
        <c:lblOffset val="100"/>
        <c:noMultiLvlLbl val="0"/>
      </c:catAx>
      <c:valAx>
        <c:axId val="730396463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511995679"/>
        <c:crosses val="autoZero"/>
        <c:crossBetween val="between"/>
      </c:valAx>
      <c:valAx>
        <c:axId val="826215279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869186463"/>
        <c:crosses val="max"/>
        <c:crossBetween val="between"/>
      </c:valAx>
      <c:catAx>
        <c:axId val="869186463"/>
        <c:scaling>
          <c:orientation val="minMax"/>
        </c:scaling>
        <c:delete val="1"/>
        <c:axPos val="b"/>
        <c:majorTickMark val="out"/>
        <c:minorTickMark val="none"/>
        <c:tickLblPos val="nextTo"/>
        <c:crossAx val="826215279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FFC000">
              <a:alpha val="0"/>
            </a:srgbClr>
          </a:solidFill>
        </a:ln>
        <a:effectLst/>
      </c:spPr>
    </c:plotArea>
    <c:legend>
      <c:legendPos val="t"/>
      <c:layout>
        <c:manualLayout>
          <c:xMode val="edge"/>
          <c:yMode val="edge"/>
          <c:x val="7.0101835624575087E-2"/>
          <c:y val="8.9291049382716051E-2"/>
          <c:w val="0.81746794949953527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Изменение СЗП в корреляции с текучестью</a:t>
            </a:r>
          </a:p>
        </c:rich>
      </c:tx>
      <c:layout>
        <c:manualLayout>
          <c:xMode val="edge"/>
          <c:yMode val="edge"/>
          <c:x val="2.5310624223241693E-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294822366899166E-2"/>
          <c:y val="0.25858267716535432"/>
          <c:w val="0.94741035526620165"/>
          <c:h val="0.67803179012345682"/>
        </c:manualLayout>
      </c:layout>
      <c:lineChart>
        <c:grouping val="standard"/>
        <c:varyColors val="0"/>
        <c:ser>
          <c:idx val="1"/>
          <c:order val="0"/>
          <c:tx>
            <c:strRef>
              <c:f>Данные!$S$10</c:f>
              <c:strCache>
                <c:ptCount val="1"/>
                <c:pt idx="0">
                  <c:v>Изменение СЗП к 2021 году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Данные!$P$11:$P$14</c:f>
              <c:strCache>
                <c:ptCount val="4"/>
                <c:pt idx="0">
                  <c:v>Управляющая компания</c:v>
                </c:pt>
                <c:pt idx="1">
                  <c:v>Продажи и маркетинг</c:v>
                </c:pt>
                <c:pt idx="2">
                  <c:v>Производство</c:v>
                </c:pt>
                <c:pt idx="3">
                  <c:v>Логистика и сервис</c:v>
                </c:pt>
              </c:strCache>
            </c:strRef>
          </c:cat>
          <c:val>
            <c:numRef>
              <c:f>Данные!$S$11:$S$14</c:f>
              <c:numCache>
                <c:formatCode>0%</c:formatCode>
                <c:ptCount val="4"/>
                <c:pt idx="0">
                  <c:v>0.06</c:v>
                </c:pt>
                <c:pt idx="1">
                  <c:v>-0.06</c:v>
                </c:pt>
                <c:pt idx="2">
                  <c:v>-0.04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0-4584-8036-1450F6F4517C}"/>
            </c:ext>
          </c:extLst>
        </c:ser>
        <c:ser>
          <c:idx val="2"/>
          <c:order val="1"/>
          <c:tx>
            <c:strRef>
              <c:f>Данные!$T$10</c:f>
              <c:strCache>
                <c:ptCount val="1"/>
                <c:pt idx="0">
                  <c:v>Текучесть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9525">
                <a:noFill/>
              </a:ln>
              <a:effectLst/>
            </c:spPr>
          </c:marker>
          <c:dLbls>
            <c:dLbl>
              <c:idx val="3"/>
              <c:layout>
                <c:manualLayout>
                  <c:x val="-4.379740740740741E-2"/>
                  <c:y val="-5.3275371828521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90-4584-8036-1450F6F45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FF7C8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Данные!$P$11:$P$14</c:f>
              <c:strCache>
                <c:ptCount val="4"/>
                <c:pt idx="0">
                  <c:v>Управляющая компания</c:v>
                </c:pt>
                <c:pt idx="1">
                  <c:v>Продажи и маркетинг</c:v>
                </c:pt>
                <c:pt idx="2">
                  <c:v>Производство</c:v>
                </c:pt>
                <c:pt idx="3">
                  <c:v>Логистика и сервис</c:v>
                </c:pt>
              </c:strCache>
            </c:strRef>
          </c:cat>
          <c:val>
            <c:numRef>
              <c:f>Данные!$T$11:$T$14</c:f>
              <c:numCache>
                <c:formatCode>0%</c:formatCode>
                <c:ptCount val="4"/>
                <c:pt idx="0">
                  <c:v>0</c:v>
                </c:pt>
                <c:pt idx="1">
                  <c:v>0.16</c:v>
                </c:pt>
                <c:pt idx="2" formatCode="0.0%">
                  <c:v>0.21568627450980399</c:v>
                </c:pt>
                <c:pt idx="3" formatCode="0.0%">
                  <c:v>0.15384615384615399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0-4584-8036-1450F6F45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995679"/>
        <c:axId val="730396463"/>
      </c:lineChart>
      <c:catAx>
        <c:axId val="511995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730396463"/>
        <c:crosses val="autoZero"/>
        <c:auto val="1"/>
        <c:lblAlgn val="ctr"/>
        <c:lblOffset val="1"/>
        <c:noMultiLvlLbl val="0"/>
      </c:catAx>
      <c:valAx>
        <c:axId val="73039646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11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4914074074074072E-2"/>
          <c:y val="9.4661419753086423E-2"/>
          <c:w val="0.61714944444444431"/>
          <c:h val="7.56342592592592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ru-RU" sz="1200" b="0" i="0" u="none" strike="noStrike" kern="1200" spc="0" baseline="0" noProof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ФОТ от валовой</a:t>
            </a:r>
            <a:r>
              <a:rPr lang="ru-RU" sz="800" b="0" i="0" baseline="0">
                <a:effectLst/>
              </a:rPr>
              <a:t> </a:t>
            </a:r>
            <a:r>
              <a:rPr lang="ru-RU" sz="1600" b="0" i="0" baseline="0">
                <a:effectLst/>
              </a:rPr>
              <a:t>прибыли по категориям персонала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6.1186482422179915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ru-RU" sz="1200" b="0" i="0" u="none" strike="noStrike" kern="1200" spc="0" baseline="0" noProof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3220634708421037"/>
          <c:y val="0.31958444315315343"/>
          <c:w val="0.59484291008371548"/>
          <c:h val="0.664879012345679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Данные!$N$11</c:f>
              <c:strCache>
                <c:ptCount val="1"/>
                <c:pt idx="0">
                  <c:v>% от валовой прибыли в млн.руб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08E24E3-CCC2-4459-84EC-5BDE499FFDCD}" type="CELLRANGE">
                      <a:rPr lang="ru-RU"/>
                      <a:pPr/>
                      <a:t>[CELLRANGE]</a:t>
                    </a:fld>
                    <a:endParaRPr lang="ru-RU" baseline="0"/>
                  </a:p>
                  <a:p>
                    <a:fld id="{38EC29C5-ACFC-48CE-8C39-065300F13E6D}" type="VALUE">
                      <a:rPr lang="ru-RU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FCA-4ADC-87EF-47E1047968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13D388-ACFC-4503-82ED-58C491B5B1BF}" type="CELLRANGE">
                      <a:rPr lang="ru-RU"/>
                      <a:pPr/>
                      <a:t>[CELLRANGE]</a:t>
                    </a:fld>
                    <a:endParaRPr lang="ru-RU" baseline="0"/>
                  </a:p>
                  <a:p>
                    <a:fld id="{F41F4D97-B2C8-4E67-A8A3-C9B892FEC023}" type="VALUE">
                      <a:rPr lang="ru-RU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C8-4E50-9FEC-99C67A2FED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C92D1E-125F-4161-B013-7C7AB5487ECA}" type="CELLRANGE">
                      <a:rPr lang="ru-RU"/>
                      <a:pPr/>
                      <a:t>[CELLRANGE]</a:t>
                    </a:fld>
                    <a:endParaRPr lang="ru-RU" baseline="0"/>
                  </a:p>
                  <a:p>
                    <a:fld id="{D8C54F4D-8024-4C0F-9A0E-73FDEDE2FF04}" type="VALUE">
                      <a:rPr lang="ru-RU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2C8-4E50-9FEC-99C67A2FED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E56F8A-1340-4978-94A2-9A2B2D01F5A8}" type="CELLRANGE">
                      <a:rPr lang="ru-RU"/>
                      <a:pPr/>
                      <a:t>[CELLRANGE]</a:t>
                    </a:fld>
                    <a:endParaRPr lang="ru-RU" baseline="0"/>
                  </a:p>
                  <a:p>
                    <a:fld id="{A768C35C-0147-4F6D-930D-82EE223EF173}" type="VALUE">
                      <a:rPr lang="ru-RU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2C8-4E50-9FEC-99C67A2FED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Данные!$J$12:$J$15</c:f>
              <c:strCache>
                <c:ptCount val="4"/>
                <c:pt idx="0">
                  <c:v>Всего</c:v>
                </c:pt>
                <c:pt idx="1">
                  <c:v>Специалисты, рабочие</c:v>
                </c:pt>
                <c:pt idx="2">
                  <c:v>Топ-менедждмент</c:v>
                </c:pt>
                <c:pt idx="3">
                  <c:v>Линейные руководители</c:v>
                </c:pt>
              </c:strCache>
            </c:strRef>
          </c:cat>
          <c:val>
            <c:numRef>
              <c:f>Данные!$K$12:$K$15</c:f>
              <c:numCache>
                <c:formatCode>0</c:formatCode>
                <c:ptCount val="4"/>
                <c:pt idx="0">
                  <c:v>89</c:v>
                </c:pt>
                <c:pt idx="1">
                  <c:v>43</c:v>
                </c:pt>
                <c:pt idx="2" formatCode="General">
                  <c:v>34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Данные!$N$18:$N$21</c15:f>
                <c15:dlblRangeCache>
                  <c:ptCount val="4"/>
                  <c:pt idx="0">
                    <c:v>45% от</c:v>
                  </c:pt>
                  <c:pt idx="1">
                    <c:v>22% от</c:v>
                  </c:pt>
                  <c:pt idx="2">
                    <c:v>17% от </c:v>
                  </c:pt>
                  <c:pt idx="3">
                    <c:v>6% от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CA-4ADC-87EF-47E1047968A5}"/>
            </c:ext>
          </c:extLst>
        </c:ser>
        <c:ser>
          <c:idx val="1"/>
          <c:order val="1"/>
          <c:tx>
            <c:strRef>
              <c:f>Данные!$L$11</c:f>
              <c:strCache>
                <c:ptCount val="1"/>
                <c:pt idx="0">
                  <c:v>Численность, чел.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F43DF2B-5FC0-4537-9E29-9CB06388F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28B-4F90-8B3F-84268738BD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9DE7FF-0A69-4FEB-9485-1DC6A92D2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28B-4F90-8B3F-84268738BD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66A95F-921E-477C-94B7-063F936B3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28B-4F90-8B3F-84268738BD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788078-ED84-4159-8649-DAB6A4D52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28B-4F90-8B3F-84268738BD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Данные!$J$12:$J$15</c:f>
              <c:strCache>
                <c:ptCount val="4"/>
                <c:pt idx="0">
                  <c:v>Всего</c:v>
                </c:pt>
                <c:pt idx="1">
                  <c:v>Специалисты, рабочие</c:v>
                </c:pt>
                <c:pt idx="2">
                  <c:v>Топ-менедждмент</c:v>
                </c:pt>
                <c:pt idx="3">
                  <c:v>Линейные руководители</c:v>
                </c:pt>
              </c:strCache>
            </c:strRef>
          </c:cat>
          <c:val>
            <c:numRef>
              <c:f>Данные!$O$12:$O$15</c:f>
              <c:numCache>
                <c:formatCode>_-* #\ ##0\ _₽_-;\-* #\ ##0\ _₽_-;_-* "-"??\ _₽_-;_-@_-</c:formatCode>
                <c:ptCount val="4"/>
                <c:pt idx="0">
                  <c:v>-116</c:v>
                </c:pt>
                <c:pt idx="1">
                  <c:v>-90</c:v>
                </c:pt>
                <c:pt idx="2">
                  <c:v>-17</c:v>
                </c:pt>
                <c:pt idx="3">
                  <c:v>-9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Данные!$L$12:$L$15</c15:f>
                <c15:dlblRangeCache>
                  <c:ptCount val="4"/>
                  <c:pt idx="0">
                    <c:v>116</c:v>
                  </c:pt>
                  <c:pt idx="1">
                    <c:v>90</c:v>
                  </c:pt>
                  <c:pt idx="2">
                    <c:v>17</c:v>
                  </c:pt>
                  <c:pt idx="3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028B-4F90-8B3F-84268738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16126415"/>
        <c:axId val="759031215"/>
      </c:barChart>
      <c:catAx>
        <c:axId val="10161264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759031215"/>
        <c:crosses val="autoZero"/>
        <c:auto val="1"/>
        <c:lblAlgn val="ctr"/>
        <c:lblOffset val="10"/>
        <c:noMultiLvlLbl val="0"/>
      </c:catAx>
      <c:valAx>
        <c:axId val="75903121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0161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1995282928199"/>
          <c:y val="7.7679922059277262E-2"/>
          <c:w val="0.70197333333333345"/>
          <c:h val="7.6447981961077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0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Движение персонала по отделам, чел.</a:t>
            </a:r>
          </a:p>
        </c:rich>
      </c:tx>
      <c:layout>
        <c:manualLayout>
          <c:xMode val="edge"/>
          <c:yMode val="edge"/>
          <c:x val="8.628968253968258E-4"/>
          <c:y val="4.08730158730158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294822366899166E-2"/>
          <c:y val="0.13640895061728395"/>
          <c:w val="0.94741035526620165"/>
          <c:h val="0.5904144013797670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Данные!$Q$4</c:f>
              <c:strCache>
                <c:ptCount val="1"/>
                <c:pt idx="0">
                  <c:v>Принято</c:v>
                </c:pt>
              </c:strCache>
            </c:strRef>
          </c:tx>
          <c:spPr>
            <a:solidFill>
              <a:srgbClr val="7CCA62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53-4861-93C3-DA0D5907665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Данные!$P$5:$P$9</c:f>
              <c:strCache>
                <c:ptCount val="5"/>
                <c:pt idx="0">
                  <c:v>Управляющая компания</c:v>
                </c:pt>
                <c:pt idx="1">
                  <c:v>Продажи и маркетинг</c:v>
                </c:pt>
                <c:pt idx="2">
                  <c:v>Производство</c:v>
                </c:pt>
                <c:pt idx="3">
                  <c:v>Логистика и сервис</c:v>
                </c:pt>
                <c:pt idx="4">
                  <c:v>Всего</c:v>
                </c:pt>
              </c:strCache>
            </c:strRef>
          </c:cat>
          <c:val>
            <c:numRef>
              <c:f>Данные!$Q$5:$Q$9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0-4DF5-811C-E7E8FDDD712A}"/>
            </c:ext>
          </c:extLst>
        </c:ser>
        <c:ser>
          <c:idx val="0"/>
          <c:order val="1"/>
          <c:tx>
            <c:strRef>
              <c:f>Данные!$R$4</c:f>
              <c:strCache>
                <c:ptCount val="1"/>
                <c:pt idx="0">
                  <c:v>Уволено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53-4861-93C3-DA0D59076655}"/>
                </c:ext>
              </c:extLst>
            </c:dLbl>
            <c:dLbl>
              <c:idx val="2"/>
              <c:layout>
                <c:manualLayout>
                  <c:x val="-8.6233571723655416E-17"/>
                  <c:y val="-3.93626543209875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97-4123-B7E1-F03DF21960F3}"/>
                </c:ext>
              </c:extLst>
            </c:dLbl>
            <c:dLbl>
              <c:idx val="4"/>
              <c:layout>
                <c:manualLayout>
                  <c:x val="0"/>
                  <c:y val="-5.31234567901233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97-4123-B7E1-F03DF21960F3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FF7C8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Данные!$P$5:$P$9</c:f>
              <c:strCache>
                <c:ptCount val="5"/>
                <c:pt idx="0">
                  <c:v>Управляющая компания</c:v>
                </c:pt>
                <c:pt idx="1">
                  <c:v>Продажи и маркетинг</c:v>
                </c:pt>
                <c:pt idx="2">
                  <c:v>Производство</c:v>
                </c:pt>
                <c:pt idx="3">
                  <c:v>Логистика и сервис</c:v>
                </c:pt>
                <c:pt idx="4">
                  <c:v>Всего</c:v>
                </c:pt>
              </c:strCache>
            </c:strRef>
          </c:cat>
          <c:val>
            <c:numRef>
              <c:f>Данные!$R$5:$R$9</c:f>
              <c:numCache>
                <c:formatCode>General</c:formatCode>
                <c:ptCount val="5"/>
                <c:pt idx="0">
                  <c:v>0</c:v>
                </c:pt>
                <c:pt idx="1">
                  <c:v>-4</c:v>
                </c:pt>
                <c:pt idx="2">
                  <c:v>-11</c:v>
                </c:pt>
                <c:pt idx="3">
                  <c:v>-4</c:v>
                </c:pt>
                <c:pt idx="4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0-4DF5-811C-E7E8FDDD712A}"/>
            </c:ext>
          </c:extLst>
        </c:ser>
        <c:ser>
          <c:idx val="2"/>
          <c:order val="2"/>
          <c:tx>
            <c:strRef>
              <c:f>Данные!$S$4</c:f>
              <c:strCache>
                <c:ptCount val="1"/>
                <c:pt idx="0">
                  <c:v>Общая численность</c:v>
                </c:pt>
              </c:strCache>
            </c:strRef>
          </c:tx>
          <c:spPr>
            <a:solidFill>
              <a:srgbClr val="0F6FC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Данные!$P$5:$P$9</c:f>
              <c:strCache>
                <c:ptCount val="5"/>
                <c:pt idx="0">
                  <c:v>Управляющая компания</c:v>
                </c:pt>
                <c:pt idx="1">
                  <c:v>Продажи и маркетинг</c:v>
                </c:pt>
                <c:pt idx="2">
                  <c:v>Производство</c:v>
                </c:pt>
                <c:pt idx="3">
                  <c:v>Логистика и сервис</c:v>
                </c:pt>
                <c:pt idx="4">
                  <c:v>Всего</c:v>
                </c:pt>
              </c:strCache>
            </c:strRef>
          </c:cat>
          <c:val>
            <c:numRef>
              <c:f>Данные!$S$5:$S$9</c:f>
              <c:numCache>
                <c:formatCode>General</c:formatCode>
                <c:ptCount val="5"/>
                <c:pt idx="0">
                  <c:v>14</c:v>
                </c:pt>
                <c:pt idx="1">
                  <c:v>25</c:v>
                </c:pt>
                <c:pt idx="2">
                  <c:v>51</c:v>
                </c:pt>
                <c:pt idx="3">
                  <c:v>26</c:v>
                </c:pt>
                <c:pt idx="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53-4861-93C3-DA0D5907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11995679"/>
        <c:axId val="730396463"/>
      </c:barChart>
      <c:lineChart>
        <c:grouping val="standard"/>
        <c:varyColors val="0"/>
        <c:ser>
          <c:idx val="3"/>
          <c:order val="3"/>
          <c:tx>
            <c:strRef>
              <c:f>Данные!$T$4</c:f>
              <c:strCache>
                <c:ptCount val="1"/>
                <c:pt idx="0">
                  <c:v>Текучесть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8834523809523807E-2"/>
                  <c:y val="2.35593519006342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ln>
                          <a:noFill/>
                        </a:ln>
                        <a:solidFill>
                          <a:srgbClr val="FF7C8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D4B2EF1-D722-4C29-952A-47F7B9DFB881}" type="CELLRANGE">
                      <a:rPr lang="en-US"/>
                      <a:pPr>
                        <a:defRPr sz="1100">
                          <a:ln>
                            <a:noFill/>
                          </a:ln>
                          <a:solidFill>
                            <a:srgbClr val="FF7C8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ln>
                        <a:noFill/>
                      </a:ln>
                      <a:solidFill>
                        <a:srgbClr val="FF7C8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553-4861-93C3-DA0D5907665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ln>
                          <a:noFill/>
                        </a:ln>
                        <a:solidFill>
                          <a:srgbClr val="FF7C8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D9E4436-8441-4F1B-8E2D-74F24D5707E8}" type="CELLRANGE">
                      <a:rPr lang="en-US"/>
                      <a:pPr>
                        <a:defRPr sz="1100">
                          <a:ln>
                            <a:noFill/>
                          </a:ln>
                          <a:solidFill>
                            <a:srgbClr val="FF7C8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ln>
                        <a:noFill/>
                      </a:ln>
                      <a:solidFill>
                        <a:srgbClr val="FF7C8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553-4861-93C3-DA0D59076655}"/>
                </c:ext>
              </c:extLst>
            </c:dLbl>
            <c:dLbl>
              <c:idx val="2"/>
              <c:layout>
                <c:manualLayout>
                  <c:x val="-5.5858531746031746E-2"/>
                  <c:y val="-6.4592300287920373E-2"/>
                </c:manualLayout>
              </c:layout>
              <c:tx>
                <c:rich>
                  <a:bodyPr/>
                  <a:lstStyle/>
                  <a:p>
                    <a:fld id="{DA6D5A30-1CB9-4A5E-93FC-769BE2E419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553-4861-93C3-DA0D590766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0865AD-584E-401C-983D-FCF7BD189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553-4861-93C3-DA0D5907665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BD0B48-8C4E-4997-8AF8-592FA18B4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553-4861-93C3-DA0D5907665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rgbClr val="FF7C8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Данные!$P$5:$P$9</c:f>
              <c:strCache>
                <c:ptCount val="5"/>
                <c:pt idx="0">
                  <c:v>Управляющая компания</c:v>
                </c:pt>
                <c:pt idx="1">
                  <c:v>Продажи и маркетинг</c:v>
                </c:pt>
                <c:pt idx="2">
                  <c:v>Производство</c:v>
                </c:pt>
                <c:pt idx="3">
                  <c:v>Логистика и сервис</c:v>
                </c:pt>
                <c:pt idx="4">
                  <c:v>Всего</c:v>
                </c:pt>
              </c:strCache>
            </c:strRef>
          </c:cat>
          <c:val>
            <c:numRef>
              <c:f>Данные!$U$5:$U$9</c:f>
              <c:numCache>
                <c:formatCode>General</c:formatCode>
                <c:ptCount val="5"/>
                <c:pt idx="0">
                  <c:v>0</c:v>
                </c:pt>
                <c:pt idx="1">
                  <c:v>44.800000000000004</c:v>
                </c:pt>
                <c:pt idx="2">
                  <c:v>60.392156862745104</c:v>
                </c:pt>
                <c:pt idx="3">
                  <c:v>43.07692307692308</c:v>
                </c:pt>
                <c:pt idx="4">
                  <c:v>45.862068965517238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Данные!$T$5:$T$9</c15:f>
                <c15:dlblRangeCache>
                  <c:ptCount val="5"/>
                  <c:pt idx="0">
                    <c:v>0,0%</c:v>
                  </c:pt>
                  <c:pt idx="1">
                    <c:v>16,0%</c:v>
                  </c:pt>
                  <c:pt idx="2">
                    <c:v>21,6%</c:v>
                  </c:pt>
                  <c:pt idx="3">
                    <c:v>15,4%</c:v>
                  </c:pt>
                  <c:pt idx="4">
                    <c:v>16,4%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553-4861-93C3-DA0D5907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995679"/>
        <c:axId val="730396463"/>
      </c:lineChart>
      <c:catAx>
        <c:axId val="511995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730396463"/>
        <c:crosses val="autoZero"/>
        <c:auto val="0"/>
        <c:lblAlgn val="ctr"/>
        <c:lblOffset val="1000"/>
        <c:tickLblSkip val="1"/>
        <c:tickMarkSkip val="1"/>
        <c:noMultiLvlLbl val="0"/>
      </c:catAx>
      <c:valAx>
        <c:axId val="730396463"/>
        <c:scaling>
          <c:orientation val="minMax"/>
          <c:max val="150"/>
          <c:min val="-15"/>
        </c:scaling>
        <c:delete val="1"/>
        <c:axPos val="l"/>
        <c:numFmt formatCode="General" sourceLinked="1"/>
        <c:majorTickMark val="out"/>
        <c:minorTickMark val="none"/>
        <c:tickLblPos val="nextTo"/>
        <c:crossAx val="511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3.9974444444444444E-2"/>
          <c:y val="8.533148148148148E-2"/>
          <c:w val="0.87289944444444445"/>
          <c:h val="7.56342592592592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Обучение персонала</a:t>
            </a:r>
          </a:p>
        </c:rich>
      </c:tx>
      <c:layout>
        <c:manualLayout>
          <c:xMode val="edge"/>
          <c:yMode val="edge"/>
          <c:x val="4.983333333333316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0242851851851854"/>
          <c:y val="0.25410061728395061"/>
          <c:w val="0.60349740740740743"/>
          <c:h val="0.7027820987654320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Данные!$A$37</c:f>
              <c:strCache>
                <c:ptCount val="1"/>
                <c:pt idx="0">
                  <c:v> Доля обученных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DDBE797-5476-430B-A97B-8A027CB14BEE}" type="CELLRANGE">
                      <a:rPr lang="ru-RU"/>
                      <a:pPr/>
                      <a:t>[CELLRANGE]</a:t>
                    </a:fld>
                    <a:endParaRPr lang="ru-RU" baseline="0"/>
                  </a:p>
                  <a:p>
                    <a:fld id="{2204C69D-408C-4E60-BA34-8CB9A9BC1B72}" type="CATEGORYNAME">
                      <a:rPr lang="ru-RU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28C-474B-95F7-655F7736E1C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68CD60-4821-4A33-8CAB-8A9461CAE3F1}" type="CELLRANGE">
                      <a:rPr lang="ru-RU"/>
                      <a:pPr/>
                      <a:t>[CELLRANGE]</a:t>
                    </a:fld>
                    <a:endParaRPr lang="ru-RU" baseline="0"/>
                  </a:p>
                  <a:p>
                    <a:fld id="{174F3F47-CCF2-4767-AE64-B15E33EEE06C}" type="CATEGORYNAME">
                      <a:rPr lang="ru-RU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28C-474B-95F7-655F7736E1C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368898-038C-41B3-BA81-B1190A1B796F}" type="CELLRANGE">
                      <a:rPr lang="ru-RU"/>
                      <a:pPr/>
                      <a:t>[CELLRANGE]</a:t>
                    </a:fld>
                    <a:endParaRPr lang="ru-RU" baseline="0"/>
                  </a:p>
                  <a:p>
                    <a:fld id="{090ADE72-74E8-4FDC-B52A-EFB78425EE84}" type="CATEGORYNAME">
                      <a:rPr lang="ru-RU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28C-474B-95F7-655F7736E1C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724E44-C5E9-451A-A8DA-3618C64F137D}" type="CELLRANGE">
                      <a:rPr lang="ru-RU"/>
                      <a:pPr/>
                      <a:t>[CELLRANGE]</a:t>
                    </a:fld>
                    <a:endParaRPr lang="ru-RU" baseline="0"/>
                  </a:p>
                  <a:p>
                    <a:fld id="{995F4C03-8CD1-4F5B-B239-60CB4FACF83D}" type="CATEGORYNAME">
                      <a:rPr lang="ru-RU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28C-474B-95F7-655F7736E1C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E3FAC7-2D61-44A6-BBCA-A52590C28873}" type="CELLRANGE">
                      <a:rPr lang="ru-RU"/>
                      <a:pPr/>
                      <a:t>[CELLRANGE]</a:t>
                    </a:fld>
                    <a:endParaRPr lang="ru-RU" baseline="0"/>
                  </a:p>
                  <a:p>
                    <a:fld id="{7C42E8B2-5A10-4699-886F-EFD52F26243D}" type="CATEGORYNAME">
                      <a:rPr lang="ru-RU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28C-474B-95F7-655F7736E1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Данные!$D$38:$D$42</c:f>
              <c:numCache>
                <c:formatCode>0%</c:formatCode>
                <c:ptCount val="5"/>
                <c:pt idx="0">
                  <c:v>0.51724137931034486</c:v>
                </c:pt>
                <c:pt idx="1">
                  <c:v>0.7142857142857143</c:v>
                </c:pt>
                <c:pt idx="2">
                  <c:v>0.6</c:v>
                </c:pt>
                <c:pt idx="3">
                  <c:v>0.49019607843137253</c:v>
                </c:pt>
                <c:pt idx="4">
                  <c:v>0.38461538461538464</c:v>
                </c:pt>
              </c:numCache>
            </c:numRef>
          </c:cat>
          <c:val>
            <c:numRef>
              <c:f>Данные!$F$38:$F$42</c:f>
              <c:numCache>
                <c:formatCode>0%</c:formatCode>
                <c:ptCount val="5"/>
                <c:pt idx="0">
                  <c:v>-0.51724137931034486</c:v>
                </c:pt>
                <c:pt idx="1">
                  <c:v>-0.7142857142857143</c:v>
                </c:pt>
                <c:pt idx="2">
                  <c:v>-0.6</c:v>
                </c:pt>
                <c:pt idx="3">
                  <c:v>-0.49019607843137253</c:v>
                </c:pt>
                <c:pt idx="4">
                  <c:v>-0.38461538461538464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Данные!$C$38:$C$42</c15:f>
                <c15:dlblRangeCache>
                  <c:ptCount val="5"/>
                  <c:pt idx="0">
                    <c:v>60 чел.</c:v>
                  </c:pt>
                  <c:pt idx="1">
                    <c:v>10 чел.</c:v>
                  </c:pt>
                  <c:pt idx="2">
                    <c:v>15 чел.</c:v>
                  </c:pt>
                  <c:pt idx="3">
                    <c:v>25 чел.</c:v>
                  </c:pt>
                  <c:pt idx="4">
                    <c:v>10 чел.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28C-474B-95F7-655F7736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1821775"/>
        <c:axId val="432758352"/>
      </c:barChart>
      <c:barChart>
        <c:barDir val="bar"/>
        <c:grouping val="clustered"/>
        <c:varyColors val="0"/>
        <c:ser>
          <c:idx val="0"/>
          <c:order val="0"/>
          <c:tx>
            <c:strRef>
              <c:f>Данные!$B$37</c:f>
              <c:strCache>
                <c:ptCount val="1"/>
                <c:pt idx="0">
                  <c:v>Бюджет, млн.руб.</c:v>
                </c:pt>
              </c:strCache>
            </c:strRef>
          </c:tx>
          <c:spPr>
            <a:solidFill>
              <a:srgbClr val="7030A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Данные!$A$38:$A$42</c:f>
              <c:strCache>
                <c:ptCount val="5"/>
                <c:pt idx="0">
                  <c:v>Всего</c:v>
                </c:pt>
                <c:pt idx="1">
                  <c:v>Управляющая компания</c:v>
                </c:pt>
                <c:pt idx="2">
                  <c:v>Продажи и маркетинг</c:v>
                </c:pt>
                <c:pt idx="3">
                  <c:v>Производство</c:v>
                </c:pt>
                <c:pt idx="4">
                  <c:v>Логистика и сервис</c:v>
                </c:pt>
              </c:strCache>
            </c:strRef>
          </c:cat>
          <c:val>
            <c:numRef>
              <c:f>Данные!$E$38:$E$42</c:f>
              <c:numCache>
                <c:formatCode>General</c:formatCode>
                <c:ptCount val="5"/>
                <c:pt idx="0">
                  <c:v>4.5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C-474B-95F7-655F7736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36547087"/>
        <c:axId val="2032785407"/>
      </c:barChart>
      <c:valAx>
        <c:axId val="432758352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331821775"/>
        <c:crosses val="max"/>
        <c:crossBetween val="between"/>
        <c:majorUnit val="3"/>
      </c:valAx>
      <c:catAx>
        <c:axId val="331821775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432758352"/>
        <c:crosses val="autoZero"/>
        <c:auto val="1"/>
        <c:lblAlgn val="ctr"/>
        <c:lblOffset val="100"/>
        <c:noMultiLvlLbl val="0"/>
      </c:catAx>
      <c:valAx>
        <c:axId val="2032785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6547087"/>
        <c:crosses val="autoZero"/>
        <c:crossBetween val="between"/>
      </c:valAx>
      <c:catAx>
        <c:axId val="2036547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2785407"/>
        <c:crosses val="max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943962962962964"/>
          <c:y val="6.8713271604938272E-2"/>
          <c:w val="0.52112055555555559"/>
          <c:h val="7.5634259259259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+mn-lt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Кадровый резерв, чел.</a:t>
            </a:r>
          </a:p>
        </c:rich>
      </c:tx>
      <c:layout>
        <c:manualLayout>
          <c:xMode val="edge"/>
          <c:yMode val="edge"/>
          <c:x val="4.048114399906015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9150796296296294"/>
          <c:y val="0.23654753086419752"/>
          <c:w val="0.43879481481481492"/>
          <c:h val="0.731324691358024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C8-43FD-80FB-0BC2922252F8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C8-43FD-80FB-0BC2922252F8}"/>
              </c:ext>
            </c:extLst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C8-43FD-80FB-0BC2922252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C8-43FD-80FB-0BC2922252F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C8-43FD-80FB-0BC2922252F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C8-43FD-80FB-0BC2922252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Данные!$B$52:$B$54</c:f>
              <c:strCache>
                <c:ptCount val="3"/>
                <c:pt idx="0">
                  <c:v>Резервистов</c:v>
                </c:pt>
                <c:pt idx="1">
                  <c:v>Назначено</c:v>
                </c:pt>
                <c:pt idx="2">
                  <c:v>Уволено</c:v>
                </c:pt>
              </c:strCache>
            </c:strRef>
          </c:cat>
          <c:val>
            <c:numRef>
              <c:f>Данные!$C$52:$C$54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8-43FD-80FB-0BC29222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867834</xdr:colOff>
      <xdr:row>6</xdr:row>
      <xdr:rowOff>63503</xdr:rowOff>
    </xdr:from>
    <xdr:to>
      <xdr:col>16</xdr:col>
      <xdr:colOff>235168</xdr:colOff>
      <xdr:row>23</xdr:row>
      <xdr:rowOff>65003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C51DD9A-032F-47F0-BE48-D375D3137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333378</xdr:colOff>
      <xdr:row>24</xdr:row>
      <xdr:rowOff>95250</xdr:rowOff>
    </xdr:from>
    <xdr:to>
      <xdr:col>8</xdr:col>
      <xdr:colOff>452294</xdr:colOff>
      <xdr:row>41</xdr:row>
      <xdr:rowOff>96750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EBD2EC0-2F1C-4064-A822-C039D3C445A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349494</xdr:colOff>
      <xdr:row>6</xdr:row>
      <xdr:rowOff>116418</xdr:rowOff>
    </xdr:from>
    <xdr:to>
      <xdr:col>8</xdr:col>
      <xdr:colOff>634999</xdr:colOff>
      <xdr:row>23</xdr:row>
      <xdr:rowOff>83431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D9FBE44-472A-452C-9892-D952D6644D2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95252</xdr:colOff>
      <xdr:row>0</xdr:row>
      <xdr:rowOff>63498</xdr:rowOff>
    </xdr:from>
    <xdr:to>
      <xdr:col>17</xdr:col>
      <xdr:colOff>846668</xdr:colOff>
      <xdr:row>2</xdr:row>
      <xdr:rowOff>179914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Отдел">
              <a:extLst>
                <a:ext uri="{FF2B5EF4-FFF2-40B4-BE49-F238E27FC236}">
                  <a16:creationId xmlns:a16="http://schemas.microsoft.com/office/drawing/2014/main" id="{9E2E5D14-F441-47F1-B1EA-D604DC652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Отде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2169" y="63498"/>
              <a:ext cx="7111999" cy="6879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857244</xdr:colOff>
      <xdr:row>24</xdr:row>
      <xdr:rowOff>116416</xdr:rowOff>
    </xdr:from>
    <xdr:to>
      <xdr:col>16</xdr:col>
      <xdr:colOff>224578</xdr:colOff>
      <xdr:row>41</xdr:row>
      <xdr:rowOff>117916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99E33B5-53DB-4490-BA0B-50117247A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16</xdr:col>
      <xdr:colOff>254003</xdr:colOff>
      <xdr:row>6</xdr:row>
      <xdr:rowOff>116416</xdr:rowOff>
    </xdr:from>
    <xdr:to>
      <xdr:col>23</xdr:col>
      <xdr:colOff>468169</xdr:colOff>
      <xdr:row>23</xdr:row>
      <xdr:rowOff>117916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8695FC4F-DBA7-4E07-A9C0-67C5854438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16</xdr:col>
      <xdr:colOff>285749</xdr:colOff>
      <xdr:row>24</xdr:row>
      <xdr:rowOff>126991</xdr:rowOff>
    </xdr:from>
    <xdr:to>
      <xdr:col>23</xdr:col>
      <xdr:colOff>499915</xdr:colOff>
      <xdr:row>41</xdr:row>
      <xdr:rowOff>128492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B3C4FF8-48D7-4A1A-AA10-020FFA7308A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0.81558</cdr:x>
      <cdr:y>0.26083</cdr:y>
    </cdr:from>
    <cdr:to>
      <cdr:x>0.81659</cdr:x>
      <cdr:y>0.97094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EFE75D64-2B68-4871-81C6-2EC24FEF7255}"/>
            </a:ext>
          </a:extLst>
        </cdr:cNvPr>
        <cdr:cNvCxnSpPr/>
      </cdr:nvCxnSpPr>
      <cdr:spPr>
        <a:xfrm xmlns:a="http://schemas.openxmlformats.org/drawingml/2006/main" flipH="1" flipV="1">
          <a:off x="4540006" y="836082"/>
          <a:ext cx="5615" cy="2276279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rgbClr val="FF7C8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0.70759</cdr:x>
      <cdr:y>0.21238</cdr:y>
    </cdr:from>
    <cdr:to>
      <cdr:x>0.87919</cdr:x>
      <cdr:y>0.30862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310C307-A0EC-4CA4-9448-2692CD1E7CE8}"/>
            </a:ext>
          </a:extLst>
        </cdr:cNvPr>
        <cdr:cNvSpPr txBox="1"/>
      </cdr:nvSpPr>
      <cdr:spPr>
        <a:xfrm xmlns:a="http://schemas.openxmlformats.org/drawingml/2006/main">
          <a:off x="3938885" y="680791"/>
          <a:ext cx="955227" cy="30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>
              <a:solidFill>
                <a:srgbClr val="C00000"/>
              </a:solidFill>
            </a:rPr>
            <a:t>Цель:30%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ыхлова Елена Михайловна" refreshedDate="45007.698604861114" createdVersion="6" refreshedVersion="6" minRefreshableVersion="3" recordCount="16" xr:uid="{B6D613FC-0F1E-486A-988E-DA61D3CEC7D5}">
  <cacheSource type="worksheet">
    <worksheetSource name="Таблица3"/>
  </cacheSource>
  <cacheFields count="5">
    <cacheField name="Отдел" numFmtId="0">
      <sharedItems count="4">
        <s v="Управляющая компания"/>
        <s v="Продажи и маркетинг"/>
        <s v="Производство"/>
        <s v="Логистика и сервис"/>
      </sharedItems>
    </cacheField>
    <cacheField name="Показатель" numFmtId="0">
      <sharedItems count="4">
        <s v="ФОТ"/>
        <s v="Численность"/>
        <s v="Текучесть"/>
        <s v="Коэф.продвижения резервистов"/>
      </sharedItems>
    </cacheField>
    <cacheField name="2021" numFmtId="0">
      <sharedItems containsString="0" containsBlank="1" containsNumber="1" minValue="0.03" maxValue="48000"/>
    </cacheField>
    <cacheField name="2022" numFmtId="0">
      <sharedItems containsSemiMixedTypes="0" containsString="0" containsNumber="1" minValue="0" maxValue="42000"/>
    </cacheField>
    <cacheField name="Динамика" numFmtId="0" formula="'2022'-'2021'" databaseField="0"/>
  </cacheFields>
  <extLst>
    <ext xmlns:x14="http://schemas.microsoft.com/office/spreadsheetml/2009/9/main" uri="{725AE2AE-9491-48be-B2B4-4EB974FC3084}">
      <x14:pivotCacheDefinition pivotCacheId="502238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16000"/>
    <n v="17000"/>
  </r>
  <r>
    <x v="1"/>
    <x v="0"/>
    <n v="14500"/>
    <n v="15500"/>
  </r>
  <r>
    <x v="2"/>
    <x v="0"/>
    <n v="48000"/>
    <n v="42000"/>
  </r>
  <r>
    <x v="3"/>
    <x v="0"/>
    <n v="10000"/>
    <n v="14500"/>
  </r>
  <r>
    <x v="0"/>
    <x v="1"/>
    <n v="14"/>
    <n v="14"/>
  </r>
  <r>
    <x v="1"/>
    <x v="1"/>
    <n v="22"/>
    <n v="25"/>
  </r>
  <r>
    <x v="2"/>
    <x v="1"/>
    <n v="56"/>
    <n v="51"/>
  </r>
  <r>
    <x v="3"/>
    <x v="1"/>
    <n v="20"/>
    <n v="26"/>
  </r>
  <r>
    <x v="0"/>
    <x v="2"/>
    <n v="0.03"/>
    <n v="0"/>
  </r>
  <r>
    <x v="1"/>
    <x v="2"/>
    <n v="0.1"/>
    <n v="0.16"/>
  </r>
  <r>
    <x v="2"/>
    <x v="2"/>
    <n v="7.0000000000000007E-2"/>
    <n v="0.21568627450980393"/>
  </r>
  <r>
    <x v="3"/>
    <x v="2"/>
    <n v="0.08"/>
    <n v="0.15384615384615385"/>
  </r>
  <r>
    <x v="0"/>
    <x v="3"/>
    <m/>
    <n v="0"/>
  </r>
  <r>
    <x v="1"/>
    <x v="3"/>
    <m/>
    <n v="0.5"/>
  </r>
  <r>
    <x v="2"/>
    <x v="3"/>
    <m/>
    <n v="0.2"/>
  </r>
  <r>
    <x v="3"/>
    <x v="3"/>
    <m/>
    <n v="0.66666666666666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4ED0-A548-4E8C-A33E-9A649F7E0498}" name="Сводная таблица10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gridDropZones="1" multipleFieldFilters="0">
  <location ref="P27:T44" firstHeaderRow="1" firstDataRow="2" firstDataCol="2"/>
  <pivotFields count="5">
    <pivotField axis="axisRow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6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2022" fld="3" baseField="0" baseItem="0"/>
    <dataField name="Сумма по полю 2021" fld="2" baseField="0" baseItem="0"/>
    <dataField name="Сумма по полю Динамик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Отдел" xr10:uid="{8CCC2728-DA78-4DD0-98E0-EF7E28CCDA8E}" sourceName="Отдел">
  <pivotTables>
    <pivotTable tabId="2" name="Сводная таблица10"/>
  </pivotTables>
  <data>
    <tabular pivotCacheId="50223848">
      <items count="4">
        <i x="3" s="1"/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Отдел" xr10:uid="{9ADF411A-DADB-4D3E-859A-68764161C4C9}" cache="Срез_Отдел" caption="Отдел" columnCount="4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EFF7D-3B10-4DFA-803B-C426CEBB2090}" name="Доля_ФОТ_к_прибыли" displayName="Доля_ФОТ_к_прибыли" ref="J11:N15" totalsRowShown="0" headerRowDxfId="15">
  <autoFilter ref="J11:N15" xr:uid="{70821B00-8D22-44BA-9A9C-AA4B04540718}"/>
  <sortState xmlns:xlrd2="http://schemas.microsoft.com/office/spreadsheetml/2017/richdata2" ref="J12:N15">
    <sortCondition descending="1" ref="N12"/>
  </sortState>
  <tableColumns count="5">
    <tableColumn id="1" xr3:uid="{B3BB71F8-BED4-4047-9566-369110280B8E}" name="категории персонала"/>
    <tableColumn id="2" xr3:uid="{2737B419-50B7-40AF-A87C-99849DDA883D}" name="фот" dataDxfId="14"/>
    <tableColumn id="3" xr3:uid="{163AD21E-B631-4876-BD45-E09EF3FCA494}" name="Численность, чел."/>
    <tableColumn id="4" xr3:uid="{17C54E1A-A503-4100-BEF7-6849B91327BC}" name="ср зп" dataDxfId="13">
      <calculatedColumnFormula>K12*1000/L12</calculatedColumnFormula>
    </tableColumn>
    <tableColumn id="5" xr3:uid="{38F5F44B-CEDC-4959-B67B-E695407DF0BC}" name="% от валовой прибыли в млн.руб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C3F636-745C-4F17-8F3A-1825293C4E14}" name="Текучесть" displayName="Текучесть" ref="A3:I7" totalsRowShown="0" headerRowDxfId="11">
  <autoFilter ref="A3:I7" xr:uid="{373B84C8-65EC-4C0D-897A-0A0F29FC125F}"/>
  <tableColumns count="9">
    <tableColumn id="1" xr3:uid="{706FFF3D-3B29-46A9-BA62-67B18BD1792C}" name="Отдел"/>
    <tableColumn id="2" xr3:uid="{9317A852-BD6B-45BD-A480-ABF10AFEB4BC}" name="2021"/>
    <tableColumn id="3" xr3:uid="{6B06F747-C1AF-42AE-8411-91EC054C6B95}" name="2022"/>
    <tableColumn id="4" xr3:uid="{834A32BF-8869-4EF3-AEA2-876CA9D5339B}" name="принято"/>
    <tableColumn id="5" xr3:uid="{EE815EFD-F109-40BE-910D-E7DF64365C31}" name="уволено"/>
    <tableColumn id="6" xr3:uid="{869D5AE1-5520-41D0-9425-54EE55126D92}" name="уволено с/ж"/>
    <tableColumn id="7" xr3:uid="{CB1E134C-B87F-4602-9272-CB143A2E1A88}" name=" 2022" dataDxfId="10">
      <calculatedColumnFormula>Текучесть[[#This Row],[уволено]]/C4</calculatedColumnFormula>
    </tableColumn>
    <tableColumn id="8" xr3:uid="{3654BAC8-7579-4071-B326-E70A7749962B}" name=" 2021" dataDxfId="9"/>
    <tableColumn id="9" xr3:uid="{5F4409BC-51FF-4A4B-B102-12BEB0967CDE}" name="дельта" dataDxfId="8">
      <calculatedColumnFormula>Текучесть[[#This Row],[ 2022]]-Текучесть[[#This Row],[ 2021]]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E1DDA-6CB7-4713-8678-46F8B1F50291}" name="Таблица3" displayName="Таблица3" ref="J27:M43" totalsRowShown="0" headerRowDxfId="7">
  <autoFilter ref="J27:M43" xr:uid="{76CD7AF5-D1F0-41A8-98B9-E28A0F2712FA}"/>
  <tableColumns count="4">
    <tableColumn id="1" xr3:uid="{4FA23BDC-9527-453C-B2B0-8D873F99146F}" name="Отдел"/>
    <tableColumn id="2" xr3:uid="{5D9E6E47-4FBE-481E-AFA4-723A5E25BD72}" name="Показатель"/>
    <tableColumn id="3" xr3:uid="{330E012C-F7BA-4EBD-86D6-3DF4485B18CD}" name="2021" dataDxfId="6"/>
    <tableColumn id="4" xr3:uid="{FE8D402F-565E-4666-9FBD-A35B9EB790D9}" name="2022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Метрополия">
  <a:themeElements>
    <a:clrScheme name="Синий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Метрополи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Метрополия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4"/>
  <sheetViews>
    <sheetView topLeftCell="A19" workbookViewId="0">
      <selection activeCell="G38" sqref="G38:G44"/>
    </sheetView>
  </sheetViews>
  <sheetFormatPr defaultColWidth="8.75" defaultRowHeight="15" x14ac:dyDescent="0.25"/>
  <cols>
    <col min="1" max="1" width="22.625" customWidth="1"/>
    <col min="3" max="3" width="14.5" customWidth="1"/>
    <col min="4" max="4" width="10.625" customWidth="1"/>
    <col min="5" max="5" width="11.625" customWidth="1"/>
    <col min="6" max="6" width="14.5" customWidth="1"/>
    <col min="10" max="10" width="22.5" customWidth="1"/>
    <col min="11" max="11" width="24.875" customWidth="1"/>
    <col min="12" max="12" width="14.5" customWidth="1"/>
    <col min="13" max="13" width="11.25" customWidth="1"/>
    <col min="14" max="14" width="23.875" customWidth="1"/>
    <col min="15" max="15" width="9.5" customWidth="1"/>
    <col min="16" max="16" width="25.625" customWidth="1"/>
    <col min="17" max="17" width="26.875" bestFit="1" customWidth="1"/>
    <col min="18" max="19" width="20.375" bestFit="1" customWidth="1"/>
    <col min="20" max="20" width="25" bestFit="1" customWidth="1"/>
  </cols>
  <sheetData>
    <row r="2" spans="1:22" x14ac:dyDescent="0.25">
      <c r="B2" t="s">
        <v>5</v>
      </c>
      <c r="G2" t="s">
        <v>8</v>
      </c>
      <c r="H2" s="2"/>
    </row>
    <row r="3" spans="1:22" x14ac:dyDescent="0.25">
      <c r="A3" s="1" t="s">
        <v>0</v>
      </c>
      <c r="B3" s="11" t="s">
        <v>31</v>
      </c>
      <c r="C3" s="11" t="s">
        <v>32</v>
      </c>
      <c r="D3" s="1" t="s">
        <v>6</v>
      </c>
      <c r="E3" s="1" t="s">
        <v>7</v>
      </c>
      <c r="F3" s="1" t="s">
        <v>9</v>
      </c>
      <c r="G3" s="11" t="s">
        <v>34</v>
      </c>
      <c r="H3" s="11" t="s">
        <v>35</v>
      </c>
      <c r="I3" s="1" t="s">
        <v>33</v>
      </c>
    </row>
    <row r="4" spans="1:22" x14ac:dyDescent="0.25">
      <c r="A4" t="s">
        <v>4</v>
      </c>
      <c r="B4">
        <v>14</v>
      </c>
      <c r="C4">
        <v>14</v>
      </c>
      <c r="D4">
        <v>0</v>
      </c>
      <c r="E4">
        <v>0</v>
      </c>
      <c r="F4">
        <v>0</v>
      </c>
      <c r="G4" s="4">
        <f>Текучесть[[#This Row],[уволено]]/C4</f>
        <v>0</v>
      </c>
      <c r="H4" s="5">
        <v>0.03</v>
      </c>
      <c r="I4" s="12">
        <f>Текучесть[[#This Row],[ 2022]]-Текучесть[[#This Row],[ 2021]]</f>
        <v>-0.03</v>
      </c>
      <c r="J4" s="1" t="s">
        <v>18</v>
      </c>
      <c r="K4" s="1">
        <v>2022</v>
      </c>
      <c r="L4" s="1">
        <v>2021</v>
      </c>
      <c r="P4" s="1" t="s">
        <v>0</v>
      </c>
      <c r="Q4" s="1" t="s">
        <v>69</v>
      </c>
      <c r="R4" s="1" t="s">
        <v>58</v>
      </c>
      <c r="S4" s="1" t="s">
        <v>70</v>
      </c>
      <c r="T4" s="1" t="s">
        <v>25</v>
      </c>
    </row>
    <row r="5" spans="1:22" x14ac:dyDescent="0.25">
      <c r="A5" t="s">
        <v>3</v>
      </c>
      <c r="B5">
        <v>22</v>
      </c>
      <c r="C5">
        <v>25</v>
      </c>
      <c r="D5">
        <v>7</v>
      </c>
      <c r="E5">
        <v>4</v>
      </c>
      <c r="F5">
        <v>4</v>
      </c>
      <c r="G5" s="4">
        <f>Текучесть[[#This Row],[уволено]]/C5</f>
        <v>0.16</v>
      </c>
      <c r="H5" s="5">
        <v>0.1</v>
      </c>
      <c r="I5" s="12">
        <f>Текучесть[[#This Row],[ 2022]]-Текучесть[[#This Row],[ 2021]]</f>
        <v>0.06</v>
      </c>
      <c r="J5" t="s">
        <v>47</v>
      </c>
      <c r="K5">
        <v>80</v>
      </c>
      <c r="L5">
        <v>85</v>
      </c>
      <c r="M5" s="2">
        <f>K5/L5-1</f>
        <v>-5.8823529411764719E-2</v>
      </c>
      <c r="P5" t="s">
        <v>4</v>
      </c>
      <c r="Q5">
        <v>0</v>
      </c>
      <c r="R5">
        <v>0</v>
      </c>
      <c r="S5">
        <v>14</v>
      </c>
      <c r="T5" s="4">
        <v>0</v>
      </c>
      <c r="U5">
        <f>T5*280</f>
        <v>0</v>
      </c>
    </row>
    <row r="6" spans="1:22" x14ac:dyDescent="0.25">
      <c r="A6" t="s">
        <v>1</v>
      </c>
      <c r="B6">
        <v>56</v>
      </c>
      <c r="C6">
        <v>51</v>
      </c>
      <c r="D6">
        <v>6</v>
      </c>
      <c r="E6">
        <v>11</v>
      </c>
      <c r="F6">
        <v>8</v>
      </c>
      <c r="G6" s="4">
        <f>Текучесть[[#This Row],[уволено]]/C6</f>
        <v>0.21568627450980393</v>
      </c>
      <c r="H6" s="5">
        <v>7.0000000000000007E-2</v>
      </c>
      <c r="I6" s="12">
        <f>Текучесть[[#This Row],[ 2022]]-Текучесть[[#This Row],[ 2021]]</f>
        <v>0.14568627450980393</v>
      </c>
      <c r="J6" t="s">
        <v>48</v>
      </c>
      <c r="K6">
        <v>36</v>
      </c>
      <c r="L6">
        <v>27</v>
      </c>
      <c r="M6" s="2">
        <f>K6/L6-1</f>
        <v>0.33333333333333326</v>
      </c>
      <c r="P6" t="s">
        <v>3</v>
      </c>
      <c r="Q6">
        <v>7</v>
      </c>
      <c r="R6">
        <v>-4</v>
      </c>
      <c r="S6">
        <v>25</v>
      </c>
      <c r="T6" s="4">
        <v>0.16</v>
      </c>
      <c r="U6">
        <f t="shared" ref="U6:U9" si="0">T6*280</f>
        <v>44.800000000000004</v>
      </c>
    </row>
    <row r="7" spans="1:22" x14ac:dyDescent="0.25">
      <c r="A7" t="s">
        <v>2</v>
      </c>
      <c r="B7">
        <v>20</v>
      </c>
      <c r="C7">
        <v>26</v>
      </c>
      <c r="D7">
        <v>10</v>
      </c>
      <c r="E7">
        <v>4</v>
      </c>
      <c r="F7">
        <v>3</v>
      </c>
      <c r="G7" s="4">
        <f>Текучесть[[#This Row],[уволено]]/C7</f>
        <v>0.15384615384615385</v>
      </c>
      <c r="H7" s="5">
        <v>0.08</v>
      </c>
      <c r="I7" s="12">
        <f>Текучесть[[#This Row],[ 2022]]-Текучесть[[#This Row],[ 2021]]</f>
        <v>7.3846153846153853E-2</v>
      </c>
      <c r="K7">
        <f>SUM(K5:K6)</f>
        <v>116</v>
      </c>
      <c r="L7">
        <f>SUM(L5:L6)</f>
        <v>112</v>
      </c>
      <c r="P7" t="s">
        <v>1</v>
      </c>
      <c r="Q7">
        <v>6</v>
      </c>
      <c r="R7">
        <v>-11</v>
      </c>
      <c r="S7">
        <v>51</v>
      </c>
      <c r="T7" s="4">
        <v>0.21568627450980393</v>
      </c>
      <c r="U7">
        <f t="shared" si="0"/>
        <v>60.392156862745104</v>
      </c>
    </row>
    <row r="8" spans="1:22" x14ac:dyDescent="0.25">
      <c r="A8" t="s">
        <v>30</v>
      </c>
      <c r="B8">
        <f>SUM(B4:B7)</f>
        <v>112</v>
      </c>
      <c r="C8">
        <f>SUM(C4:C7)</f>
        <v>116</v>
      </c>
      <c r="D8">
        <f>SUM(D4:D7)</f>
        <v>23</v>
      </c>
      <c r="E8">
        <f>SUM(E4:E7)</f>
        <v>19</v>
      </c>
      <c r="F8">
        <f>SUM(F4:F7)</f>
        <v>15</v>
      </c>
      <c r="G8" s="6">
        <f>SUM(Текучесть[уволено])/C8</f>
        <v>0.16379310344827586</v>
      </c>
      <c r="H8" s="7">
        <v>0.08</v>
      </c>
      <c r="I8" s="4"/>
      <c r="P8" t="s">
        <v>2</v>
      </c>
      <c r="Q8">
        <v>10</v>
      </c>
      <c r="R8">
        <v>-4</v>
      </c>
      <c r="S8">
        <v>26</v>
      </c>
      <c r="T8" s="4">
        <v>0.15384615384615385</v>
      </c>
      <c r="U8">
        <f t="shared" si="0"/>
        <v>43.07692307692308</v>
      </c>
    </row>
    <row r="9" spans="1:22" x14ac:dyDescent="0.25">
      <c r="G9" s="3">
        <v>0.1</v>
      </c>
      <c r="P9" t="s">
        <v>49</v>
      </c>
      <c r="Q9">
        <f>SUM(Q5:Q8)</f>
        <v>23</v>
      </c>
      <c r="R9">
        <f>SUM(R5:R8)</f>
        <v>-19</v>
      </c>
      <c r="S9">
        <f>SUM(S5:S8)</f>
        <v>116</v>
      </c>
      <c r="T9" s="6">
        <v>0.16379310344827586</v>
      </c>
      <c r="U9">
        <f t="shared" si="0"/>
        <v>45.862068965517238</v>
      </c>
    </row>
    <row r="10" spans="1:22" x14ac:dyDescent="0.25">
      <c r="G10" t="s">
        <v>20</v>
      </c>
      <c r="P10" s="1" t="s">
        <v>0</v>
      </c>
      <c r="Q10" s="1" t="s">
        <v>10</v>
      </c>
      <c r="R10" s="1" t="s">
        <v>45</v>
      </c>
      <c r="S10" s="1" t="s">
        <v>71</v>
      </c>
      <c r="T10" s="1" t="s">
        <v>25</v>
      </c>
    </row>
    <row r="11" spans="1:22" x14ac:dyDescent="0.25">
      <c r="B11" t="s">
        <v>10</v>
      </c>
      <c r="D11" t="s">
        <v>11</v>
      </c>
      <c r="J11" s="1" t="s">
        <v>19</v>
      </c>
      <c r="K11" s="1" t="s">
        <v>16</v>
      </c>
      <c r="L11" s="1" t="s">
        <v>37</v>
      </c>
      <c r="M11" s="1" t="s">
        <v>11</v>
      </c>
      <c r="N11" s="1" t="s">
        <v>60</v>
      </c>
      <c r="O11" s="1"/>
      <c r="P11" t="s">
        <v>4</v>
      </c>
      <c r="Q11">
        <v>17000</v>
      </c>
      <c r="R11" s="8">
        <v>1214.2857142857142</v>
      </c>
      <c r="S11" s="2">
        <v>0.06</v>
      </c>
      <c r="T11" s="2">
        <v>0</v>
      </c>
      <c r="U11" s="2">
        <v>6.25E-2</v>
      </c>
      <c r="V11" s="2">
        <v>0</v>
      </c>
    </row>
    <row r="12" spans="1:22" x14ac:dyDescent="0.25">
      <c r="A12" s="1" t="s">
        <v>0</v>
      </c>
      <c r="B12" s="1">
        <v>2021</v>
      </c>
      <c r="C12" s="1">
        <v>2022</v>
      </c>
      <c r="D12" s="1">
        <v>2021</v>
      </c>
      <c r="E12" s="1">
        <v>2022</v>
      </c>
      <c r="J12" t="s">
        <v>49</v>
      </c>
      <c r="K12" s="8">
        <f>SUM(K13:K15)</f>
        <v>89</v>
      </c>
      <c r="L12" s="8">
        <f>SUM(L13:L15)</f>
        <v>116</v>
      </c>
      <c r="M12" s="8">
        <f>K12*1000/L12</f>
        <v>767.24137931034488</v>
      </c>
      <c r="N12" s="2">
        <f>K12/(200000/1000)</f>
        <v>0.44500000000000001</v>
      </c>
      <c r="O12" s="14">
        <f>-Доля_ФОТ_к_прибыли[[#This Row],[Численность, чел.]]</f>
        <v>-116</v>
      </c>
      <c r="P12" t="s">
        <v>3</v>
      </c>
      <c r="Q12">
        <v>15500</v>
      </c>
      <c r="R12" s="8">
        <v>620</v>
      </c>
      <c r="S12" s="2">
        <v>-0.06</v>
      </c>
      <c r="T12" s="2">
        <v>0.16</v>
      </c>
      <c r="U12" s="2">
        <v>-5.9310344827586237E-2</v>
      </c>
      <c r="V12" s="2">
        <v>0.16</v>
      </c>
    </row>
    <row r="13" spans="1:22" x14ac:dyDescent="0.25">
      <c r="A13" t="s">
        <v>4</v>
      </c>
      <c r="B13">
        <v>16000</v>
      </c>
      <c r="C13">
        <v>17000</v>
      </c>
      <c r="D13" s="8">
        <f t="shared" ref="D13:E16" si="1">B13/B4</f>
        <v>1142.8571428571429</v>
      </c>
      <c r="E13" s="8">
        <f t="shared" si="1"/>
        <v>1214.2857142857142</v>
      </c>
      <c r="F13" s="2">
        <f>E13/D13-1</f>
        <v>6.25E-2</v>
      </c>
      <c r="J13" t="s">
        <v>24</v>
      </c>
      <c r="K13" s="8">
        <f>43000/1000</f>
        <v>43</v>
      </c>
      <c r="L13">
        <v>90</v>
      </c>
      <c r="M13" s="8">
        <f t="shared" ref="M13:M15" si="2">K13*1000/L13</f>
        <v>477.77777777777777</v>
      </c>
      <c r="N13" s="2">
        <f>K13/(200000/1000)</f>
        <v>0.215</v>
      </c>
      <c r="O13" s="14">
        <f>-Доля_ФОТ_к_прибыли[[#This Row],[Численность, чел.]]</f>
        <v>-90</v>
      </c>
      <c r="P13" t="s">
        <v>1</v>
      </c>
      <c r="Q13">
        <v>42000</v>
      </c>
      <c r="R13" s="8">
        <v>823.52941176470586</v>
      </c>
      <c r="S13" s="2">
        <v>-0.04</v>
      </c>
      <c r="T13" s="4">
        <v>0.21568627450980399</v>
      </c>
      <c r="U13" s="2">
        <v>-3.9215686274509776E-2</v>
      </c>
      <c r="V13" s="4">
        <v>0.21568627450980399</v>
      </c>
    </row>
    <row r="14" spans="1:22" x14ac:dyDescent="0.25">
      <c r="A14" t="s">
        <v>3</v>
      </c>
      <c r="B14">
        <v>14500</v>
      </c>
      <c r="C14">
        <v>15500</v>
      </c>
      <c r="D14" s="8">
        <f t="shared" si="1"/>
        <v>659.09090909090912</v>
      </c>
      <c r="E14" s="8">
        <f t="shared" si="1"/>
        <v>620</v>
      </c>
      <c r="F14" s="2">
        <f t="shared" ref="F14:F16" si="3">E14/D14-1</f>
        <v>-5.9310344827586237E-2</v>
      </c>
      <c r="J14" t="s">
        <v>14</v>
      </c>
      <c r="K14">
        <f>34000/1000</f>
        <v>34</v>
      </c>
      <c r="L14">
        <v>17</v>
      </c>
      <c r="M14" s="8">
        <f t="shared" si="2"/>
        <v>2000</v>
      </c>
      <c r="N14" s="2">
        <f>K14/(200000/1000)</f>
        <v>0.17</v>
      </c>
      <c r="O14" s="14">
        <f>-Доля_ФОТ_к_прибыли[[#This Row],[Численность, чел.]]</f>
        <v>-17</v>
      </c>
      <c r="P14" t="s">
        <v>2</v>
      </c>
      <c r="Q14">
        <v>14500</v>
      </c>
      <c r="R14" s="8">
        <v>557.69230769230774</v>
      </c>
      <c r="S14" s="2">
        <v>0.12</v>
      </c>
      <c r="T14" s="4">
        <v>0.15384615384615399</v>
      </c>
      <c r="U14" s="2">
        <v>0.11538461538461542</v>
      </c>
      <c r="V14" s="4">
        <v>0.15384615384615399</v>
      </c>
    </row>
    <row r="15" spans="1:22" x14ac:dyDescent="0.25">
      <c r="A15" t="s">
        <v>1</v>
      </c>
      <c r="B15">
        <v>48000</v>
      </c>
      <c r="C15">
        <v>42000</v>
      </c>
      <c r="D15" s="8">
        <f t="shared" si="1"/>
        <v>857.14285714285711</v>
      </c>
      <c r="E15" s="8">
        <f t="shared" si="1"/>
        <v>823.52941176470586</v>
      </c>
      <c r="F15" s="2">
        <f t="shared" si="3"/>
        <v>-3.9215686274509776E-2</v>
      </c>
      <c r="J15" t="s">
        <v>23</v>
      </c>
      <c r="K15" s="8">
        <f>12000/1000</f>
        <v>12</v>
      </c>
      <c r="L15">
        <v>9</v>
      </c>
      <c r="M15" s="8">
        <f t="shared" si="2"/>
        <v>1333.3333333333333</v>
      </c>
      <c r="N15" s="2">
        <f>K15/(200000/1000)</f>
        <v>0.06</v>
      </c>
      <c r="O15" s="14">
        <f>-Доля_ФОТ_к_прибыли[[#This Row],[Численность, чел.]]</f>
        <v>-9</v>
      </c>
    </row>
    <row r="16" spans="1:22" x14ac:dyDescent="0.25">
      <c r="A16" t="s">
        <v>2</v>
      </c>
      <c r="B16">
        <v>10000</v>
      </c>
      <c r="C16">
        <v>14500</v>
      </c>
      <c r="D16" s="8">
        <f t="shared" si="1"/>
        <v>500</v>
      </c>
      <c r="E16" s="8">
        <f t="shared" si="1"/>
        <v>557.69230769230774</v>
      </c>
      <c r="F16" s="2">
        <f t="shared" si="3"/>
        <v>0.11538461538461542</v>
      </c>
      <c r="J16" t="s">
        <v>29</v>
      </c>
      <c r="N16" s="3">
        <v>0.3</v>
      </c>
      <c r="O16" s="3"/>
    </row>
    <row r="17" spans="1:23" x14ac:dyDescent="0.25">
      <c r="B17">
        <f>SUM(B13:B16)</f>
        <v>88500</v>
      </c>
      <c r="C17">
        <f>SUM(C13:C16)</f>
        <v>89000</v>
      </c>
      <c r="D17" s="9">
        <f>AVERAGE(D13:D16)</f>
        <v>789.77272727272725</v>
      </c>
      <c r="E17" s="9">
        <f>AVERAGE(E13:E16)</f>
        <v>803.87685843568192</v>
      </c>
    </row>
    <row r="18" spans="1:23" x14ac:dyDescent="0.25">
      <c r="K18">
        <v>2021</v>
      </c>
      <c r="L18">
        <v>2022</v>
      </c>
      <c r="N18" s="2" t="s">
        <v>73</v>
      </c>
    </row>
    <row r="19" spans="1:23" x14ac:dyDescent="0.25">
      <c r="J19" t="s">
        <v>22</v>
      </c>
      <c r="K19" s="3">
        <v>0.25</v>
      </c>
      <c r="L19" s="3">
        <v>0.2</v>
      </c>
      <c r="N19" s="2" t="s">
        <v>74</v>
      </c>
    </row>
    <row r="20" spans="1:23" x14ac:dyDescent="0.25">
      <c r="J20" t="s">
        <v>28</v>
      </c>
      <c r="K20" s="3">
        <v>0.6</v>
      </c>
      <c r="L20" s="3">
        <v>0.4</v>
      </c>
      <c r="N20" s="2" t="s">
        <v>61</v>
      </c>
    </row>
    <row r="21" spans="1:23" x14ac:dyDescent="0.25">
      <c r="A21" s="1" t="s">
        <v>13</v>
      </c>
      <c r="B21" s="1" t="s">
        <v>21</v>
      </c>
      <c r="C21" s="1" t="s">
        <v>15</v>
      </c>
      <c r="D21" s="1" t="s">
        <v>12</v>
      </c>
      <c r="E21" s="1" t="s">
        <v>17</v>
      </c>
      <c r="F21" s="1"/>
      <c r="K21" s="3">
        <v>0.06</v>
      </c>
      <c r="L21" s="3">
        <v>0.04</v>
      </c>
      <c r="N21" s="2" t="s">
        <v>62</v>
      </c>
    </row>
    <row r="22" spans="1:23" x14ac:dyDescent="0.25">
      <c r="A22" t="s">
        <v>4</v>
      </c>
      <c r="B22">
        <v>1500</v>
      </c>
      <c r="C22">
        <v>10</v>
      </c>
      <c r="D22">
        <v>1</v>
      </c>
      <c r="E22">
        <v>0</v>
      </c>
    </row>
    <row r="23" spans="1:23" x14ac:dyDescent="0.25">
      <c r="A23" t="s">
        <v>3</v>
      </c>
      <c r="B23">
        <v>1000</v>
      </c>
      <c r="C23">
        <v>15</v>
      </c>
      <c r="D23">
        <v>2</v>
      </c>
      <c r="E23">
        <v>1</v>
      </c>
    </row>
    <row r="24" spans="1:23" x14ac:dyDescent="0.25">
      <c r="A24" t="s">
        <v>1</v>
      </c>
      <c r="B24">
        <v>1000</v>
      </c>
      <c r="C24">
        <v>25</v>
      </c>
      <c r="D24">
        <v>5</v>
      </c>
      <c r="E24">
        <v>1</v>
      </c>
    </row>
    <row r="25" spans="1:23" x14ac:dyDescent="0.25">
      <c r="A25" t="s">
        <v>2</v>
      </c>
      <c r="B25">
        <v>1000</v>
      </c>
      <c r="C25">
        <v>10</v>
      </c>
      <c r="D25">
        <v>3</v>
      </c>
      <c r="E25">
        <v>2</v>
      </c>
    </row>
    <row r="26" spans="1:23" x14ac:dyDescent="0.25">
      <c r="B26">
        <f>SUM(B22:B25)</f>
        <v>4500</v>
      </c>
      <c r="C26">
        <f>SUM(C22:C25)</f>
        <v>60</v>
      </c>
      <c r="D26">
        <f>SUM(D22:D25)</f>
        <v>11</v>
      </c>
      <c r="E26">
        <f>SUM(E22:E25)</f>
        <v>4</v>
      </c>
    </row>
    <row r="27" spans="1:23" x14ac:dyDescent="0.25">
      <c r="J27" s="1" t="s">
        <v>0</v>
      </c>
      <c r="K27" s="1" t="s">
        <v>38</v>
      </c>
      <c r="L27" s="1" t="s">
        <v>31</v>
      </c>
      <c r="M27" s="1" t="s">
        <v>32</v>
      </c>
      <c r="R27" s="13" t="s">
        <v>40</v>
      </c>
    </row>
    <row r="28" spans="1:23" x14ac:dyDescent="0.25">
      <c r="J28" t="s">
        <v>4</v>
      </c>
      <c r="K28" t="s">
        <v>10</v>
      </c>
      <c r="L28">
        <v>16000</v>
      </c>
      <c r="M28">
        <v>17000</v>
      </c>
      <c r="P28" s="13" t="s">
        <v>0</v>
      </c>
      <c r="Q28" s="13" t="s">
        <v>38</v>
      </c>
      <c r="R28" t="s">
        <v>39</v>
      </c>
      <c r="S28" t="s">
        <v>41</v>
      </c>
      <c r="T28" t="s">
        <v>42</v>
      </c>
    </row>
    <row r="29" spans="1:23" x14ac:dyDescent="0.25">
      <c r="A29" s="1" t="s">
        <v>26</v>
      </c>
      <c r="B29" s="1" t="s">
        <v>27</v>
      </c>
      <c r="C29" s="1" t="s">
        <v>43</v>
      </c>
      <c r="J29" t="s">
        <v>3</v>
      </c>
      <c r="K29" t="s">
        <v>10</v>
      </c>
      <c r="L29">
        <v>14500</v>
      </c>
      <c r="M29">
        <v>15500</v>
      </c>
      <c r="P29" t="s">
        <v>2</v>
      </c>
      <c r="Q29" t="s">
        <v>25</v>
      </c>
      <c r="R29">
        <v>0.15384615384615385</v>
      </c>
      <c r="S29">
        <v>0.08</v>
      </c>
      <c r="T29">
        <v>7.3846153846153853E-2</v>
      </c>
      <c r="U29">
        <v>0.16379310344827586</v>
      </c>
      <c r="V29">
        <v>0.08</v>
      </c>
      <c r="W29">
        <f>U29-V29</f>
        <v>8.3793103448275855E-2</v>
      </c>
    </row>
    <row r="30" spans="1:23" x14ac:dyDescent="0.25">
      <c r="A30" t="s">
        <v>4</v>
      </c>
      <c r="B30" s="2">
        <f>C22/C4</f>
        <v>0.7142857142857143</v>
      </c>
      <c r="C30" s="12">
        <f>I4</f>
        <v>-0.03</v>
      </c>
      <c r="D30" s="10"/>
      <c r="J30" t="s">
        <v>1</v>
      </c>
      <c r="K30" t="s">
        <v>10</v>
      </c>
      <c r="L30">
        <v>48000</v>
      </c>
      <c r="M30">
        <v>42000</v>
      </c>
      <c r="P30" t="s">
        <v>2</v>
      </c>
      <c r="Q30" t="s">
        <v>10</v>
      </c>
      <c r="R30">
        <v>14500</v>
      </c>
      <c r="S30">
        <v>10000</v>
      </c>
      <c r="T30">
        <v>4500</v>
      </c>
      <c r="U30">
        <v>89000</v>
      </c>
      <c r="V30">
        <v>88500</v>
      </c>
      <c r="W30">
        <f>U30/V30-1</f>
        <v>5.6497175141243527E-3</v>
      </c>
    </row>
    <row r="31" spans="1:23" x14ac:dyDescent="0.25">
      <c r="A31" t="s">
        <v>3</v>
      </c>
      <c r="B31" s="2">
        <f>C23/C5</f>
        <v>0.6</v>
      </c>
      <c r="C31" s="12">
        <f>I5</f>
        <v>0.06</v>
      </c>
      <c r="D31" s="10"/>
      <c r="J31" t="s">
        <v>2</v>
      </c>
      <c r="K31" t="s">
        <v>10</v>
      </c>
      <c r="L31">
        <v>10000</v>
      </c>
      <c r="M31">
        <v>14500</v>
      </c>
      <c r="P31" t="s">
        <v>2</v>
      </c>
      <c r="Q31" t="s">
        <v>5</v>
      </c>
      <c r="R31">
        <v>26</v>
      </c>
      <c r="S31">
        <v>20</v>
      </c>
      <c r="T31">
        <v>6</v>
      </c>
      <c r="U31">
        <v>116</v>
      </c>
      <c r="V31">
        <v>112</v>
      </c>
      <c r="W31">
        <f>U31-V31</f>
        <v>4</v>
      </c>
    </row>
    <row r="32" spans="1:23" x14ac:dyDescent="0.25">
      <c r="A32" t="s">
        <v>1</v>
      </c>
      <c r="B32" s="2">
        <f>C24/C6</f>
        <v>0.49019607843137253</v>
      </c>
      <c r="C32" s="12">
        <f>I6</f>
        <v>0.14568627450980393</v>
      </c>
      <c r="D32" s="10"/>
      <c r="J32" t="s">
        <v>4</v>
      </c>
      <c r="K32" t="s">
        <v>5</v>
      </c>
      <c r="L32">
        <v>14</v>
      </c>
      <c r="M32">
        <v>14</v>
      </c>
      <c r="P32" t="s">
        <v>2</v>
      </c>
      <c r="Q32" t="s">
        <v>54</v>
      </c>
      <c r="R32">
        <v>0.66666666666666663</v>
      </c>
      <c r="T32">
        <v>0.66666666666666663</v>
      </c>
      <c r="U32" s="3">
        <f>F45</f>
        <v>0.36363636363636365</v>
      </c>
      <c r="V32" s="16">
        <v>0.115</v>
      </c>
      <c r="W32" s="16">
        <f>U32-V32</f>
        <v>0.24863636363636366</v>
      </c>
    </row>
    <row r="33" spans="1:20" x14ac:dyDescent="0.25">
      <c r="A33" t="s">
        <v>2</v>
      </c>
      <c r="B33" s="2">
        <f>C25/C7</f>
        <v>0.38461538461538464</v>
      </c>
      <c r="C33" s="12">
        <f>I7</f>
        <v>7.3846153846153853E-2</v>
      </c>
      <c r="D33" s="10"/>
      <c r="J33" t="s">
        <v>3</v>
      </c>
      <c r="K33" t="s">
        <v>5</v>
      </c>
      <c r="L33">
        <v>22</v>
      </c>
      <c r="M33">
        <v>25</v>
      </c>
      <c r="P33" t="s">
        <v>3</v>
      </c>
      <c r="Q33" t="s">
        <v>25</v>
      </c>
      <c r="R33">
        <v>0.16</v>
      </c>
      <c r="S33">
        <v>0.1</v>
      </c>
      <c r="T33">
        <v>0.06</v>
      </c>
    </row>
    <row r="34" spans="1:20" x14ac:dyDescent="0.25">
      <c r="J34" t="s">
        <v>1</v>
      </c>
      <c r="K34" t="s">
        <v>5</v>
      </c>
      <c r="L34">
        <v>56</v>
      </c>
      <c r="M34">
        <v>51</v>
      </c>
      <c r="P34" t="s">
        <v>3</v>
      </c>
      <c r="Q34" t="s">
        <v>10</v>
      </c>
      <c r="R34">
        <v>15500</v>
      </c>
      <c r="S34">
        <v>14500</v>
      </c>
      <c r="T34">
        <v>1000</v>
      </c>
    </row>
    <row r="35" spans="1:20" x14ac:dyDescent="0.25">
      <c r="J35" t="s">
        <v>2</v>
      </c>
      <c r="K35" t="s">
        <v>5</v>
      </c>
      <c r="L35">
        <v>20</v>
      </c>
      <c r="M35">
        <v>26</v>
      </c>
      <c r="P35" t="s">
        <v>3</v>
      </c>
      <c r="Q35" t="s">
        <v>5</v>
      </c>
      <c r="R35">
        <v>25</v>
      </c>
      <c r="S35">
        <v>22</v>
      </c>
      <c r="T35">
        <v>3</v>
      </c>
    </row>
    <row r="36" spans="1:20" x14ac:dyDescent="0.25">
      <c r="J36" t="s">
        <v>4</v>
      </c>
      <c r="K36" t="s">
        <v>25</v>
      </c>
      <c r="L36" s="5">
        <v>0.03</v>
      </c>
      <c r="M36" s="4">
        <v>0</v>
      </c>
      <c r="P36" t="s">
        <v>3</v>
      </c>
      <c r="Q36" t="s">
        <v>54</v>
      </c>
      <c r="R36">
        <v>0.5</v>
      </c>
      <c r="T36">
        <v>0.5</v>
      </c>
    </row>
    <row r="37" spans="1:20" x14ac:dyDescent="0.25">
      <c r="A37" s="1" t="s">
        <v>72</v>
      </c>
      <c r="B37" s="1" t="s">
        <v>68</v>
      </c>
      <c r="C37" s="1" t="s">
        <v>51</v>
      </c>
      <c r="D37" s="1" t="s">
        <v>27</v>
      </c>
      <c r="J37" t="s">
        <v>3</v>
      </c>
      <c r="K37" t="s">
        <v>25</v>
      </c>
      <c r="L37" s="5">
        <v>0.1</v>
      </c>
      <c r="M37" s="4">
        <v>0.16</v>
      </c>
      <c r="P37" t="s">
        <v>1</v>
      </c>
      <c r="Q37" t="s">
        <v>25</v>
      </c>
      <c r="R37">
        <v>0.21568627450980393</v>
      </c>
      <c r="S37">
        <v>7.0000000000000007E-2</v>
      </c>
      <c r="T37">
        <v>0.14568627450980393</v>
      </c>
    </row>
    <row r="38" spans="1:20" x14ac:dyDescent="0.25">
      <c r="A38" t="s">
        <v>49</v>
      </c>
      <c r="B38">
        <f>SUM(B39:B42)</f>
        <v>4500</v>
      </c>
      <c r="C38" t="s">
        <v>67</v>
      </c>
      <c r="D38" s="2">
        <f>C26/C8</f>
        <v>0.51724137931034486</v>
      </c>
      <c r="E38">
        <f>B38/1000</f>
        <v>4.5</v>
      </c>
      <c r="F38" s="3">
        <f>-D38</f>
        <v>-0.51724137931034486</v>
      </c>
      <c r="J38" t="s">
        <v>1</v>
      </c>
      <c r="K38" t="s">
        <v>25</v>
      </c>
      <c r="L38" s="5">
        <v>7.0000000000000007E-2</v>
      </c>
      <c r="M38" s="4">
        <v>0.21568627450980393</v>
      </c>
      <c r="P38" t="s">
        <v>1</v>
      </c>
      <c r="Q38" t="s">
        <v>10</v>
      </c>
      <c r="R38">
        <v>42000</v>
      </c>
      <c r="S38">
        <v>48000</v>
      </c>
      <c r="T38">
        <v>-6000</v>
      </c>
    </row>
    <row r="39" spans="1:20" x14ac:dyDescent="0.25">
      <c r="A39" t="s">
        <v>4</v>
      </c>
      <c r="B39">
        <v>1500</v>
      </c>
      <c r="C39" t="s">
        <v>64</v>
      </c>
      <c r="D39" s="2">
        <f>C22/C4</f>
        <v>0.7142857142857143</v>
      </c>
      <c r="E39">
        <f t="shared" ref="E39:E42" si="4">B39/1000</f>
        <v>1.5</v>
      </c>
      <c r="F39" s="3">
        <f t="shared" ref="F39:F42" si="5">-D39</f>
        <v>-0.7142857142857143</v>
      </c>
      <c r="J39" t="s">
        <v>2</v>
      </c>
      <c r="K39" t="s">
        <v>25</v>
      </c>
      <c r="L39" s="5">
        <v>0.08</v>
      </c>
      <c r="M39" s="4">
        <v>0.15384615384615385</v>
      </c>
      <c r="P39" t="s">
        <v>1</v>
      </c>
      <c r="Q39" t="s">
        <v>5</v>
      </c>
      <c r="R39">
        <v>51</v>
      </c>
      <c r="S39">
        <v>56</v>
      </c>
      <c r="T39">
        <v>-5</v>
      </c>
    </row>
    <row r="40" spans="1:20" x14ac:dyDescent="0.25">
      <c r="A40" t="s">
        <v>3</v>
      </c>
      <c r="B40">
        <v>1000</v>
      </c>
      <c r="C40" t="s">
        <v>65</v>
      </c>
      <c r="D40" s="2">
        <f>C23/C5</f>
        <v>0.6</v>
      </c>
      <c r="E40">
        <f t="shared" si="4"/>
        <v>1</v>
      </c>
      <c r="F40" s="3">
        <f t="shared" si="5"/>
        <v>-0.6</v>
      </c>
      <c r="J40" t="s">
        <v>4</v>
      </c>
      <c r="K40" t="s">
        <v>54</v>
      </c>
      <c r="L40" s="4"/>
      <c r="M40" s="4">
        <f>C45/B45</f>
        <v>0</v>
      </c>
      <c r="P40" t="s">
        <v>1</v>
      </c>
      <c r="Q40" t="s">
        <v>54</v>
      </c>
      <c r="R40">
        <v>0.2</v>
      </c>
      <c r="T40">
        <v>0.2</v>
      </c>
    </row>
    <row r="41" spans="1:20" x14ac:dyDescent="0.25">
      <c r="A41" t="s">
        <v>1</v>
      </c>
      <c r="B41">
        <v>1000</v>
      </c>
      <c r="C41" t="s">
        <v>66</v>
      </c>
      <c r="D41" s="2">
        <f>C24/C6</f>
        <v>0.49019607843137253</v>
      </c>
      <c r="E41">
        <f t="shared" si="4"/>
        <v>1</v>
      </c>
      <c r="F41" s="3">
        <f t="shared" si="5"/>
        <v>-0.49019607843137253</v>
      </c>
      <c r="J41" t="s">
        <v>3</v>
      </c>
      <c r="K41" t="s">
        <v>54</v>
      </c>
      <c r="L41" s="4"/>
      <c r="M41" s="4">
        <f>C46/B46</f>
        <v>0.5</v>
      </c>
      <c r="P41" t="s">
        <v>4</v>
      </c>
      <c r="Q41" t="s">
        <v>25</v>
      </c>
      <c r="R41">
        <v>0</v>
      </c>
      <c r="S41">
        <v>0.03</v>
      </c>
      <c r="T41">
        <v>-0.03</v>
      </c>
    </row>
    <row r="42" spans="1:20" x14ac:dyDescent="0.25">
      <c r="A42" t="s">
        <v>2</v>
      </c>
      <c r="B42">
        <v>1000</v>
      </c>
      <c r="C42" t="s">
        <v>64</v>
      </c>
      <c r="D42" s="2">
        <f>C25/C7</f>
        <v>0.38461538461538464</v>
      </c>
      <c r="E42">
        <f t="shared" si="4"/>
        <v>1</v>
      </c>
      <c r="F42" s="3">
        <f t="shared" si="5"/>
        <v>-0.38461538461538464</v>
      </c>
      <c r="J42" t="s">
        <v>1</v>
      </c>
      <c r="K42" t="s">
        <v>54</v>
      </c>
      <c r="L42" s="4"/>
      <c r="M42" s="4">
        <f>C47/B47</f>
        <v>0.2</v>
      </c>
      <c r="N42" s="6"/>
      <c r="O42" s="6"/>
      <c r="P42" t="s">
        <v>4</v>
      </c>
      <c r="Q42" t="s">
        <v>10</v>
      </c>
      <c r="R42">
        <v>17000</v>
      </c>
      <c r="S42">
        <v>16000</v>
      </c>
      <c r="T42">
        <v>1000</v>
      </c>
    </row>
    <row r="43" spans="1:20" x14ac:dyDescent="0.25">
      <c r="J43" t="s">
        <v>2</v>
      </c>
      <c r="K43" t="s">
        <v>54</v>
      </c>
      <c r="L43" s="4"/>
      <c r="M43" s="4">
        <f>C48/B48</f>
        <v>0.66666666666666663</v>
      </c>
      <c r="P43" t="s">
        <v>4</v>
      </c>
      <c r="Q43" t="s">
        <v>5</v>
      </c>
      <c r="R43">
        <v>14</v>
      </c>
      <c r="S43">
        <v>14</v>
      </c>
      <c r="T43">
        <v>0</v>
      </c>
    </row>
    <row r="44" spans="1:20" x14ac:dyDescent="0.25">
      <c r="B44" s="1" t="s">
        <v>12</v>
      </c>
      <c r="C44" s="1" t="s">
        <v>17</v>
      </c>
      <c r="D44" t="s">
        <v>52</v>
      </c>
      <c r="E44" t="s">
        <v>53</v>
      </c>
      <c r="F44" t="s">
        <v>54</v>
      </c>
      <c r="P44" t="s">
        <v>4</v>
      </c>
      <c r="Q44" t="s">
        <v>54</v>
      </c>
      <c r="R44">
        <v>0</v>
      </c>
      <c r="T44">
        <v>0</v>
      </c>
    </row>
    <row r="45" spans="1:20" x14ac:dyDescent="0.25">
      <c r="A45" t="s">
        <v>4</v>
      </c>
      <c r="B45">
        <v>1</v>
      </c>
      <c r="C45">
        <v>0</v>
      </c>
      <c r="D45">
        <f>D4</f>
        <v>0</v>
      </c>
      <c r="E45" s="2" t="str">
        <f>IFERROR(C45/D45,"")</f>
        <v/>
      </c>
      <c r="F45" s="2">
        <f>C49/B49</f>
        <v>0.36363636363636365</v>
      </c>
    </row>
    <row r="46" spans="1:20" x14ac:dyDescent="0.25">
      <c r="A46" t="s">
        <v>3</v>
      </c>
      <c r="B46">
        <v>2</v>
      </c>
      <c r="C46">
        <v>1</v>
      </c>
      <c r="D46">
        <f>D5</f>
        <v>7</v>
      </c>
      <c r="E46" s="2">
        <f>IFERROR(C46/D46,"")</f>
        <v>0.14285714285714285</v>
      </c>
    </row>
    <row r="47" spans="1:20" x14ac:dyDescent="0.25">
      <c r="A47" t="s">
        <v>1</v>
      </c>
      <c r="B47">
        <v>5</v>
      </c>
      <c r="C47">
        <v>1</v>
      </c>
      <c r="D47">
        <f>D6</f>
        <v>6</v>
      </c>
      <c r="E47" s="2">
        <f>IFERROR(C47/D47,"")</f>
        <v>0.16666666666666666</v>
      </c>
    </row>
    <row r="48" spans="1:20" x14ac:dyDescent="0.25">
      <c r="A48" t="s">
        <v>2</v>
      </c>
      <c r="B48">
        <v>3</v>
      </c>
      <c r="C48">
        <v>2</v>
      </c>
      <c r="D48">
        <f>D7</f>
        <v>10</v>
      </c>
      <c r="E48" s="2">
        <f>IFERROR(C48/D48,"")</f>
        <v>0.2</v>
      </c>
    </row>
    <row r="49" spans="1:5" x14ac:dyDescent="0.25">
      <c r="A49" t="s">
        <v>49</v>
      </c>
      <c r="B49">
        <f>SUM(B45:B48)</f>
        <v>11</v>
      </c>
      <c r="C49">
        <f>SUM(C45:C48)</f>
        <v>4</v>
      </c>
      <c r="D49">
        <f>D8</f>
        <v>23</v>
      </c>
      <c r="E49" s="2">
        <f>IFERROR(C49/D49,"")</f>
        <v>0.17391304347826086</v>
      </c>
    </row>
    <row r="52" spans="1:5" x14ac:dyDescent="0.25">
      <c r="B52" t="s">
        <v>59</v>
      </c>
      <c r="C52">
        <v>7</v>
      </c>
    </row>
    <row r="53" spans="1:5" x14ac:dyDescent="0.25">
      <c r="B53" t="s">
        <v>57</v>
      </c>
      <c r="C53">
        <v>4</v>
      </c>
    </row>
    <row r="54" spans="1:5" x14ac:dyDescent="0.25">
      <c r="B54" t="s">
        <v>58</v>
      </c>
      <c r="C54">
        <v>1</v>
      </c>
    </row>
  </sheetData>
  <sortState xmlns:xlrd2="http://schemas.microsoft.com/office/spreadsheetml/2017/richdata2" ref="A38:E42">
    <sortCondition descending="1" ref="E38"/>
  </sortState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B7F5-15CF-461A-84FF-6094F9C72EC4}">
  <dimension ref="A1:AD51"/>
  <sheetViews>
    <sheetView showGridLines="0" tabSelected="1" zoomScale="90" zoomScaleNormal="90" workbookViewId="0">
      <selection activeCell="AB27" sqref="AB27"/>
    </sheetView>
  </sheetViews>
  <sheetFormatPr defaultRowHeight="15" x14ac:dyDescent="0.25"/>
  <cols>
    <col min="1" max="1" width="1.375" customWidth="1"/>
    <col min="2" max="4" width="11.75" customWidth="1"/>
    <col min="5" max="5" width="5.125" customWidth="1"/>
    <col min="6" max="7" width="11.75" customWidth="1"/>
    <col min="8" max="8" width="5.125" customWidth="1"/>
    <col min="9" max="10" width="11.75" customWidth="1"/>
    <col min="11" max="11" width="5.125" customWidth="1"/>
    <col min="12" max="13" width="11.75" customWidth="1"/>
    <col min="14" max="14" width="5.125" customWidth="1"/>
    <col min="15" max="15" width="11.75" customWidth="1"/>
    <col min="16" max="16" width="5.125" customWidth="1"/>
    <col min="18" max="18" width="13" bestFit="1" customWidth="1"/>
    <col min="20" max="20" width="5.125" customWidth="1"/>
    <col min="21" max="21" width="11.125" bestFit="1" customWidth="1"/>
    <col min="22" max="22" width="11.625" customWidth="1"/>
    <col min="25" max="25" width="1.375" customWidth="1"/>
  </cols>
  <sheetData>
    <row r="1" spans="1:30" ht="18" customHeight="1" x14ac:dyDescent="0.25">
      <c r="A1" s="22"/>
      <c r="B1" s="23"/>
      <c r="C1" s="23"/>
      <c r="D1" s="23"/>
      <c r="E1" s="23"/>
      <c r="F1" s="23"/>
      <c r="G1" s="23" t="s">
        <v>46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4"/>
      <c r="Z1" s="41"/>
      <c r="AA1" s="41"/>
      <c r="AB1" s="41"/>
      <c r="AC1" s="41"/>
      <c r="AD1" s="41"/>
    </row>
    <row r="2" spans="1:30" ht="26.25" x14ac:dyDescent="0.4">
      <c r="A2" s="25"/>
      <c r="B2" s="26" t="s">
        <v>63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27"/>
      <c r="Z2" s="41"/>
      <c r="AA2" s="41"/>
      <c r="AB2" s="41"/>
      <c r="AC2" s="41"/>
      <c r="AD2" s="41"/>
    </row>
    <row r="3" spans="1:30" x14ac:dyDescent="0.25">
      <c r="A3" s="25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 t="s">
        <v>75</v>
      </c>
      <c r="V3" s="17"/>
      <c r="W3" s="17"/>
      <c r="X3" s="17"/>
      <c r="Y3" s="27"/>
      <c r="Z3" s="41"/>
      <c r="AA3" s="41"/>
      <c r="AB3" s="41"/>
      <c r="AC3" s="41"/>
      <c r="AD3" s="41"/>
    </row>
    <row r="4" spans="1:30" ht="15.75" x14ac:dyDescent="0.25">
      <c r="A4" s="25"/>
      <c r="B4" s="15"/>
      <c r="C4" s="28" t="s">
        <v>36</v>
      </c>
      <c r="D4" s="29"/>
      <c r="E4" s="15"/>
      <c r="F4" s="28" t="s">
        <v>37</v>
      </c>
      <c r="G4" s="30"/>
      <c r="H4" s="15"/>
      <c r="I4" s="28" t="s">
        <v>25</v>
      </c>
      <c r="J4" s="15"/>
      <c r="K4" s="15"/>
      <c r="L4" s="28" t="s">
        <v>22</v>
      </c>
      <c r="M4" s="15"/>
      <c r="N4" s="15"/>
      <c r="O4" s="28" t="s">
        <v>28</v>
      </c>
      <c r="P4" s="15"/>
      <c r="Q4" s="15"/>
      <c r="R4" s="28" t="s">
        <v>50</v>
      </c>
      <c r="S4" s="15"/>
      <c r="T4" s="31" t="s">
        <v>55</v>
      </c>
      <c r="U4" s="32"/>
      <c r="V4" s="32"/>
      <c r="W4" s="32"/>
      <c r="X4" s="33"/>
      <c r="Y4" s="27"/>
      <c r="Z4" s="41"/>
      <c r="AA4" s="41"/>
      <c r="AB4" s="41"/>
      <c r="AC4" s="41"/>
      <c r="AD4" s="41"/>
    </row>
    <row r="5" spans="1:30" ht="15.75" customHeight="1" x14ac:dyDescent="0.25">
      <c r="A5" s="25"/>
      <c r="B5" s="15"/>
      <c r="C5" s="44">
        <f>IF(Данные!$R$33&lt;&gt;0,Данные!$U$30,Данные!$R$30)/1000</f>
        <v>89</v>
      </c>
      <c r="D5" s="33" t="s">
        <v>44</v>
      </c>
      <c r="E5" s="15"/>
      <c r="F5" s="45">
        <f>IF(Данные!$R$33&lt;&gt;0,Данные!$U$31,Данные!$R$31)</f>
        <v>116</v>
      </c>
      <c r="G5" s="33" t="s">
        <v>44</v>
      </c>
      <c r="H5" s="15"/>
      <c r="I5" s="46">
        <f>IF(Данные!$R$33&lt;&gt;0,Данные!$U$29,Данные!$R$29)</f>
        <v>0.16379310344827586</v>
      </c>
      <c r="J5" s="33" t="s">
        <v>44</v>
      </c>
      <c r="K5" s="15"/>
      <c r="L5" s="43">
        <f>Данные!L19</f>
        <v>0.2</v>
      </c>
      <c r="M5" s="33" t="s">
        <v>44</v>
      </c>
      <c r="N5" s="15"/>
      <c r="O5" s="43">
        <f>Данные!L21</f>
        <v>0.04</v>
      </c>
      <c r="P5" s="33" t="s">
        <v>44</v>
      </c>
      <c r="Q5" s="15"/>
      <c r="R5" s="42">
        <f>Данные!B26/1000</f>
        <v>4.5</v>
      </c>
      <c r="S5" s="33"/>
      <c r="T5" s="15"/>
      <c r="U5" s="43">
        <f>IF(Данные!$R$33&lt;&gt;0,Данные!$U$32,Данные!$R$32)</f>
        <v>0.36363636363636365</v>
      </c>
      <c r="V5" s="30" t="s">
        <v>56</v>
      </c>
      <c r="W5" s="15"/>
      <c r="X5" s="33"/>
      <c r="Y5" s="27"/>
      <c r="Z5" s="41"/>
      <c r="AA5" s="41"/>
      <c r="AB5" s="41"/>
      <c r="AC5" s="41"/>
      <c r="AD5" s="41"/>
    </row>
    <row r="6" spans="1:30" ht="15.75" customHeight="1" x14ac:dyDescent="0.3">
      <c r="A6" s="25"/>
      <c r="B6" s="15"/>
      <c r="C6" s="44"/>
      <c r="D6" s="34">
        <f>IF(Данные!$R$33&lt;&gt;0,Данные!W30,Данные!R30/Данные!S30-1)</f>
        <v>5.6497175141243527E-3</v>
      </c>
      <c r="E6" s="15"/>
      <c r="F6" s="45"/>
      <c r="G6" s="35">
        <f>IF(Данные!$R$33&lt;&gt;0,Данные!W31,Данные!R31-Данные!S31)</f>
        <v>4</v>
      </c>
      <c r="H6" s="15"/>
      <c r="I6" s="46"/>
      <c r="J6" s="36">
        <f>IF(Данные!$R$33&lt;&gt;0,Данные!W29,Данные!R29/Данные!S29-1)</f>
        <v>8.3793103448275855E-2</v>
      </c>
      <c r="K6" s="15"/>
      <c r="L6" s="43"/>
      <c r="M6" s="36">
        <f>Данные!L19-Данные!K19</f>
        <v>-4.9999999999999989E-2</v>
      </c>
      <c r="N6" s="15"/>
      <c r="O6" s="43"/>
      <c r="P6" s="37">
        <f>O5-Данные!K21</f>
        <v>-1.9999999999999997E-2</v>
      </c>
      <c r="Q6" s="15"/>
      <c r="R6" s="42"/>
      <c r="S6" s="37"/>
      <c r="T6" s="15"/>
      <c r="U6" s="43"/>
      <c r="V6" s="34">
        <f>IF(Данные!R33&lt;&gt;0,Данные!W32,Данные!R32-Данные!V32)</f>
        <v>0.24863636363636366</v>
      </c>
      <c r="W6" s="15"/>
      <c r="X6" s="33"/>
      <c r="Y6" s="27"/>
      <c r="Z6" s="41"/>
      <c r="AA6" s="41"/>
      <c r="AB6" s="41"/>
      <c r="AC6" s="41"/>
      <c r="AD6" s="41"/>
    </row>
    <row r="7" spans="1:30" x14ac:dyDescent="0.25">
      <c r="A7" s="25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38"/>
      <c r="R7" s="17"/>
      <c r="S7" s="17"/>
      <c r="T7" s="17"/>
      <c r="U7" s="17"/>
      <c r="V7" s="17"/>
      <c r="W7" s="17"/>
      <c r="X7" s="17"/>
      <c r="Y7" s="27"/>
      <c r="Z7" s="41"/>
      <c r="AA7" s="41"/>
      <c r="AB7" s="41"/>
      <c r="AC7" s="41"/>
      <c r="AD7" s="41"/>
    </row>
    <row r="8" spans="1:30" x14ac:dyDescent="0.25">
      <c r="A8" s="2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38"/>
      <c r="R8" s="17"/>
      <c r="S8" s="17"/>
      <c r="T8" s="17"/>
      <c r="U8" s="17"/>
      <c r="V8" s="17"/>
      <c r="W8" s="17"/>
      <c r="X8" s="17"/>
      <c r="Y8" s="27"/>
      <c r="Z8" s="41"/>
      <c r="AA8" s="41"/>
      <c r="AB8" s="41"/>
      <c r="AC8" s="41"/>
      <c r="AD8" s="41"/>
    </row>
    <row r="9" spans="1:30" x14ac:dyDescent="0.25">
      <c r="A9" s="25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38"/>
      <c r="R9" s="17"/>
      <c r="S9" s="17"/>
      <c r="T9" s="17"/>
      <c r="U9" s="17"/>
      <c r="V9" s="17"/>
      <c r="W9" s="17"/>
      <c r="X9" s="17"/>
      <c r="Y9" s="27"/>
      <c r="Z9" s="41"/>
      <c r="AA9" s="41"/>
      <c r="AB9" s="41"/>
      <c r="AC9" s="41"/>
      <c r="AD9" s="41"/>
    </row>
    <row r="10" spans="1:30" x14ac:dyDescent="0.25">
      <c r="A10" s="25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27"/>
      <c r="Z10" s="41"/>
      <c r="AA10" s="41"/>
      <c r="AB10" s="41"/>
      <c r="AC10" s="41"/>
      <c r="AD10" s="41"/>
    </row>
    <row r="11" spans="1:30" x14ac:dyDescent="0.25">
      <c r="A11" s="25"/>
      <c r="B11" s="17"/>
      <c r="C11" s="17"/>
      <c r="D11" s="17"/>
      <c r="E11" s="17"/>
      <c r="F11" s="17"/>
      <c r="G11" s="17"/>
      <c r="H11" s="17"/>
      <c r="I11" s="17"/>
      <c r="J11" s="19"/>
      <c r="K11" s="17"/>
      <c r="L11" s="17"/>
      <c r="M11" s="19"/>
      <c r="N11" s="17"/>
      <c r="O11" s="17"/>
      <c r="P11" s="18"/>
      <c r="Q11" s="17"/>
      <c r="R11" s="17"/>
      <c r="S11" s="17"/>
      <c r="T11" s="17"/>
      <c r="U11" s="17"/>
      <c r="V11" s="17"/>
      <c r="W11" s="17"/>
      <c r="X11" s="17"/>
      <c r="Y11" s="27"/>
      <c r="Z11" s="41"/>
      <c r="AA11" s="41"/>
      <c r="AB11" s="41"/>
      <c r="AC11" s="41"/>
      <c r="AD11" s="41"/>
    </row>
    <row r="12" spans="1:30" x14ac:dyDescent="0.25">
      <c r="A12" s="25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27"/>
      <c r="Z12" s="41"/>
      <c r="AA12" s="41"/>
      <c r="AB12" s="41"/>
      <c r="AC12" s="41"/>
      <c r="AD12" s="41"/>
    </row>
    <row r="13" spans="1:30" x14ac:dyDescent="0.25">
      <c r="A13" s="25"/>
      <c r="B13" s="17"/>
      <c r="C13" s="17"/>
      <c r="D13" s="17"/>
      <c r="E13" s="17"/>
      <c r="F13" s="17"/>
      <c r="G13" s="17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27"/>
      <c r="Z13" s="41"/>
      <c r="AA13" s="41"/>
      <c r="AB13" s="41"/>
      <c r="AC13" s="41"/>
      <c r="AD13" s="41"/>
    </row>
    <row r="14" spans="1:30" x14ac:dyDescent="0.25">
      <c r="A14" s="25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27"/>
      <c r="Z14" s="41"/>
      <c r="AA14" s="41"/>
      <c r="AB14" s="41"/>
      <c r="AC14" s="41"/>
      <c r="AD14" s="41"/>
    </row>
    <row r="15" spans="1:30" x14ac:dyDescent="0.25">
      <c r="A15" s="25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21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27"/>
      <c r="Z15" s="41"/>
      <c r="AA15" s="41"/>
      <c r="AB15" s="41"/>
      <c r="AC15" s="41"/>
      <c r="AD15" s="41"/>
    </row>
    <row r="16" spans="1:30" x14ac:dyDescent="0.25">
      <c r="A16" s="25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27"/>
      <c r="Z16" s="41"/>
      <c r="AA16" s="41"/>
      <c r="AB16" s="41"/>
      <c r="AC16" s="41"/>
      <c r="AD16" s="41"/>
    </row>
    <row r="17" spans="1:30" x14ac:dyDescent="0.25">
      <c r="A17" s="25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27"/>
      <c r="Z17" s="41"/>
      <c r="AA17" s="41"/>
      <c r="AB17" s="41"/>
      <c r="AC17" s="41"/>
      <c r="AD17" s="41"/>
    </row>
    <row r="18" spans="1:30" x14ac:dyDescent="0.25">
      <c r="A18" s="25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27"/>
      <c r="Z18" s="41"/>
      <c r="AA18" s="41"/>
      <c r="AB18" s="41"/>
      <c r="AC18" s="41"/>
      <c r="AD18" s="41"/>
    </row>
    <row r="19" spans="1:30" x14ac:dyDescent="0.25">
      <c r="A19" s="25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27"/>
      <c r="Z19" s="41"/>
      <c r="AA19" s="41"/>
      <c r="AB19" s="41"/>
      <c r="AC19" s="41"/>
      <c r="AD19" s="41"/>
    </row>
    <row r="20" spans="1:30" x14ac:dyDescent="0.25">
      <c r="A20" s="25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27"/>
      <c r="Z20" s="41"/>
      <c r="AA20" s="41"/>
      <c r="AB20" s="41"/>
      <c r="AC20" s="41"/>
      <c r="AD20" s="41"/>
    </row>
    <row r="21" spans="1:30" x14ac:dyDescent="0.25">
      <c r="A21" s="2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27"/>
      <c r="Z21" s="41"/>
      <c r="AA21" s="41"/>
      <c r="AB21" s="41"/>
      <c r="AC21" s="41"/>
      <c r="AD21" s="41"/>
    </row>
    <row r="22" spans="1:30" x14ac:dyDescent="0.25">
      <c r="A22" s="2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27"/>
      <c r="Z22" s="41"/>
      <c r="AA22" s="41"/>
      <c r="AB22" s="41"/>
      <c r="AC22" s="41"/>
      <c r="AD22" s="41"/>
    </row>
    <row r="23" spans="1:30" x14ac:dyDescent="0.25">
      <c r="A23" s="2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27"/>
      <c r="Z23" s="41"/>
      <c r="AA23" s="41"/>
      <c r="AB23" s="41"/>
      <c r="AC23" s="41"/>
      <c r="AD23" s="41"/>
    </row>
    <row r="24" spans="1:30" x14ac:dyDescent="0.25">
      <c r="A24" s="2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27"/>
      <c r="Z24" s="41"/>
      <c r="AA24" s="41"/>
      <c r="AB24" s="41"/>
      <c r="AC24" s="41"/>
      <c r="AD24" s="41"/>
    </row>
    <row r="25" spans="1:30" x14ac:dyDescent="0.25">
      <c r="A25" s="25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27"/>
      <c r="Z25" s="41"/>
      <c r="AA25" s="41"/>
      <c r="AB25" s="41"/>
      <c r="AC25" s="41"/>
      <c r="AD25" s="41"/>
    </row>
    <row r="26" spans="1:30" x14ac:dyDescent="0.25">
      <c r="A26" s="2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27"/>
      <c r="Z26" s="41"/>
      <c r="AA26" s="41"/>
      <c r="AB26" s="41"/>
      <c r="AC26" s="41"/>
      <c r="AD26" s="41"/>
    </row>
    <row r="27" spans="1:30" x14ac:dyDescent="0.25">
      <c r="A27" s="2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27"/>
      <c r="Z27" s="41"/>
      <c r="AA27" s="41"/>
      <c r="AB27" s="41"/>
      <c r="AC27" s="41"/>
      <c r="AD27" s="41"/>
    </row>
    <row r="28" spans="1:30" x14ac:dyDescent="0.25">
      <c r="A28" s="25"/>
      <c r="B28" s="17"/>
      <c r="C28" s="17"/>
      <c r="D28" s="20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27"/>
      <c r="Z28" s="41"/>
      <c r="AA28" s="41"/>
      <c r="AB28" s="41"/>
      <c r="AC28" s="41"/>
      <c r="AD28" s="41"/>
    </row>
    <row r="29" spans="1:30" x14ac:dyDescent="0.25">
      <c r="A29" s="25"/>
      <c r="B29" s="17"/>
      <c r="C29" s="17"/>
      <c r="D29" s="17"/>
      <c r="E29" s="17"/>
      <c r="F29" s="20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27"/>
      <c r="Z29" s="41"/>
      <c r="AA29" s="41"/>
      <c r="AB29" s="41"/>
      <c r="AC29" s="41"/>
      <c r="AD29" s="41"/>
    </row>
    <row r="30" spans="1:30" x14ac:dyDescent="0.25">
      <c r="A30" s="25"/>
      <c r="B30" s="17"/>
      <c r="C30" s="17"/>
      <c r="D30" s="17"/>
      <c r="E30" s="17"/>
      <c r="F30" s="21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27"/>
      <c r="Z30" s="41"/>
      <c r="AA30" s="41"/>
      <c r="AB30" s="41"/>
      <c r="AC30" s="41"/>
      <c r="AD30" s="41"/>
    </row>
    <row r="31" spans="1:30" x14ac:dyDescent="0.25">
      <c r="A31" s="25"/>
      <c r="B31" s="17"/>
      <c r="C31" s="17"/>
      <c r="D31" s="17"/>
      <c r="E31" s="20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27"/>
      <c r="Z31" s="41"/>
      <c r="AA31" s="41"/>
      <c r="AB31" s="41"/>
      <c r="AC31" s="41"/>
      <c r="AD31" s="41"/>
    </row>
    <row r="32" spans="1:30" x14ac:dyDescent="0.25">
      <c r="A32" s="2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27"/>
      <c r="Z32" s="41"/>
      <c r="AA32" s="41"/>
      <c r="AB32" s="41"/>
      <c r="AC32" s="41"/>
      <c r="AD32" s="41"/>
    </row>
    <row r="33" spans="1:30" x14ac:dyDescent="0.25">
      <c r="A33" s="25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27"/>
      <c r="Z33" s="41"/>
      <c r="AA33" s="41"/>
      <c r="AB33" s="41"/>
      <c r="AC33" s="41"/>
      <c r="AD33" s="41"/>
    </row>
    <row r="34" spans="1:30" x14ac:dyDescent="0.25">
      <c r="A34" s="2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27"/>
      <c r="Z34" s="41"/>
      <c r="AA34" s="41"/>
      <c r="AB34" s="41"/>
      <c r="AC34" s="41"/>
      <c r="AD34" s="41"/>
    </row>
    <row r="35" spans="1:30" x14ac:dyDescent="0.25">
      <c r="A35" s="2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27"/>
      <c r="Z35" s="41"/>
      <c r="AA35" s="41"/>
      <c r="AB35" s="41"/>
      <c r="AC35" s="41"/>
      <c r="AD35" s="41"/>
    </row>
    <row r="36" spans="1:30" x14ac:dyDescent="0.25">
      <c r="A36" s="25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27"/>
      <c r="Z36" s="41"/>
      <c r="AA36" s="41"/>
      <c r="AB36" s="41"/>
      <c r="AC36" s="41"/>
      <c r="AD36" s="41"/>
    </row>
    <row r="37" spans="1:30" x14ac:dyDescent="0.25">
      <c r="A37" s="25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27"/>
      <c r="Z37" s="41"/>
      <c r="AA37" s="41"/>
      <c r="AB37" s="41"/>
      <c r="AC37" s="41"/>
      <c r="AD37" s="41"/>
    </row>
    <row r="38" spans="1:30" x14ac:dyDescent="0.25">
      <c r="A38" s="2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27"/>
      <c r="Z38" s="41"/>
      <c r="AA38" s="41"/>
      <c r="AB38" s="41"/>
      <c r="AC38" s="41"/>
      <c r="AD38" s="41"/>
    </row>
    <row r="39" spans="1:30" x14ac:dyDescent="0.25">
      <c r="A39" s="25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27"/>
      <c r="Z39" s="41"/>
      <c r="AA39" s="41"/>
      <c r="AB39" s="41"/>
      <c r="AC39" s="41"/>
      <c r="AD39" s="41"/>
    </row>
    <row r="40" spans="1:30" x14ac:dyDescent="0.25">
      <c r="A40" s="25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27"/>
      <c r="Z40" s="41"/>
      <c r="AA40" s="41"/>
      <c r="AB40" s="41"/>
      <c r="AC40" s="41"/>
      <c r="AD40" s="41"/>
    </row>
    <row r="41" spans="1:30" x14ac:dyDescent="0.25">
      <c r="A41" s="25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27"/>
      <c r="Z41" s="41"/>
      <c r="AA41" s="41"/>
      <c r="AB41" s="41"/>
      <c r="AC41" s="41"/>
      <c r="AD41" s="41"/>
    </row>
    <row r="42" spans="1:30" x14ac:dyDescent="0.25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1"/>
      <c r="Z42" s="41"/>
      <c r="AA42" s="41"/>
      <c r="AB42" s="41"/>
      <c r="AC42" s="41"/>
      <c r="AD42" s="41"/>
    </row>
    <row r="43" spans="1:30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</row>
    <row r="44" spans="1:30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</row>
    <row r="45" spans="1:30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</row>
    <row r="46" spans="1:30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</row>
    <row r="47" spans="1:30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</row>
    <row r="48" spans="1:30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</row>
    <row r="49" spans="1:30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</row>
    <row r="50" spans="1:30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</row>
    <row r="51" spans="1:30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</row>
  </sheetData>
  <mergeCells count="7">
    <mergeCell ref="R5:R6"/>
    <mergeCell ref="U5:U6"/>
    <mergeCell ref="C5:C6"/>
    <mergeCell ref="F5:F6"/>
    <mergeCell ref="I5:I6"/>
    <mergeCell ref="L5:L6"/>
    <mergeCell ref="O5:O6"/>
  </mergeCells>
  <conditionalFormatting sqref="D6">
    <cfRule type="expression" dxfId="4" priority="7">
      <formula>D6&gt;0</formula>
    </cfRule>
  </conditionalFormatting>
  <conditionalFormatting sqref="G6">
    <cfRule type="expression" dxfId="3" priority="10">
      <formula>G6&lt;0</formula>
    </cfRule>
    <cfRule type="expression" dxfId="2" priority="11">
      <formula>G6&gt;0</formula>
    </cfRule>
  </conditionalFormatting>
  <conditionalFormatting sqref="V6">
    <cfRule type="expression" dxfId="1" priority="2">
      <formula>V6&lt;0</formula>
    </cfRule>
    <cfRule type="expression" dxfId="0" priority="3">
      <formula>V6&gt;0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F6C80F9E-48C9-4405-858B-D9797B2667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D28</xm:sqref>
        </x14:conditionalFormatting>
        <x14:conditionalFormatting xmlns:xm="http://schemas.microsoft.com/office/excel/2006/main">
          <x14:cfRule type="iconSet" priority="17" id="{D40A24E4-10D6-4B96-A7C6-4ACF88E5BC5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E31</xm:sqref>
        </x14:conditionalFormatting>
        <x14:conditionalFormatting xmlns:xm="http://schemas.microsoft.com/office/excel/2006/main">
          <x14:cfRule type="iconSet" priority="18" id="{DA1C94A7-7A76-4F47-B358-53A4FF94DC4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F29</xm:sqref>
        </x14:conditionalFormatting>
        <x14:conditionalFormatting xmlns:xm="http://schemas.microsoft.com/office/excel/2006/main">
          <x14:cfRule type="iconSet" priority="19" id="{8855C68C-476E-4322-88C6-88C93FEC72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F30</xm:sqref>
        </x14:conditionalFormatting>
        <x14:conditionalFormatting xmlns:xm="http://schemas.microsoft.com/office/excel/2006/main">
          <x14:cfRule type="iconSet" priority="20" id="{9A359541-6AD2-4CF5-8FBD-839D4C262AB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H13</xm:sqref>
        </x14:conditionalFormatting>
        <x14:conditionalFormatting xmlns:xm="http://schemas.microsoft.com/office/excel/2006/main">
          <x14:cfRule type="iconSet" priority="1" id="{91904502-1DAA-4FA0-A95E-C5C5AB5D37BA}">
            <x14:iconSet iconSet="3Triangles" revers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J11</xm:sqref>
        </x14:conditionalFormatting>
        <x14:conditionalFormatting xmlns:xm="http://schemas.microsoft.com/office/excel/2006/main">
          <x14:cfRule type="iconSet" priority="26" id="{95EDB78C-3AB4-4E0F-8781-8B76002DC51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L15</xm:sqref>
        </x14:conditionalFormatting>
        <x14:conditionalFormatting xmlns:xm="http://schemas.microsoft.com/office/excel/2006/main">
          <x14:cfRule type="iconSet" priority="28" id="{A244D4FC-34D9-44C7-8E25-C9C8688333AC}">
            <x14:iconSet iconSet="3Triangles" revers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M11</xm:sqref>
        </x14:conditionalFormatting>
        <x14:conditionalFormatting xmlns:xm="http://schemas.microsoft.com/office/excel/2006/main">
          <x14:cfRule type="iconSet" priority="23" id="{2FA9F507-0DE1-4083-9239-B290844E7896}">
            <x14:iconSet iconSet="3Triangles" revers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P11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Данные</vt:lpstr>
      <vt:lpstr>Годовой отчет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Даша</dc:creator>
  <cp:lastModifiedBy>Евгения Осипова</cp:lastModifiedBy>
  <cp:lastPrinted>2023-03-20T12:55:31Z</cp:lastPrinted>
  <dcterms:created xsi:type="dcterms:W3CDTF">2017-05-31T07:02:40Z</dcterms:created>
  <dcterms:modified xsi:type="dcterms:W3CDTF">2025-03-26T18:15:57Z</dcterms:modified>
</cp:coreProperties>
</file>