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deepn\Documents\Dcycle\Prueba tecnica\Para Nacho\"/>
    </mc:Choice>
  </mc:AlternateContent>
  <xr:revisionPtr revIDLastSave="0" documentId="13_ncr:1_{85D92749-9085-49B2-8E06-F4482DF7C61E}" xr6:coauthVersionLast="47" xr6:coauthVersionMax="47" xr10:uidLastSave="{00000000-0000-0000-0000-000000000000}"/>
  <bookViews>
    <workbookView xWindow="-110" yWindow="-110" windowWidth="19420" windowHeight="11500" firstSheet="2" activeTab="6" xr2:uid="{00000000-000D-0000-FFFF-FFFF00000000}"/>
  </bookViews>
  <sheets>
    <sheet name="About_Group" sheetId="1" r:id="rId1"/>
    <sheet name="data_waste" sheetId="2" r:id="rId2"/>
    <sheet name="data_invoices" sheetId="3" r:id="rId3"/>
    <sheet name="Combinadas" sheetId="4" r:id="rId4"/>
    <sheet name="KPIs" sheetId="12" r:id="rId5"/>
    <sheet name="Tablas dinamicas" sheetId="13" r:id="rId6"/>
    <sheet name="Dashboard" sheetId="14" r:id="rId7"/>
  </sheets>
  <definedNames>
    <definedName name="NativeTimeline_End1">#N/A</definedName>
    <definedName name="NativeTimeline_Start1">#N/A</definedName>
    <definedName name="Slicer_company_name1">#N/A</definedName>
    <definedName name="Slicer_Quarters__End1">#N/A</definedName>
    <definedName name="Slicer_Type1">#N/A</definedName>
  </definedNames>
  <calcPr calcId="191029"/>
  <pivotCaches>
    <pivotCache cacheId="13" r:id="rId8"/>
    <pivotCache cacheId="20" r:id="rId9"/>
    <pivotCache cacheId="27"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0" i="13" l="1"/>
  <c r="S51" i="14" s="1"/>
  <c r="D81" i="13"/>
  <c r="S52" i="14" s="1"/>
  <c r="D82" i="13"/>
  <c r="S53" i="14" s="1"/>
  <c r="D83" i="13"/>
  <c r="S54" i="14" s="1"/>
  <c r="D84" i="13"/>
  <c r="S55" i="14" s="1"/>
  <c r="D85" i="13"/>
  <c r="S56" i="14" s="1"/>
  <c r="D86" i="13"/>
  <c r="S57" i="14" s="1"/>
  <c r="D87" i="13"/>
  <c r="S58" i="14" s="1"/>
  <c r="D79" i="13"/>
  <c r="M524" i="4"/>
  <c r="M514" i="4"/>
  <c r="M519" i="4"/>
  <c r="M50"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J438" i="4"/>
  <c r="J190" i="4"/>
  <c r="J460" i="4"/>
  <c r="J461" i="4"/>
  <c r="J462" i="4"/>
  <c r="J463" i="4"/>
  <c r="J464" i="4"/>
  <c r="J208" i="4"/>
  <c r="J447" i="4"/>
  <c r="J200" i="4"/>
  <c r="J230" i="4"/>
  <c r="J448" i="4"/>
  <c r="J236" i="4"/>
  <c r="J439" i="4"/>
  <c r="J209" i="4"/>
  <c r="J224" i="4"/>
  <c r="J465" i="4"/>
  <c r="J466" i="4"/>
  <c r="J214" i="4"/>
  <c r="J455" i="4"/>
  <c r="J449" i="4"/>
  <c r="J201" i="4"/>
  <c r="J237" i="4"/>
  <c r="J205" i="4"/>
  <c r="J440" i="4"/>
  <c r="J202" i="4"/>
  <c r="J231" i="4"/>
  <c r="J225" i="4"/>
  <c r="J467" i="4"/>
  <c r="J470" i="4"/>
  <c r="J452" i="4"/>
  <c r="J215" i="4"/>
  <c r="J191" i="4"/>
  <c r="J192" i="4"/>
  <c r="J193" i="4"/>
  <c r="J127" i="4"/>
  <c r="J524" i="4"/>
  <c r="J514" i="4"/>
  <c r="J128" i="4"/>
  <c r="J515" i="4"/>
  <c r="J129" i="4"/>
  <c r="J516" i="4"/>
  <c r="J517" i="4"/>
  <c r="J130" i="4"/>
  <c r="J131" i="4"/>
  <c r="J518" i="4"/>
  <c r="J132" i="4"/>
  <c r="J519" i="4"/>
  <c r="J133" i="4"/>
  <c r="J99" i="4"/>
  <c r="J520" i="4"/>
  <c r="J521" i="4"/>
  <c r="J90" i="4"/>
  <c r="J477" i="4"/>
  <c r="J134" i="4"/>
  <c r="J500" i="4"/>
  <c r="J522" i="4"/>
  <c r="J135" i="4"/>
  <c r="J78" i="4"/>
  <c r="J100" i="4"/>
  <c r="J114" i="4"/>
  <c r="J79" i="4"/>
  <c r="J62" i="4"/>
  <c r="J63" i="4"/>
  <c r="J115" i="4"/>
  <c r="J80" i="4"/>
  <c r="J101" i="4"/>
  <c r="J523" i="4"/>
  <c r="J487" i="4"/>
  <c r="J149" i="4"/>
  <c r="J64" i="4"/>
  <c r="J50" i="4"/>
  <c r="J478" i="4"/>
  <c r="J488" i="4"/>
  <c r="J51" i="4"/>
  <c r="J501" i="4"/>
  <c r="J52" i="4"/>
  <c r="J502" i="4"/>
  <c r="J150" i="4"/>
  <c r="J489" i="4"/>
  <c r="J53" i="4"/>
  <c r="J136" i="4"/>
  <c r="J116" i="4"/>
  <c r="J81" i="4"/>
  <c r="J503" i="4"/>
  <c r="J117" i="4"/>
  <c r="J490"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437" i="4"/>
  <c r="L438" i="4"/>
  <c r="M438" i="4" s="1"/>
  <c r="L190" i="4"/>
  <c r="M190" i="4" s="1"/>
  <c r="L460" i="4"/>
  <c r="M460" i="4" s="1"/>
  <c r="L461" i="4"/>
  <c r="M461" i="4" s="1"/>
  <c r="L462" i="4"/>
  <c r="M462" i="4" s="1"/>
  <c r="L463" i="4"/>
  <c r="M463" i="4" s="1"/>
  <c r="L464" i="4"/>
  <c r="M464" i="4" s="1"/>
  <c r="L208" i="4"/>
  <c r="M208" i="4" s="1"/>
  <c r="L447" i="4"/>
  <c r="M447" i="4" s="1"/>
  <c r="L200" i="4"/>
  <c r="M200" i="4" s="1"/>
  <c r="L230" i="4"/>
  <c r="M230" i="4" s="1"/>
  <c r="L448" i="4"/>
  <c r="M448" i="4" s="1"/>
  <c r="L236" i="4"/>
  <c r="M236" i="4" s="1"/>
  <c r="L439" i="4"/>
  <c r="M439" i="4" s="1"/>
  <c r="L209" i="4"/>
  <c r="M209" i="4" s="1"/>
  <c r="L224" i="4"/>
  <c r="M224" i="4" s="1"/>
  <c r="L465" i="4"/>
  <c r="M465" i="4" s="1"/>
  <c r="L466" i="4"/>
  <c r="M466" i="4" s="1"/>
  <c r="L214" i="4"/>
  <c r="M214" i="4" s="1"/>
  <c r="L455" i="4"/>
  <c r="M455" i="4" s="1"/>
  <c r="L449" i="4"/>
  <c r="M449" i="4" s="1"/>
  <c r="L201" i="4"/>
  <c r="M201" i="4" s="1"/>
  <c r="L237" i="4"/>
  <c r="M237" i="4" s="1"/>
  <c r="L205" i="4"/>
  <c r="M205" i="4" s="1"/>
  <c r="L440" i="4"/>
  <c r="M440" i="4" s="1"/>
  <c r="L202" i="4"/>
  <c r="M202" i="4" s="1"/>
  <c r="L231" i="4"/>
  <c r="M231" i="4" s="1"/>
  <c r="L225" i="4"/>
  <c r="M225" i="4" s="1"/>
  <c r="L467" i="4"/>
  <c r="M467" i="4" s="1"/>
  <c r="L470" i="4"/>
  <c r="M470" i="4" s="1"/>
  <c r="L452" i="4"/>
  <c r="M452" i="4" s="1"/>
  <c r="L215" i="4"/>
  <c r="M215" i="4" s="1"/>
  <c r="L191" i="4"/>
  <c r="M191" i="4" s="1"/>
  <c r="L192" i="4"/>
  <c r="M192" i="4" s="1"/>
  <c r="L193" i="4"/>
  <c r="M193" i="4" s="1"/>
  <c r="L127" i="4"/>
  <c r="M127" i="4" s="1"/>
  <c r="L524" i="4"/>
  <c r="L514" i="4"/>
  <c r="L128" i="4"/>
  <c r="M128" i="4" s="1"/>
  <c r="L515" i="4"/>
  <c r="M515" i="4" s="1"/>
  <c r="L129" i="4"/>
  <c r="M129" i="4" s="1"/>
  <c r="L516" i="4"/>
  <c r="M516" i="4" s="1"/>
  <c r="L517" i="4"/>
  <c r="M517" i="4" s="1"/>
  <c r="L130" i="4"/>
  <c r="M130" i="4" s="1"/>
  <c r="L131" i="4"/>
  <c r="M131" i="4" s="1"/>
  <c r="L518" i="4"/>
  <c r="M518" i="4" s="1"/>
  <c r="L132" i="4"/>
  <c r="M132" i="4" s="1"/>
  <c r="L519" i="4"/>
  <c r="L133" i="4"/>
  <c r="M133" i="4" s="1"/>
  <c r="L99" i="4"/>
  <c r="M99" i="4" s="1"/>
  <c r="L520" i="4"/>
  <c r="M520" i="4" s="1"/>
  <c r="L521" i="4"/>
  <c r="M521" i="4" s="1"/>
  <c r="L90" i="4"/>
  <c r="M90" i="4" s="1"/>
  <c r="L477" i="4"/>
  <c r="M477" i="4" s="1"/>
  <c r="L134" i="4"/>
  <c r="M134" i="4" s="1"/>
  <c r="L500" i="4"/>
  <c r="M500" i="4" s="1"/>
  <c r="L522" i="4"/>
  <c r="M522" i="4" s="1"/>
  <c r="L135" i="4"/>
  <c r="M135" i="4" s="1"/>
  <c r="L78" i="4"/>
  <c r="M78" i="4" s="1"/>
  <c r="L100" i="4"/>
  <c r="M100" i="4" s="1"/>
  <c r="L114" i="4"/>
  <c r="M114" i="4" s="1"/>
  <c r="L79" i="4"/>
  <c r="M79" i="4" s="1"/>
  <c r="L62" i="4"/>
  <c r="M62" i="4" s="1"/>
  <c r="L63" i="4"/>
  <c r="M63" i="4" s="1"/>
  <c r="L115" i="4"/>
  <c r="M115" i="4" s="1"/>
  <c r="L80" i="4"/>
  <c r="M80" i="4" s="1"/>
  <c r="L101" i="4"/>
  <c r="M101" i="4" s="1"/>
  <c r="L523" i="4"/>
  <c r="M523" i="4" s="1"/>
  <c r="L487" i="4"/>
  <c r="M487" i="4" s="1"/>
  <c r="L149" i="4"/>
  <c r="M149" i="4" s="1"/>
  <c r="L64" i="4"/>
  <c r="M64" i="4" s="1"/>
  <c r="L50" i="4"/>
  <c r="L478" i="4"/>
  <c r="M478" i="4" s="1"/>
  <c r="L488" i="4"/>
  <c r="M488" i="4" s="1"/>
  <c r="L51" i="4"/>
  <c r="M51" i="4" s="1"/>
  <c r="L501" i="4"/>
  <c r="M501" i="4" s="1"/>
  <c r="L52" i="4"/>
  <c r="M52" i="4" s="1"/>
  <c r="L502" i="4"/>
  <c r="M502" i="4" s="1"/>
  <c r="L150" i="4"/>
  <c r="M150" i="4" s="1"/>
  <c r="L489" i="4"/>
  <c r="M489" i="4" s="1"/>
  <c r="L53" i="4"/>
  <c r="M53" i="4" s="1"/>
  <c r="L136" i="4"/>
  <c r="M136" i="4" s="1"/>
  <c r="L116" i="4"/>
  <c r="M116" i="4" s="1"/>
  <c r="L81" i="4"/>
  <c r="M81" i="4" s="1"/>
  <c r="L503" i="4"/>
  <c r="M503" i="4" s="1"/>
  <c r="L117" i="4"/>
  <c r="M117" i="4" s="1"/>
  <c r="L490" i="4"/>
  <c r="M490" i="4" s="1"/>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E87" i="13"/>
  <c r="E86" i="13"/>
  <c r="E85" i="13"/>
  <c r="E84" i="13"/>
  <c r="E82" i="13"/>
  <c r="E80" i="13"/>
  <c r="E79" i="13"/>
  <c r="E83" i="13"/>
  <c r="E81" i="13"/>
  <c r="T53" i="14" l="1"/>
  <c r="T52" i="14"/>
  <c r="T54" i="14"/>
  <c r="T50" i="14"/>
  <c r="T51" i="14"/>
  <c r="T55" i="14"/>
  <c r="T56" i="14"/>
  <c r="T57" i="14"/>
  <c r="T58" i="14"/>
  <c r="F79" i="13" a="1"/>
  <c r="F79" i="13" s="1"/>
  <c r="H79" i="13" s="1"/>
  <c r="G79" i="13" a="1"/>
  <c r="G79" i="13" s="1"/>
  <c r="I79" i="13" s="1"/>
  <c r="S50" i="14"/>
  <c r="U50" i="14" s="1" a="1"/>
  <c r="U50" i="14" s="1"/>
  <c r="W50" i="14" s="1"/>
  <c r="L437" i="4"/>
  <c r="M437" i="4" s="1"/>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V50" i="14" l="1" a="1"/>
  <c r="V50" i="14" s="1"/>
  <c r="X50" i="14" s="1"/>
  <c r="H83" i="13"/>
  <c r="H80" i="13"/>
  <c r="I84" i="13"/>
  <c r="I80" i="13"/>
  <c r="H87" i="13"/>
  <c r="H86" i="13"/>
  <c r="H85" i="13"/>
  <c r="I87" i="13"/>
  <c r="I83" i="13"/>
  <c r="H84" i="13"/>
  <c r="I81" i="13"/>
  <c r="I86" i="13"/>
  <c r="H82" i="13"/>
  <c r="H81" i="13"/>
  <c r="I85" i="13"/>
  <c r="I82" i="13"/>
  <c r="W51" i="14"/>
  <c r="W52" i="14"/>
  <c r="W57" i="14"/>
  <c r="W54" i="14"/>
  <c r="W58" i="14"/>
  <c r="W56" i="14"/>
  <c r="W53" i="14"/>
  <c r="W55" i="14"/>
  <c r="I7" i="4"/>
  <c r="I42" i="4"/>
  <c r="I55" i="4"/>
  <c r="I70" i="4"/>
  <c r="I83" i="4"/>
  <c r="I92" i="4"/>
  <c r="I106" i="4"/>
  <c r="I119" i="4"/>
  <c r="I144" i="4"/>
  <c r="I153" i="4"/>
  <c r="I479" i="4"/>
  <c r="I493" i="4"/>
  <c r="I506" i="4"/>
  <c r="I34" i="4"/>
  <c r="I41" i="4"/>
  <c r="I75" i="4"/>
  <c r="I91" i="4"/>
  <c r="I118" i="4"/>
  <c r="I151" i="4"/>
  <c r="I492" i="4"/>
  <c r="I13" i="4"/>
  <c r="I43" i="4"/>
  <c r="I47" i="4"/>
  <c r="I56" i="4"/>
  <c r="I60" i="4"/>
  <c r="I71" i="4"/>
  <c r="I76" i="4"/>
  <c r="I84" i="4"/>
  <c r="I88" i="4"/>
  <c r="I93" i="4"/>
  <c r="I97" i="4"/>
  <c r="I107" i="4"/>
  <c r="I111" i="4"/>
  <c r="I120" i="4"/>
  <c r="I124" i="4"/>
  <c r="I141" i="4"/>
  <c r="I145" i="4"/>
  <c r="I154" i="4"/>
  <c r="I155" i="4"/>
  <c r="I480" i="4"/>
  <c r="I481" i="4"/>
  <c r="I494" i="4"/>
  <c r="I495" i="4"/>
  <c r="I507" i="4"/>
  <c r="I508" i="4"/>
  <c r="I8" i="4"/>
  <c r="I12" i="4"/>
  <c r="I19" i="4"/>
  <c r="I20" i="4"/>
  <c r="I21" i="4"/>
  <c r="I25" i="4"/>
  <c r="I26" i="4"/>
  <c r="I27" i="4"/>
  <c r="I32" i="4"/>
  <c r="I33" i="4"/>
  <c r="I35" i="4"/>
  <c r="I40" i="4"/>
  <c r="I48" i="4"/>
  <c r="I61" i="4"/>
  <c r="I77" i="4"/>
  <c r="I89" i="4"/>
  <c r="I98" i="4"/>
  <c r="I112" i="4"/>
  <c r="I125" i="4"/>
  <c r="I146" i="4"/>
  <c r="I156" i="4"/>
  <c r="I482" i="4"/>
  <c r="I504" i="4"/>
  <c r="I509" i="4"/>
  <c r="I3" i="4"/>
  <c r="I14" i="4"/>
  <c r="I22" i="4"/>
  <c r="I28" i="4"/>
  <c r="I36" i="4"/>
  <c r="I65" i="4"/>
  <c r="I102" i="4"/>
  <c r="I137" i="4"/>
  <c r="I9" i="4"/>
  <c r="I44" i="4"/>
  <c r="I45" i="4"/>
  <c r="I57" i="4"/>
  <c r="I58" i="4"/>
  <c r="I72" i="4"/>
  <c r="I73" i="4"/>
  <c r="I85" i="4"/>
  <c r="I86" i="4"/>
  <c r="I94" i="4"/>
  <c r="I95" i="4"/>
  <c r="I108" i="4"/>
  <c r="I109" i="4"/>
  <c r="I113" i="4"/>
  <c r="I121" i="4"/>
  <c r="I122" i="4"/>
  <c r="I126" i="4"/>
  <c r="I142" i="4"/>
  <c r="I143" i="4"/>
  <c r="I147" i="4"/>
  <c r="I152" i="4"/>
  <c r="I473" i="4"/>
  <c r="I474" i="4"/>
  <c r="I475" i="4"/>
  <c r="I483" i="4"/>
  <c r="I484" i="4"/>
  <c r="I485" i="4"/>
  <c r="I496" i="4"/>
  <c r="I497" i="4"/>
  <c r="I498" i="4"/>
  <c r="I510" i="4"/>
  <c r="I511" i="4"/>
  <c r="I512" i="4"/>
  <c r="I10" i="4"/>
  <c r="I54" i="4"/>
  <c r="I69" i="4"/>
  <c r="I82" i="4"/>
  <c r="I491" i="4"/>
  <c r="I505" i="4"/>
  <c r="I2" i="4"/>
  <c r="I4" i="4"/>
  <c r="I5" i="4"/>
  <c r="I15" i="4"/>
  <c r="I16" i="4"/>
  <c r="I17" i="4"/>
  <c r="I18" i="4"/>
  <c r="I23" i="4"/>
  <c r="I24" i="4"/>
  <c r="I29" i="4"/>
  <c r="I30" i="4"/>
  <c r="I31" i="4"/>
  <c r="I37" i="4"/>
  <c r="I38" i="4"/>
  <c r="I39" i="4"/>
  <c r="I66" i="4"/>
  <c r="I67" i="4"/>
  <c r="I68" i="4"/>
  <c r="I103" i="4"/>
  <c r="I104" i="4"/>
  <c r="I105" i="4"/>
  <c r="I138" i="4"/>
  <c r="I139" i="4"/>
  <c r="I140" i="4"/>
  <c r="I6" i="4"/>
  <c r="I46" i="4"/>
  <c r="I59" i="4"/>
  <c r="I74" i="4"/>
  <c r="I87" i="4"/>
  <c r="I96" i="4"/>
  <c r="I110" i="4"/>
  <c r="I123" i="4"/>
  <c r="I148" i="4"/>
  <c r="I476" i="4"/>
  <c r="I486" i="4"/>
  <c r="I499" i="4"/>
  <c r="I513" i="4"/>
  <c r="I11" i="4"/>
  <c r="I49"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96" i="4"/>
  <c r="I203" i="4"/>
  <c r="I210" i="4"/>
  <c r="I216" i="4"/>
  <c r="I220" i="4"/>
  <c r="I226" i="4"/>
  <c r="I232" i="4"/>
  <c r="I238" i="4"/>
  <c r="I441" i="4"/>
  <c r="I450" i="4"/>
  <c r="I456" i="4"/>
  <c r="I468" i="4"/>
  <c r="I471" i="4"/>
  <c r="I240" i="4"/>
  <c r="I443" i="4"/>
  <c r="I444" i="4"/>
  <c r="I189" i="4"/>
  <c r="I198" i="4"/>
  <c r="I206" i="4"/>
  <c r="I212" i="4"/>
  <c r="I218" i="4"/>
  <c r="I222" i="4"/>
  <c r="I228" i="4"/>
  <c r="I234" i="4"/>
  <c r="I241" i="4"/>
  <c r="I445" i="4"/>
  <c r="I453" i="4"/>
  <c r="I458" i="4"/>
  <c r="I197" i="4"/>
  <c r="I204" i="4"/>
  <c r="I211" i="4"/>
  <c r="I217" i="4"/>
  <c r="I221" i="4"/>
  <c r="I227" i="4"/>
  <c r="I233" i="4"/>
  <c r="I239" i="4"/>
  <c r="I442" i="4"/>
  <c r="I451" i="4"/>
  <c r="I457" i="4"/>
  <c r="I469" i="4"/>
  <c r="I472" i="4"/>
  <c r="I194" i="4"/>
  <c r="I195" i="4"/>
  <c r="I199" i="4"/>
  <c r="I207" i="4"/>
  <c r="I213" i="4"/>
  <c r="I219" i="4"/>
  <c r="I223" i="4"/>
  <c r="I229" i="4"/>
  <c r="I235" i="4"/>
  <c r="I242" i="4"/>
  <c r="I446" i="4"/>
  <c r="I454" i="4"/>
  <c r="I459"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190" i="4"/>
  <c r="I460" i="4"/>
  <c r="I461" i="4"/>
  <c r="I462" i="4"/>
  <c r="I463" i="4"/>
  <c r="I464" i="4"/>
  <c r="I208" i="4"/>
  <c r="I447" i="4"/>
  <c r="I200" i="4"/>
  <c r="I230" i="4"/>
  <c r="I448" i="4"/>
  <c r="I236" i="4"/>
  <c r="I439" i="4"/>
  <c r="I209" i="4"/>
  <c r="I224" i="4"/>
  <c r="I465" i="4"/>
  <c r="I466" i="4"/>
  <c r="I214" i="4"/>
  <c r="I455" i="4"/>
  <c r="I449" i="4"/>
  <c r="I201" i="4"/>
  <c r="I237" i="4"/>
  <c r="I205" i="4"/>
  <c r="I440" i="4"/>
  <c r="I202" i="4"/>
  <c r="I231" i="4"/>
  <c r="I225" i="4"/>
  <c r="I467" i="4"/>
  <c r="I470" i="4"/>
  <c r="I452" i="4"/>
  <c r="I215" i="4"/>
  <c r="I191" i="4"/>
  <c r="I192" i="4"/>
  <c r="I193" i="4"/>
  <c r="I127" i="4"/>
  <c r="I524" i="4"/>
  <c r="I514" i="4"/>
  <c r="I128" i="4"/>
  <c r="I515" i="4"/>
  <c r="I129" i="4"/>
  <c r="I516" i="4"/>
  <c r="I517" i="4"/>
  <c r="I130" i="4"/>
  <c r="I131" i="4"/>
  <c r="I518" i="4"/>
  <c r="I132" i="4"/>
  <c r="I519" i="4"/>
  <c r="I133" i="4"/>
  <c r="I99" i="4"/>
  <c r="I520" i="4"/>
  <c r="I521" i="4"/>
  <c r="I90" i="4"/>
  <c r="I477" i="4"/>
  <c r="I134" i="4"/>
  <c r="I500" i="4"/>
  <c r="I522" i="4"/>
  <c r="I135" i="4"/>
  <c r="I78" i="4"/>
  <c r="I100" i="4"/>
  <c r="I114" i="4"/>
  <c r="I79" i="4"/>
  <c r="I62" i="4"/>
  <c r="I63" i="4"/>
  <c r="I115" i="4"/>
  <c r="I80" i="4"/>
  <c r="I101" i="4"/>
  <c r="I523" i="4"/>
  <c r="I487" i="4"/>
  <c r="I149" i="4"/>
  <c r="I64" i="4"/>
  <c r="I50" i="4"/>
  <c r="I478" i="4"/>
  <c r="I488" i="4"/>
  <c r="I51" i="4"/>
  <c r="I501" i="4"/>
  <c r="I52" i="4"/>
  <c r="I502" i="4"/>
  <c r="I150" i="4"/>
  <c r="I489" i="4"/>
  <c r="I53" i="4"/>
  <c r="I136" i="4"/>
  <c r="I116" i="4"/>
  <c r="I81" i="4"/>
  <c r="I503" i="4"/>
  <c r="I117" i="4"/>
  <c r="I490"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K75" i="12"/>
  <c r="K76" i="12"/>
  <c r="K73" i="12"/>
  <c r="K74" i="12"/>
  <c r="X56" i="14" l="1"/>
  <c r="X53" i="14"/>
  <c r="X58" i="14"/>
  <c r="X54" i="14"/>
  <c r="X51" i="14"/>
  <c r="X55" i="14"/>
  <c r="X57" i="14"/>
  <c r="X52" i="14"/>
  <c r="J313" i="4"/>
  <c r="K313" i="4" s="1"/>
  <c r="M313" i="4" s="1"/>
  <c r="J177" i="4"/>
  <c r="J404" i="4"/>
  <c r="J368" i="4"/>
  <c r="J320" i="4"/>
  <c r="J248" i="4"/>
  <c r="J428" i="4"/>
  <c r="J308" i="4"/>
  <c r="J272" i="4"/>
  <c r="J260" i="4"/>
  <c r="J361" i="4"/>
  <c r="J432" i="4"/>
  <c r="J369" i="4"/>
  <c r="J416" i="4"/>
  <c r="J380" i="4"/>
  <c r="J344" i="4"/>
  <c r="J296" i="4"/>
  <c r="J252" i="4"/>
  <c r="J168" i="4"/>
  <c r="J510" i="4"/>
  <c r="J392" i="4"/>
  <c r="J356" i="4"/>
  <c r="J332" i="4"/>
  <c r="J284" i="4"/>
  <c r="J431" i="4"/>
  <c r="J311" i="4"/>
  <c r="J47" i="4"/>
  <c r="J111" i="4"/>
  <c r="J223" i="4"/>
  <c r="J176" i="4"/>
  <c r="J139" i="4"/>
  <c r="J482" i="4"/>
  <c r="J97" i="4"/>
  <c r="J229" i="4"/>
  <c r="J427" i="4"/>
  <c r="J367" i="4"/>
  <c r="J319" i="4"/>
  <c r="J247" i="4"/>
  <c r="J175" i="4"/>
  <c r="J436" i="4"/>
  <c r="J424" i="4"/>
  <c r="J412" i="4"/>
  <c r="J400" i="4"/>
  <c r="J388" i="4"/>
  <c r="J376" i="4"/>
  <c r="J364" i="4"/>
  <c r="J352" i="4"/>
  <c r="J340" i="4"/>
  <c r="J328" i="4"/>
  <c r="J316" i="4"/>
  <c r="J304" i="4"/>
  <c r="J292" i="4"/>
  <c r="J280" i="4"/>
  <c r="J268" i="4"/>
  <c r="J256" i="4"/>
  <c r="J244" i="4"/>
  <c r="J199" i="4"/>
  <c r="J217" i="4"/>
  <c r="J45" i="4"/>
  <c r="J408" i="4"/>
  <c r="J345" i="4"/>
  <c r="J287" i="4"/>
  <c r="J451" i="4"/>
  <c r="J59" i="4"/>
  <c r="J58" i="4"/>
  <c r="J234" i="4"/>
  <c r="J486" i="4"/>
  <c r="J484" i="4"/>
  <c r="J33" i="4"/>
  <c r="J169" i="4"/>
  <c r="J391" i="4"/>
  <c r="J343" i="4"/>
  <c r="J295" i="4"/>
  <c r="J407" i="4"/>
  <c r="J286" i="4"/>
  <c r="J444" i="4"/>
  <c r="J46" i="4"/>
  <c r="J57" i="4"/>
  <c r="J393" i="4"/>
  <c r="J337" i="4"/>
  <c r="J285" i="4"/>
  <c r="J443" i="4"/>
  <c r="J6" i="4"/>
  <c r="J61" i="4"/>
  <c r="J421" i="4"/>
  <c r="J397" i="4"/>
  <c r="J373" i="4"/>
  <c r="J349" i="4"/>
  <c r="J325" i="4"/>
  <c r="J265" i="4"/>
  <c r="J454" i="4"/>
  <c r="J197" i="4"/>
  <c r="J189" i="4"/>
  <c r="J181" i="4"/>
  <c r="J15" i="4"/>
  <c r="J143" i="4"/>
  <c r="J22" i="4"/>
  <c r="J77" i="4"/>
  <c r="J141" i="4"/>
  <c r="J336" i="4"/>
  <c r="J263" i="4"/>
  <c r="J240" i="4"/>
  <c r="J140" i="4"/>
  <c r="J48" i="4"/>
  <c r="J385" i="4"/>
  <c r="J335" i="4"/>
  <c r="J262" i="4"/>
  <c r="J471" i="4"/>
  <c r="J4" i="4"/>
  <c r="J40" i="4"/>
  <c r="J384" i="4"/>
  <c r="J321" i="4"/>
  <c r="J261" i="4"/>
  <c r="J220" i="4"/>
  <c r="J2" i="4"/>
  <c r="J35" i="4"/>
  <c r="J433" i="4"/>
  <c r="J383" i="4"/>
  <c r="J253" i="4"/>
  <c r="J178" i="4"/>
  <c r="J505" i="4"/>
  <c r="J19" i="4"/>
  <c r="J472" i="4"/>
  <c r="J121" i="4"/>
  <c r="J56" i="4"/>
  <c r="J239" i="4"/>
  <c r="J188" i="4"/>
  <c r="J30" i="4"/>
  <c r="J113" i="4"/>
  <c r="J495" i="4"/>
  <c r="J106" i="4"/>
  <c r="J498" i="4"/>
  <c r="J415" i="4"/>
  <c r="J379" i="4"/>
  <c r="J355" i="4"/>
  <c r="J283" i="4"/>
  <c r="J259" i="4"/>
  <c r="J219" i="4"/>
  <c r="J228" i="4"/>
  <c r="J187" i="4"/>
  <c r="J163" i="4"/>
  <c r="J138" i="4"/>
  <c r="J82" i="4"/>
  <c r="J109" i="4"/>
  <c r="J156" i="4"/>
  <c r="J93" i="4"/>
  <c r="J92" i="4"/>
  <c r="J426" i="4"/>
  <c r="J414" i="4"/>
  <c r="J402" i="4"/>
  <c r="J390" i="4"/>
  <c r="J378" i="4"/>
  <c r="J366" i="4"/>
  <c r="J354" i="4"/>
  <c r="J342" i="4"/>
  <c r="J330" i="4"/>
  <c r="J318" i="4"/>
  <c r="J306" i="4"/>
  <c r="J294" i="4"/>
  <c r="J282" i="4"/>
  <c r="J270" i="4"/>
  <c r="J258" i="4"/>
  <c r="J246" i="4"/>
  <c r="J213" i="4"/>
  <c r="J227" i="4"/>
  <c r="J222" i="4"/>
  <c r="J450" i="4"/>
  <c r="J186" i="4"/>
  <c r="J174" i="4"/>
  <c r="J162" i="4"/>
  <c r="J148" i="4"/>
  <c r="J105" i="4"/>
  <c r="J24" i="4"/>
  <c r="J69" i="4"/>
  <c r="J475" i="4"/>
  <c r="J108" i="4"/>
  <c r="J137" i="4"/>
  <c r="J146" i="4"/>
  <c r="J27" i="4"/>
  <c r="J481" i="4"/>
  <c r="J88" i="4"/>
  <c r="J91" i="4"/>
  <c r="J83" i="4"/>
  <c r="J360" i="4"/>
  <c r="J289" i="4"/>
  <c r="J469" i="4"/>
  <c r="J167" i="4"/>
  <c r="J73" i="4"/>
  <c r="J468" i="4"/>
  <c r="J164" i="4"/>
  <c r="J491" i="4"/>
  <c r="J44" i="4"/>
  <c r="J151" i="4"/>
  <c r="J312" i="4"/>
  <c r="J107" i="4"/>
  <c r="J403" i="4"/>
  <c r="J331" i="4"/>
  <c r="J307" i="4"/>
  <c r="J271" i="4"/>
  <c r="J233" i="4"/>
  <c r="J456" i="4"/>
  <c r="J476" i="4"/>
  <c r="J29" i="4"/>
  <c r="J483" i="4"/>
  <c r="J9" i="4"/>
  <c r="J32" i="4"/>
  <c r="J494" i="4"/>
  <c r="J118" i="4"/>
  <c r="J417" i="4"/>
  <c r="J425" i="4"/>
  <c r="J413" i="4"/>
  <c r="J401" i="4"/>
  <c r="J389" i="4"/>
  <c r="J377" i="4"/>
  <c r="J365" i="4"/>
  <c r="J353" i="4"/>
  <c r="J341" i="4"/>
  <c r="J329" i="4"/>
  <c r="J317" i="4"/>
  <c r="J305" i="4"/>
  <c r="J293" i="4"/>
  <c r="J281" i="4"/>
  <c r="J269" i="4"/>
  <c r="J257" i="4"/>
  <c r="J245" i="4"/>
  <c r="J207" i="4"/>
  <c r="J221" i="4"/>
  <c r="J218" i="4"/>
  <c r="J441" i="4"/>
  <c r="J185" i="4"/>
  <c r="J173" i="4"/>
  <c r="J161" i="4"/>
  <c r="J123" i="4"/>
  <c r="J104" i="4"/>
  <c r="J23" i="4"/>
  <c r="J54" i="4"/>
  <c r="J474" i="4"/>
  <c r="J95" i="4"/>
  <c r="J102" i="4"/>
  <c r="J125" i="4"/>
  <c r="J26" i="4"/>
  <c r="J480" i="4"/>
  <c r="J84" i="4"/>
  <c r="J75" i="4"/>
  <c r="J70" i="4"/>
  <c r="J409" i="4"/>
  <c r="J359" i="4"/>
  <c r="J288" i="4"/>
  <c r="J457" i="4"/>
  <c r="J74" i="4"/>
  <c r="J72" i="4"/>
  <c r="J43" i="4"/>
  <c r="J238" i="4"/>
  <c r="J160" i="4"/>
  <c r="J10" i="4"/>
  <c r="J25" i="4"/>
  <c r="J399" i="4"/>
  <c r="J351" i="4"/>
  <c r="J303" i="4"/>
  <c r="J267" i="4"/>
  <c r="J211" i="4"/>
  <c r="J183" i="4"/>
  <c r="J68" i="4"/>
  <c r="J36" i="4"/>
  <c r="J21" i="4"/>
  <c r="J34" i="4"/>
  <c r="J42" i="4"/>
  <c r="J429" i="4"/>
  <c r="J405" i="4"/>
  <c r="J381" i="4"/>
  <c r="J357" i="4"/>
  <c r="J333" i="4"/>
  <c r="J309" i="4"/>
  <c r="J276" i="4"/>
  <c r="J250" i="4"/>
  <c r="J210" i="4"/>
  <c r="J165" i="4"/>
  <c r="J39" i="4"/>
  <c r="J496" i="4"/>
  <c r="J8" i="4"/>
  <c r="J492" i="4"/>
  <c r="J184" i="4"/>
  <c r="J18" i="4"/>
  <c r="J65" i="4"/>
  <c r="J76" i="4"/>
  <c r="J430" i="4"/>
  <c r="J334" i="4"/>
  <c r="J251" i="4"/>
  <c r="J166" i="4"/>
  <c r="J435" i="4"/>
  <c r="J387" i="4"/>
  <c r="J315" i="4"/>
  <c r="J255" i="4"/>
  <c r="J206" i="4"/>
  <c r="J96" i="4"/>
  <c r="J152" i="4"/>
  <c r="J154" i="4"/>
  <c r="J434" i="4"/>
  <c r="J398" i="4"/>
  <c r="J350" i="4"/>
  <c r="J314" i="4"/>
  <c r="J254" i="4"/>
  <c r="J204" i="4"/>
  <c r="J170" i="4"/>
  <c r="J67" i="4"/>
  <c r="J147" i="4"/>
  <c r="J89" i="4"/>
  <c r="J145" i="4"/>
  <c r="J458" i="4"/>
  <c r="J157" i="4"/>
  <c r="J493" i="4"/>
  <c r="J300" i="4"/>
  <c r="J49" i="4"/>
  <c r="J507" i="4"/>
  <c r="J420" i="4"/>
  <c r="J396" i="4"/>
  <c r="J372" i="4"/>
  <c r="J348" i="4"/>
  <c r="J324" i="4"/>
  <c r="J299" i="4"/>
  <c r="J273" i="4"/>
  <c r="J446" i="4"/>
  <c r="J445" i="4"/>
  <c r="J11" i="4"/>
  <c r="J31" i="4"/>
  <c r="J142" i="4"/>
  <c r="J509" i="4"/>
  <c r="J153" i="4"/>
  <c r="J172" i="4"/>
  <c r="J103" i="4"/>
  <c r="J473" i="4"/>
  <c r="J112" i="4"/>
  <c r="J155" i="4"/>
  <c r="J55" i="4"/>
  <c r="J406" i="4"/>
  <c r="J358" i="4"/>
  <c r="J277" i="4"/>
  <c r="J442" i="4"/>
  <c r="J66" i="4"/>
  <c r="J13" i="4"/>
  <c r="J423" i="4"/>
  <c r="J363" i="4"/>
  <c r="J339" i="4"/>
  <c r="J291" i="4"/>
  <c r="J243" i="4"/>
  <c r="J232" i="4"/>
  <c r="J159" i="4"/>
  <c r="J512" i="4"/>
  <c r="J86" i="4"/>
  <c r="J71" i="4"/>
  <c r="J410" i="4"/>
  <c r="J386" i="4"/>
  <c r="J362" i="4"/>
  <c r="J326" i="4"/>
  <c r="J302" i="4"/>
  <c r="J278" i="4"/>
  <c r="J459" i="4"/>
  <c r="J198" i="4"/>
  <c r="J182" i="4"/>
  <c r="J158" i="4"/>
  <c r="J16" i="4"/>
  <c r="J85" i="4"/>
  <c r="J20" i="4"/>
  <c r="J60" i="4"/>
  <c r="J7" i="4"/>
  <c r="J275" i="4"/>
  <c r="J203" i="4"/>
  <c r="J485" i="4"/>
  <c r="J508" i="4"/>
  <c r="J453" i="4"/>
  <c r="J37" i="4"/>
  <c r="J3" i="4"/>
  <c r="J479" i="4"/>
  <c r="J419" i="4"/>
  <c r="J395" i="4"/>
  <c r="J371" i="4"/>
  <c r="J347" i="4"/>
  <c r="J323" i="4"/>
  <c r="J298" i="4"/>
  <c r="J242" i="4"/>
  <c r="J241" i="4"/>
  <c r="J180" i="4"/>
  <c r="J513" i="4"/>
  <c r="J126" i="4"/>
  <c r="J504" i="4"/>
  <c r="J124" i="4"/>
  <c r="J144" i="4"/>
  <c r="J212" i="4"/>
  <c r="J110" i="4"/>
  <c r="J94" i="4"/>
  <c r="J41" i="4"/>
  <c r="J382" i="4"/>
  <c r="J310" i="4"/>
  <c r="J216" i="4"/>
  <c r="J497" i="4"/>
  <c r="J12" i="4"/>
  <c r="J411" i="4"/>
  <c r="J375" i="4"/>
  <c r="J327" i="4"/>
  <c r="J279" i="4"/>
  <c r="J195" i="4"/>
  <c r="J171" i="4"/>
  <c r="J17" i="4"/>
  <c r="J98" i="4"/>
  <c r="J422" i="4"/>
  <c r="J374" i="4"/>
  <c r="J338" i="4"/>
  <c r="J290" i="4"/>
  <c r="J266" i="4"/>
  <c r="J194" i="4"/>
  <c r="J226" i="4"/>
  <c r="J87" i="4"/>
  <c r="J511" i="4"/>
  <c r="J28" i="4"/>
  <c r="J506" i="4"/>
  <c r="J301" i="4"/>
  <c r="J249" i="4"/>
  <c r="J38" i="4"/>
  <c r="J14" i="4"/>
  <c r="J274" i="4"/>
  <c r="J196" i="4"/>
  <c r="J418" i="4"/>
  <c r="J394" i="4"/>
  <c r="J370" i="4"/>
  <c r="J346" i="4"/>
  <c r="J322" i="4"/>
  <c r="J297" i="4"/>
  <c r="J264" i="4"/>
  <c r="J235" i="4"/>
  <c r="J179" i="4"/>
  <c r="J499" i="4"/>
  <c r="J5" i="4"/>
  <c r="J122" i="4"/>
  <c r="J120" i="4"/>
  <c r="J119" i="4"/>
  <c r="M60" i="12"/>
  <c r="M61" i="12"/>
  <c r="M62" i="12"/>
  <c r="M63" i="12"/>
  <c r="M64" i="12"/>
  <c r="M65" i="12"/>
  <c r="M66" i="12"/>
  <c r="M67" i="12"/>
  <c r="M68" i="12"/>
  <c r="M59" i="12"/>
  <c r="L60" i="12"/>
  <c r="L61" i="12"/>
  <c r="L62" i="12"/>
  <c r="L63" i="12"/>
  <c r="L64" i="12"/>
  <c r="L65" i="12"/>
  <c r="L66" i="12"/>
  <c r="L67" i="12"/>
  <c r="L68" i="12"/>
  <c r="L59" i="12"/>
  <c r="C12" i="1"/>
  <c r="D12" i="1"/>
  <c r="E12" i="1"/>
  <c r="I44" i="12"/>
  <c r="I45" i="12"/>
  <c r="I46" i="12"/>
  <c r="I47" i="12"/>
  <c r="I48" i="12"/>
  <c r="I49" i="12"/>
  <c r="I50" i="12"/>
  <c r="I51" i="12"/>
  <c r="I43" i="12"/>
  <c r="D44" i="12"/>
  <c r="D45" i="12"/>
  <c r="D46" i="12"/>
  <c r="D47" i="12"/>
  <c r="D48" i="12"/>
  <c r="D49" i="12"/>
  <c r="D50" i="12"/>
  <c r="D51" i="12"/>
  <c r="D43" i="12"/>
  <c r="H14" i="12"/>
  <c r="H18" i="12"/>
  <c r="E43" i="12"/>
  <c r="J17" i="12"/>
  <c r="J50" i="12"/>
  <c r="H20" i="12"/>
  <c r="J18" i="12"/>
  <c r="E51" i="12"/>
  <c r="K15" i="12"/>
  <c r="E44" i="12"/>
  <c r="J45" i="12"/>
  <c r="K13" i="12"/>
  <c r="J44" i="12"/>
  <c r="K14" i="12"/>
  <c r="E47" i="12"/>
  <c r="K18" i="12"/>
  <c r="J46" i="12"/>
  <c r="K17" i="12"/>
  <c r="J13" i="12"/>
  <c r="J48" i="12"/>
  <c r="H15" i="12"/>
  <c r="I18" i="12"/>
  <c r="H21" i="12"/>
  <c r="E45" i="12"/>
  <c r="I17" i="12"/>
  <c r="I19" i="12"/>
  <c r="I14" i="12"/>
  <c r="E50" i="12"/>
  <c r="K20" i="12"/>
  <c r="I21" i="12"/>
  <c r="J20" i="12"/>
  <c r="J47" i="12"/>
  <c r="E46" i="12"/>
  <c r="H13" i="12"/>
  <c r="H19" i="12"/>
  <c r="J15" i="12"/>
  <c r="J51" i="12"/>
  <c r="H16" i="12"/>
  <c r="J43" i="12"/>
  <c r="H17" i="12"/>
  <c r="E48" i="12"/>
  <c r="J49" i="12"/>
  <c r="K19" i="12"/>
  <c r="E49" i="12"/>
  <c r="L313" i="4" l="1"/>
  <c r="K60" i="4"/>
  <c r="M60" i="4" s="1"/>
  <c r="L60" i="4"/>
  <c r="K358" i="4"/>
  <c r="M358" i="4" s="1"/>
  <c r="L358" i="4"/>
  <c r="K31" i="4"/>
  <c r="M31" i="4" s="1"/>
  <c r="L31" i="4"/>
  <c r="K452" i="4"/>
  <c r="K147" i="4"/>
  <c r="M147" i="4" s="1"/>
  <c r="L147" i="4"/>
  <c r="K154" i="4"/>
  <c r="M154" i="4" s="1"/>
  <c r="L154" i="4"/>
  <c r="K334" i="4"/>
  <c r="M334" i="4" s="1"/>
  <c r="L334" i="4"/>
  <c r="K250" i="4"/>
  <c r="M250" i="4" s="1"/>
  <c r="L250" i="4"/>
  <c r="K42" i="4"/>
  <c r="M42" i="4" s="1"/>
  <c r="L42" i="4"/>
  <c r="K10" i="4"/>
  <c r="M10" i="4" s="1"/>
  <c r="L10" i="4"/>
  <c r="K63" i="4"/>
  <c r="K54" i="4"/>
  <c r="M54" i="4" s="1"/>
  <c r="L54" i="4"/>
  <c r="K257" i="4"/>
  <c r="M257" i="4" s="1"/>
  <c r="L257" i="4"/>
  <c r="K401" i="4"/>
  <c r="M401" i="4" s="1"/>
  <c r="L401" i="4"/>
  <c r="K545" i="4"/>
  <c r="K456" i="4"/>
  <c r="M456" i="4" s="1"/>
  <c r="L456" i="4"/>
  <c r="K151" i="4"/>
  <c r="M151" i="4" s="1"/>
  <c r="L151" i="4"/>
  <c r="K83" i="4"/>
  <c r="M83" i="4" s="1"/>
  <c r="L83" i="4"/>
  <c r="K148" i="4"/>
  <c r="M148" i="4" s="1"/>
  <c r="L148" i="4"/>
  <c r="K294" i="4"/>
  <c r="M294" i="4" s="1"/>
  <c r="L294" i="4"/>
  <c r="K438" i="4"/>
  <c r="K109" i="4"/>
  <c r="M109" i="4" s="1"/>
  <c r="L109" i="4"/>
  <c r="K514" i="4"/>
  <c r="K472" i="4"/>
  <c r="M472" i="4" s="1"/>
  <c r="L472" i="4"/>
  <c r="K321" i="4"/>
  <c r="M321" i="4" s="1"/>
  <c r="L321" i="4"/>
  <c r="K48" i="4"/>
  <c r="M48" i="4" s="1"/>
  <c r="L48" i="4"/>
  <c r="K15" i="4"/>
  <c r="M15" i="4" s="1"/>
  <c r="L15" i="4"/>
  <c r="K215" i="4"/>
  <c r="K46" i="4"/>
  <c r="M46" i="4" s="1"/>
  <c r="L46" i="4"/>
  <c r="K169" i="4"/>
  <c r="M169" i="4" s="1"/>
  <c r="L169" i="4"/>
  <c r="K217" i="4"/>
  <c r="M217" i="4" s="1"/>
  <c r="L217" i="4"/>
  <c r="K364" i="4"/>
  <c r="M364" i="4" s="1"/>
  <c r="L364" i="4"/>
  <c r="K64" i="4"/>
  <c r="K97" i="4"/>
  <c r="M97" i="4" s="1"/>
  <c r="L97" i="4"/>
  <c r="K356" i="4"/>
  <c r="M356" i="4" s="1"/>
  <c r="L356" i="4"/>
  <c r="K209" i="4"/>
  <c r="K320" i="4"/>
  <c r="M320" i="4" s="1"/>
  <c r="L320" i="4"/>
  <c r="K235" i="4"/>
  <c r="M235" i="4" s="1"/>
  <c r="L235" i="4"/>
  <c r="K264" i="4"/>
  <c r="M264" i="4" s="1"/>
  <c r="L264" i="4"/>
  <c r="K339" i="4"/>
  <c r="M339" i="4" s="1"/>
  <c r="L339" i="4"/>
  <c r="K160" i="4"/>
  <c r="M160" i="4" s="1"/>
  <c r="L160" i="4"/>
  <c r="K162" i="4"/>
  <c r="M162" i="4" s="1"/>
  <c r="L162" i="4"/>
  <c r="K140" i="4"/>
  <c r="M140" i="4" s="1"/>
  <c r="L140" i="4"/>
  <c r="K500" i="4"/>
  <c r="K444" i="4"/>
  <c r="M444" i="4" s="1"/>
  <c r="L444" i="4"/>
  <c r="K33" i="4"/>
  <c r="M33" i="4" s="1"/>
  <c r="L33" i="4"/>
  <c r="K199" i="4"/>
  <c r="M199" i="4" s="1"/>
  <c r="L199" i="4"/>
  <c r="K376" i="4"/>
  <c r="M376" i="4" s="1"/>
  <c r="L376" i="4"/>
  <c r="K116" i="4"/>
  <c r="K482" i="4"/>
  <c r="M482" i="4" s="1"/>
  <c r="L482" i="4"/>
  <c r="K392" i="4"/>
  <c r="M392" i="4" s="1"/>
  <c r="L392" i="4"/>
  <c r="K62" i="4"/>
  <c r="K368" i="4"/>
  <c r="M368" i="4" s="1"/>
  <c r="L368" i="4"/>
  <c r="K297" i="4"/>
  <c r="M297" i="4" s="1"/>
  <c r="L297" i="4"/>
  <c r="K502" i="4"/>
  <c r="K266" i="4"/>
  <c r="M266" i="4" s="1"/>
  <c r="L266" i="4"/>
  <c r="K279" i="4"/>
  <c r="M279" i="4" s="1"/>
  <c r="L279" i="4"/>
  <c r="K382" i="4"/>
  <c r="M382" i="4" s="1"/>
  <c r="L382" i="4"/>
  <c r="K242" i="4"/>
  <c r="M242" i="4" s="1"/>
  <c r="L242" i="4"/>
  <c r="K52" i="4"/>
  <c r="K85" i="4"/>
  <c r="M85" i="4" s="1"/>
  <c r="L85" i="4"/>
  <c r="K447" i="4"/>
  <c r="K363" i="4"/>
  <c r="M363" i="4" s="1"/>
  <c r="L363" i="4"/>
  <c r="K465" i="4"/>
  <c r="K445" i="4"/>
  <c r="M445" i="4" s="1"/>
  <c r="L445" i="4"/>
  <c r="K507" i="4"/>
  <c r="M507" i="4" s="1"/>
  <c r="L507" i="4"/>
  <c r="K170" i="4"/>
  <c r="M170" i="4" s="1"/>
  <c r="L170" i="4"/>
  <c r="K96" i="4"/>
  <c r="M96" i="4" s="1"/>
  <c r="L96" i="4"/>
  <c r="K76" i="4"/>
  <c r="M76" i="4" s="1"/>
  <c r="L76" i="4"/>
  <c r="K309" i="4"/>
  <c r="M309" i="4" s="1"/>
  <c r="L309" i="4"/>
  <c r="K21" i="4"/>
  <c r="M21" i="4" s="1"/>
  <c r="L21" i="4"/>
  <c r="K238" i="4"/>
  <c r="M238" i="4" s="1"/>
  <c r="L238" i="4"/>
  <c r="K129" i="4"/>
  <c r="K104" i="4"/>
  <c r="M104" i="4" s="1"/>
  <c r="L104" i="4"/>
  <c r="K281" i="4"/>
  <c r="M281" i="4" s="1"/>
  <c r="L281" i="4"/>
  <c r="K425" i="4"/>
  <c r="M425" i="4" s="1"/>
  <c r="L425" i="4"/>
  <c r="K534" i="4"/>
  <c r="K271" i="4"/>
  <c r="M271" i="4" s="1"/>
  <c r="L271" i="4"/>
  <c r="K491" i="4"/>
  <c r="M491" i="4" s="1"/>
  <c r="L491" i="4"/>
  <c r="K88" i="4"/>
  <c r="M88" i="4" s="1"/>
  <c r="L88" i="4"/>
  <c r="K174" i="4"/>
  <c r="M174" i="4" s="1"/>
  <c r="L174" i="4"/>
  <c r="K318" i="4"/>
  <c r="M318" i="4" s="1"/>
  <c r="L318" i="4"/>
  <c r="K440" i="4"/>
  <c r="K138" i="4"/>
  <c r="M138" i="4" s="1"/>
  <c r="L138" i="4"/>
  <c r="K547" i="4"/>
  <c r="K505" i="4"/>
  <c r="M505" i="4" s="1"/>
  <c r="L505" i="4"/>
  <c r="K115" i="4"/>
  <c r="K240" i="4"/>
  <c r="M240" i="4" s="1"/>
  <c r="L240" i="4"/>
  <c r="K189" i="4"/>
  <c r="M189" i="4" s="1"/>
  <c r="L189" i="4"/>
  <c r="K529" i="4"/>
  <c r="K286" i="4"/>
  <c r="M286" i="4" s="1"/>
  <c r="L286" i="4"/>
  <c r="K484" i="4"/>
  <c r="M484" i="4" s="1"/>
  <c r="L484" i="4"/>
  <c r="K244" i="4"/>
  <c r="M244" i="4" s="1"/>
  <c r="L244" i="4"/>
  <c r="K388" i="4"/>
  <c r="M388" i="4" s="1"/>
  <c r="L388" i="4"/>
  <c r="K532" i="4"/>
  <c r="K139" i="4"/>
  <c r="M139" i="4" s="1"/>
  <c r="L139" i="4"/>
  <c r="K51" i="4"/>
  <c r="K369" i="4"/>
  <c r="M369" i="4" s="1"/>
  <c r="L369" i="4"/>
  <c r="K404" i="4"/>
  <c r="M404" i="4" s="1"/>
  <c r="L404" i="4"/>
  <c r="K386" i="4"/>
  <c r="M386" i="4" s="1"/>
  <c r="L386" i="4"/>
  <c r="K20" i="4"/>
  <c r="M20" i="4" s="1"/>
  <c r="L20" i="4"/>
  <c r="K276" i="4"/>
  <c r="M276" i="4" s="1"/>
  <c r="L276" i="4"/>
  <c r="K91" i="4"/>
  <c r="M91" i="4" s="1"/>
  <c r="L91" i="4"/>
  <c r="K14" i="4"/>
  <c r="M14" i="4" s="1"/>
  <c r="L14" i="4"/>
  <c r="K446" i="4"/>
  <c r="M446" i="4" s="1"/>
  <c r="L446" i="4"/>
  <c r="K70" i="4"/>
  <c r="M70" i="4" s="1"/>
  <c r="L70" i="4"/>
  <c r="K330" i="4"/>
  <c r="M330" i="4" s="1"/>
  <c r="L330" i="4"/>
  <c r="K197" i="4"/>
  <c r="M197" i="4" s="1"/>
  <c r="L197" i="4"/>
  <c r="K486" i="4"/>
  <c r="M486" i="4" s="1"/>
  <c r="L486" i="4"/>
  <c r="K400" i="4"/>
  <c r="M400" i="4" s="1"/>
  <c r="L400" i="4"/>
  <c r="K176" i="4"/>
  <c r="M176" i="4" s="1"/>
  <c r="L176" i="4"/>
  <c r="K432" i="4"/>
  <c r="M432" i="4" s="1"/>
  <c r="L432" i="4"/>
  <c r="K346" i="4"/>
  <c r="M346" i="4" s="1"/>
  <c r="L346" i="4"/>
  <c r="K38" i="4"/>
  <c r="M38" i="4" s="1"/>
  <c r="L38" i="4"/>
  <c r="K375" i="4"/>
  <c r="M375" i="4" s="1"/>
  <c r="L375" i="4"/>
  <c r="K94" i="4"/>
  <c r="M94" i="4" s="1"/>
  <c r="L94" i="4"/>
  <c r="K323" i="4"/>
  <c r="M323" i="4" s="1"/>
  <c r="L323" i="4"/>
  <c r="K3" i="4"/>
  <c r="M3" i="4" s="1"/>
  <c r="L3" i="4"/>
  <c r="K158" i="4"/>
  <c r="M158" i="4" s="1"/>
  <c r="L158" i="4"/>
  <c r="K522" i="4"/>
  <c r="K201" i="4"/>
  <c r="K155" i="4"/>
  <c r="M155" i="4" s="1"/>
  <c r="L155" i="4"/>
  <c r="K273" i="4"/>
  <c r="M273" i="4" s="1"/>
  <c r="L273" i="4"/>
  <c r="K300" i="4"/>
  <c r="M300" i="4" s="1"/>
  <c r="L300" i="4"/>
  <c r="K254" i="4"/>
  <c r="M254" i="4" s="1"/>
  <c r="L254" i="4"/>
  <c r="K255" i="4"/>
  <c r="M255" i="4" s="1"/>
  <c r="L255" i="4"/>
  <c r="K18" i="4"/>
  <c r="M18" i="4" s="1"/>
  <c r="L18" i="4"/>
  <c r="K357" i="4"/>
  <c r="M357" i="4" s="1"/>
  <c r="L357" i="4"/>
  <c r="K68" i="4"/>
  <c r="M68" i="4" s="1"/>
  <c r="L68" i="4"/>
  <c r="K72" i="4"/>
  <c r="M72" i="4" s="1"/>
  <c r="L72" i="4"/>
  <c r="K75" i="4"/>
  <c r="M75" i="4" s="1"/>
  <c r="L75" i="4"/>
  <c r="K161" i="4"/>
  <c r="M161" i="4" s="1"/>
  <c r="L161" i="4"/>
  <c r="K305" i="4"/>
  <c r="M305" i="4" s="1"/>
  <c r="L305" i="4"/>
  <c r="K448" i="4"/>
  <c r="K527" i="4"/>
  <c r="K331" i="4"/>
  <c r="M331" i="4" s="1"/>
  <c r="L331" i="4"/>
  <c r="K468" i="4"/>
  <c r="M468" i="4" s="1"/>
  <c r="L468" i="4"/>
  <c r="K27" i="4"/>
  <c r="M27" i="4" s="1"/>
  <c r="L27" i="4"/>
  <c r="K450" i="4"/>
  <c r="M450" i="4" s="1"/>
  <c r="L450" i="4"/>
  <c r="K342" i="4"/>
  <c r="M342" i="4" s="1"/>
  <c r="L342" i="4"/>
  <c r="K133" i="4"/>
  <c r="K187" i="4"/>
  <c r="M187" i="4" s="1"/>
  <c r="L187" i="4"/>
  <c r="K106" i="4"/>
  <c r="M106" i="4" s="1"/>
  <c r="L106" i="4"/>
  <c r="K253" i="4"/>
  <c r="M253" i="4" s="1"/>
  <c r="L253" i="4"/>
  <c r="K4" i="4"/>
  <c r="M4" i="4" s="1"/>
  <c r="L4" i="4"/>
  <c r="K336" i="4"/>
  <c r="M336" i="4" s="1"/>
  <c r="L336" i="4"/>
  <c r="K454" i="4"/>
  <c r="M454" i="4" s="1"/>
  <c r="L454" i="4"/>
  <c r="K61" i="4"/>
  <c r="M61" i="4" s="1"/>
  <c r="L61" i="4"/>
  <c r="K455" i="4"/>
  <c r="K234" i="4"/>
  <c r="M234" i="4" s="1"/>
  <c r="L234" i="4"/>
  <c r="K268" i="4"/>
  <c r="M268" i="4" s="1"/>
  <c r="L268" i="4"/>
  <c r="K412" i="4"/>
  <c r="M412" i="4" s="1"/>
  <c r="L412" i="4"/>
  <c r="K556" i="4"/>
  <c r="K223" i="4"/>
  <c r="M223" i="4" s="1"/>
  <c r="L223" i="4"/>
  <c r="K168" i="4"/>
  <c r="M168" i="4" s="1"/>
  <c r="L168" i="4"/>
  <c r="K541" i="4"/>
  <c r="K520" i="4"/>
  <c r="K226" i="4"/>
  <c r="M226" i="4" s="1"/>
  <c r="L226" i="4"/>
  <c r="K194" i="4"/>
  <c r="M194" i="4" s="1"/>
  <c r="L194" i="4"/>
  <c r="K11" i="4"/>
  <c r="M11" i="4" s="1"/>
  <c r="L11" i="4"/>
  <c r="K23" i="4"/>
  <c r="M23" i="4" s="1"/>
  <c r="L23" i="4"/>
  <c r="K306" i="4"/>
  <c r="M306" i="4" s="1"/>
  <c r="L306" i="4"/>
  <c r="K322" i="4"/>
  <c r="M322" i="4" s="1"/>
  <c r="L322" i="4"/>
  <c r="K131" i="4"/>
  <c r="K65" i="4"/>
  <c r="M65" i="4" s="1"/>
  <c r="L65" i="4"/>
  <c r="K417" i="4"/>
  <c r="M417" i="4" s="1"/>
  <c r="L417" i="4"/>
  <c r="K163" i="4"/>
  <c r="M163" i="4" s="1"/>
  <c r="L163" i="4"/>
  <c r="K407" i="4"/>
  <c r="M407" i="4" s="1"/>
  <c r="L407" i="4"/>
  <c r="K256" i="4"/>
  <c r="M256" i="4" s="1"/>
  <c r="L256" i="4"/>
  <c r="K544" i="4"/>
  <c r="K510" i="4"/>
  <c r="M510" i="4" s="1"/>
  <c r="L510" i="4"/>
  <c r="K460" i="4"/>
  <c r="K338" i="4"/>
  <c r="M338" i="4" s="1"/>
  <c r="L338" i="4"/>
  <c r="K370" i="4"/>
  <c r="M370" i="4" s="1"/>
  <c r="L370" i="4"/>
  <c r="K249" i="4"/>
  <c r="M249" i="4" s="1"/>
  <c r="L249" i="4"/>
  <c r="K374" i="4"/>
  <c r="M374" i="4" s="1"/>
  <c r="L374" i="4"/>
  <c r="K411" i="4"/>
  <c r="M411" i="4" s="1"/>
  <c r="L411" i="4"/>
  <c r="K110" i="4"/>
  <c r="M110" i="4" s="1"/>
  <c r="L110" i="4"/>
  <c r="K347" i="4"/>
  <c r="M347" i="4" s="1"/>
  <c r="L347" i="4"/>
  <c r="K37" i="4"/>
  <c r="M37" i="4" s="1"/>
  <c r="L37" i="4"/>
  <c r="K182" i="4"/>
  <c r="M182" i="4" s="1"/>
  <c r="L182" i="4"/>
  <c r="K530" i="4"/>
  <c r="K192" i="4"/>
  <c r="K112" i="4"/>
  <c r="M112" i="4" s="1"/>
  <c r="L112" i="4"/>
  <c r="K299" i="4"/>
  <c r="M299" i="4" s="1"/>
  <c r="L299" i="4"/>
  <c r="K537" i="4"/>
  <c r="K314" i="4"/>
  <c r="M314" i="4" s="1"/>
  <c r="L314" i="4"/>
  <c r="K315" i="4"/>
  <c r="M315" i="4" s="1"/>
  <c r="L315" i="4"/>
  <c r="K184" i="4"/>
  <c r="M184" i="4" s="1"/>
  <c r="L184" i="4"/>
  <c r="K381" i="4"/>
  <c r="M381" i="4" s="1"/>
  <c r="L381" i="4"/>
  <c r="K183" i="4"/>
  <c r="M183" i="4" s="1"/>
  <c r="L183" i="4"/>
  <c r="K74" i="4"/>
  <c r="M74" i="4" s="1"/>
  <c r="L74" i="4"/>
  <c r="K84" i="4"/>
  <c r="M84" i="4" s="1"/>
  <c r="L84" i="4"/>
  <c r="K173" i="4"/>
  <c r="M173" i="4" s="1"/>
  <c r="L173" i="4"/>
  <c r="K317" i="4"/>
  <c r="M317" i="4" s="1"/>
  <c r="L317" i="4"/>
  <c r="K205" i="4"/>
  <c r="K118" i="4"/>
  <c r="M118" i="4" s="1"/>
  <c r="L118" i="4"/>
  <c r="K403" i="4"/>
  <c r="M403" i="4" s="1"/>
  <c r="L403" i="4"/>
  <c r="K73" i="4"/>
  <c r="M73" i="4" s="1"/>
  <c r="L73" i="4"/>
  <c r="K146" i="4"/>
  <c r="M146" i="4" s="1"/>
  <c r="L146" i="4"/>
  <c r="K222" i="4"/>
  <c r="M222" i="4" s="1"/>
  <c r="L222" i="4"/>
  <c r="K354" i="4"/>
  <c r="M354" i="4" s="1"/>
  <c r="L354" i="4"/>
  <c r="K114" i="4"/>
  <c r="K228" i="4"/>
  <c r="M228" i="4" s="1"/>
  <c r="L228" i="4"/>
  <c r="K495" i="4"/>
  <c r="M495" i="4" s="1"/>
  <c r="L495" i="4"/>
  <c r="K383" i="4"/>
  <c r="M383" i="4" s="1"/>
  <c r="L383" i="4"/>
  <c r="K471" i="4"/>
  <c r="M471" i="4" s="1"/>
  <c r="L471" i="4"/>
  <c r="K466" i="4"/>
  <c r="K265" i="4"/>
  <c r="M265" i="4" s="1"/>
  <c r="L265" i="4"/>
  <c r="K6" i="4"/>
  <c r="M6" i="4" s="1"/>
  <c r="L6" i="4"/>
  <c r="K478" i="4"/>
  <c r="K58" i="4"/>
  <c r="M58" i="4" s="1"/>
  <c r="L58" i="4"/>
  <c r="K280" i="4"/>
  <c r="M280" i="4" s="1"/>
  <c r="L280" i="4"/>
  <c r="K424" i="4"/>
  <c r="M424" i="4" s="1"/>
  <c r="L424" i="4"/>
  <c r="K175" i="4"/>
  <c r="M175" i="4" s="1"/>
  <c r="L175" i="4"/>
  <c r="K111" i="4"/>
  <c r="M111" i="4" s="1"/>
  <c r="L111" i="4"/>
  <c r="K546" i="4"/>
  <c r="K361" i="4"/>
  <c r="M361" i="4" s="1"/>
  <c r="L361" i="4"/>
  <c r="K536" i="4"/>
  <c r="K171" i="4"/>
  <c r="M171" i="4" s="1"/>
  <c r="L171" i="4"/>
  <c r="K195" i="4"/>
  <c r="M195" i="4" s="1"/>
  <c r="L195" i="4"/>
  <c r="K134" i="4"/>
  <c r="K233" i="4"/>
  <c r="M233" i="4" s="1"/>
  <c r="L233" i="4"/>
  <c r="K19" i="4"/>
  <c r="M19" i="4" s="1"/>
  <c r="L19" i="4"/>
  <c r="K479" i="4"/>
  <c r="M479" i="4" s="1"/>
  <c r="L479" i="4"/>
  <c r="K206" i="4"/>
  <c r="M206" i="4" s="1"/>
  <c r="L206" i="4"/>
  <c r="K293" i="4"/>
  <c r="M293" i="4" s="1"/>
  <c r="L293" i="4"/>
  <c r="K498" i="4"/>
  <c r="M498" i="4" s="1"/>
  <c r="L498" i="4"/>
  <c r="K394" i="4"/>
  <c r="M394" i="4" s="1"/>
  <c r="L394" i="4"/>
  <c r="K453" i="4"/>
  <c r="M453" i="4" s="1"/>
  <c r="L453" i="4"/>
  <c r="K493" i="4"/>
  <c r="M493" i="4" s="1"/>
  <c r="L493" i="4"/>
  <c r="K492" i="4"/>
  <c r="M492" i="4" s="1"/>
  <c r="L492" i="4"/>
  <c r="K405" i="4"/>
  <c r="M405" i="4" s="1"/>
  <c r="L405" i="4"/>
  <c r="K211" i="4"/>
  <c r="M211" i="4" s="1"/>
  <c r="L211" i="4"/>
  <c r="K457" i="4"/>
  <c r="M457" i="4" s="1"/>
  <c r="L457" i="4"/>
  <c r="K480" i="4"/>
  <c r="M480" i="4" s="1"/>
  <c r="L480" i="4"/>
  <c r="K185" i="4"/>
  <c r="M185" i="4" s="1"/>
  <c r="L185" i="4"/>
  <c r="K329" i="4"/>
  <c r="M329" i="4" s="1"/>
  <c r="L329" i="4"/>
  <c r="K127" i="4"/>
  <c r="K494" i="4"/>
  <c r="M494" i="4" s="1"/>
  <c r="L494" i="4"/>
  <c r="K190" i="4"/>
  <c r="K167" i="4"/>
  <c r="M167" i="4" s="1"/>
  <c r="L167" i="4"/>
  <c r="K137" i="4"/>
  <c r="M137" i="4" s="1"/>
  <c r="L137" i="4"/>
  <c r="K227" i="4"/>
  <c r="M227" i="4" s="1"/>
  <c r="L227" i="4"/>
  <c r="K366" i="4"/>
  <c r="M366" i="4" s="1"/>
  <c r="L366" i="4"/>
  <c r="K503" i="4"/>
  <c r="K219" i="4"/>
  <c r="M219" i="4" s="1"/>
  <c r="L219" i="4"/>
  <c r="K113" i="4"/>
  <c r="M113" i="4" s="1"/>
  <c r="L113" i="4"/>
  <c r="K433" i="4"/>
  <c r="M433" i="4" s="1"/>
  <c r="L433" i="4"/>
  <c r="K262" i="4"/>
  <c r="M262" i="4" s="1"/>
  <c r="L262" i="4"/>
  <c r="K101" i="4"/>
  <c r="K325" i="4"/>
  <c r="M325" i="4" s="1"/>
  <c r="L325" i="4"/>
  <c r="K443" i="4"/>
  <c r="M443" i="4" s="1"/>
  <c r="L443" i="4"/>
  <c r="K295" i="4"/>
  <c r="M295" i="4" s="1"/>
  <c r="L295" i="4"/>
  <c r="K59" i="4"/>
  <c r="M59" i="4" s="1"/>
  <c r="L59" i="4"/>
  <c r="K292" i="4"/>
  <c r="M292" i="4" s="1"/>
  <c r="L292" i="4"/>
  <c r="K436" i="4"/>
  <c r="M436" i="4" s="1"/>
  <c r="L436" i="4"/>
  <c r="K247" i="4"/>
  <c r="M247" i="4" s="1"/>
  <c r="L247" i="4"/>
  <c r="K47" i="4"/>
  <c r="M47" i="4" s="1"/>
  <c r="L47" i="4"/>
  <c r="K252" i="4"/>
  <c r="M252" i="4" s="1"/>
  <c r="L252" i="4"/>
  <c r="K260" i="4"/>
  <c r="M260" i="4" s="1"/>
  <c r="L260" i="4"/>
  <c r="K548" i="4"/>
  <c r="K216" i="4"/>
  <c r="M216" i="4" s="1"/>
  <c r="L216" i="4"/>
  <c r="K241" i="4"/>
  <c r="M241" i="4" s="1"/>
  <c r="L241" i="4"/>
  <c r="K430" i="4"/>
  <c r="M430" i="4" s="1"/>
  <c r="L430" i="4"/>
  <c r="K557" i="4"/>
  <c r="K488" i="4"/>
  <c r="K41" i="4"/>
  <c r="M41" i="4" s="1"/>
  <c r="L41" i="4"/>
  <c r="K49" i="4"/>
  <c r="M49" i="4" s="1"/>
  <c r="L49" i="4"/>
  <c r="K123" i="4"/>
  <c r="M123" i="4" s="1"/>
  <c r="L123" i="4"/>
  <c r="K186" i="4"/>
  <c r="M186" i="4" s="1"/>
  <c r="L186" i="4"/>
  <c r="K553" i="4"/>
  <c r="K212" i="4"/>
  <c r="M212" i="4" s="1"/>
  <c r="L212" i="4"/>
  <c r="K473" i="4"/>
  <c r="M473" i="4" s="1"/>
  <c r="L473" i="4"/>
  <c r="K120" i="4"/>
  <c r="M120" i="4" s="1"/>
  <c r="L120" i="4"/>
  <c r="K538" i="4"/>
  <c r="K191" i="4"/>
  <c r="K518" i="4"/>
  <c r="K144" i="4"/>
  <c r="M144" i="4" s="1"/>
  <c r="L144" i="4"/>
  <c r="K395" i="4"/>
  <c r="M395" i="4" s="1"/>
  <c r="L395" i="4"/>
  <c r="K508" i="4"/>
  <c r="M508" i="4" s="1"/>
  <c r="L508" i="4"/>
  <c r="K459" i="4"/>
  <c r="M459" i="4" s="1"/>
  <c r="L459" i="4"/>
  <c r="K86" i="4"/>
  <c r="M86" i="4" s="1"/>
  <c r="L86" i="4"/>
  <c r="K555" i="4"/>
  <c r="K103" i="4"/>
  <c r="M103" i="4" s="1"/>
  <c r="L103" i="4"/>
  <c r="K348" i="4"/>
  <c r="M348" i="4" s="1"/>
  <c r="L348" i="4"/>
  <c r="K157" i="4"/>
  <c r="M157" i="4" s="1"/>
  <c r="L157" i="4"/>
  <c r="K398" i="4"/>
  <c r="M398" i="4" s="1"/>
  <c r="L398" i="4"/>
  <c r="K435" i="4"/>
  <c r="M435" i="4" s="1"/>
  <c r="L435" i="4"/>
  <c r="K8" i="4"/>
  <c r="M8" i="4" s="1"/>
  <c r="L8" i="4"/>
  <c r="K429" i="4"/>
  <c r="M429" i="4" s="1"/>
  <c r="L429" i="4"/>
  <c r="K267" i="4"/>
  <c r="M267" i="4" s="1"/>
  <c r="L267" i="4"/>
  <c r="K288" i="4"/>
  <c r="M288" i="4" s="1"/>
  <c r="L288" i="4"/>
  <c r="K26" i="4"/>
  <c r="M26" i="4" s="1"/>
  <c r="L26" i="4"/>
  <c r="K441" i="4"/>
  <c r="M441" i="4" s="1"/>
  <c r="L441" i="4"/>
  <c r="K341" i="4"/>
  <c r="M341" i="4" s="1"/>
  <c r="L341" i="4"/>
  <c r="K519" i="4"/>
  <c r="K32" i="4"/>
  <c r="M32" i="4" s="1"/>
  <c r="L32" i="4"/>
  <c r="K202" i="4"/>
  <c r="K469" i="4"/>
  <c r="M469" i="4" s="1"/>
  <c r="L469" i="4"/>
  <c r="K108" i="4"/>
  <c r="M108" i="4" s="1"/>
  <c r="L108" i="4"/>
  <c r="K213" i="4"/>
  <c r="M213" i="4" s="1"/>
  <c r="L213" i="4"/>
  <c r="K378" i="4"/>
  <c r="M378" i="4" s="1"/>
  <c r="L378" i="4"/>
  <c r="K558" i="4"/>
  <c r="K259" i="4"/>
  <c r="M259" i="4" s="1"/>
  <c r="L259" i="4"/>
  <c r="K30" i="4"/>
  <c r="M30" i="4" s="1"/>
  <c r="L30" i="4"/>
  <c r="K521" i="4"/>
  <c r="K335" i="4"/>
  <c r="M335" i="4" s="1"/>
  <c r="L335" i="4"/>
  <c r="K550" i="4"/>
  <c r="K349" i="4"/>
  <c r="M349" i="4" s="1"/>
  <c r="L349" i="4"/>
  <c r="K285" i="4"/>
  <c r="M285" i="4" s="1"/>
  <c r="L285" i="4"/>
  <c r="K343" i="4"/>
  <c r="M343" i="4" s="1"/>
  <c r="L343" i="4"/>
  <c r="K451" i="4"/>
  <c r="M451" i="4" s="1"/>
  <c r="L451" i="4"/>
  <c r="K304" i="4"/>
  <c r="M304" i="4" s="1"/>
  <c r="L304" i="4"/>
  <c r="K230" i="4"/>
  <c r="K319" i="4"/>
  <c r="M319" i="4" s="1"/>
  <c r="L319" i="4"/>
  <c r="K311" i="4"/>
  <c r="M311" i="4" s="1"/>
  <c r="L311" i="4"/>
  <c r="K130" i="4"/>
  <c r="K272" i="4"/>
  <c r="M272" i="4" s="1"/>
  <c r="L272" i="4"/>
  <c r="K177" i="4"/>
  <c r="M177" i="4" s="1"/>
  <c r="L177" i="4"/>
  <c r="K501" i="4"/>
  <c r="K552" i="4"/>
  <c r="K152" i="4"/>
  <c r="M152" i="4" s="1"/>
  <c r="L152" i="4"/>
  <c r="K413" i="4"/>
  <c r="M413" i="4" s="1"/>
  <c r="L413" i="4"/>
  <c r="K181" i="4"/>
  <c r="M181" i="4" s="1"/>
  <c r="L181" i="4"/>
  <c r="K16" i="4"/>
  <c r="M16" i="4" s="1"/>
  <c r="L16" i="4"/>
  <c r="K333" i="4"/>
  <c r="M333" i="4" s="1"/>
  <c r="L333" i="4"/>
  <c r="K307" i="4"/>
  <c r="M307" i="4" s="1"/>
  <c r="L307" i="4"/>
  <c r="K263" i="4"/>
  <c r="M263" i="4" s="1"/>
  <c r="L263" i="4"/>
  <c r="K200" i="4"/>
  <c r="K71" i="4"/>
  <c r="M71" i="4" s="1"/>
  <c r="L71" i="4"/>
  <c r="K387" i="4"/>
  <c r="M387" i="4" s="1"/>
  <c r="L387" i="4"/>
  <c r="K418" i="4"/>
  <c r="M418" i="4" s="1"/>
  <c r="L418" i="4"/>
  <c r="K122" i="4"/>
  <c r="M122" i="4" s="1"/>
  <c r="L122" i="4"/>
  <c r="K462" i="4"/>
  <c r="K506" i="4"/>
  <c r="M506" i="4" s="1"/>
  <c r="L506" i="4"/>
  <c r="K487" i="4"/>
  <c r="K149" i="4"/>
  <c r="K124" i="4"/>
  <c r="M124" i="4" s="1"/>
  <c r="L124" i="4"/>
  <c r="K419" i="4"/>
  <c r="M419" i="4" s="1"/>
  <c r="L419" i="4"/>
  <c r="K485" i="4"/>
  <c r="M485" i="4" s="1"/>
  <c r="L485" i="4"/>
  <c r="K278" i="4"/>
  <c r="M278" i="4" s="1"/>
  <c r="L278" i="4"/>
  <c r="K512" i="4"/>
  <c r="M512" i="4" s="1"/>
  <c r="L512" i="4"/>
  <c r="K13" i="4"/>
  <c r="M13" i="4" s="1"/>
  <c r="L13" i="4"/>
  <c r="K172" i="4"/>
  <c r="M172" i="4" s="1"/>
  <c r="L172" i="4"/>
  <c r="K372" i="4"/>
  <c r="M372" i="4" s="1"/>
  <c r="L372" i="4"/>
  <c r="K458" i="4"/>
  <c r="M458" i="4" s="1"/>
  <c r="L458" i="4"/>
  <c r="K434" i="4"/>
  <c r="M434" i="4" s="1"/>
  <c r="L434" i="4"/>
  <c r="K135" i="4"/>
  <c r="K496" i="4"/>
  <c r="M496" i="4" s="1"/>
  <c r="L496" i="4"/>
  <c r="K224" i="4"/>
  <c r="K303" i="4"/>
  <c r="M303" i="4" s="1"/>
  <c r="L303" i="4"/>
  <c r="K359" i="4"/>
  <c r="M359" i="4" s="1"/>
  <c r="L359" i="4"/>
  <c r="K125" i="4"/>
  <c r="M125" i="4" s="1"/>
  <c r="L125" i="4"/>
  <c r="K218" i="4"/>
  <c r="M218" i="4" s="1"/>
  <c r="L218" i="4"/>
  <c r="K353" i="4"/>
  <c r="M353" i="4" s="1"/>
  <c r="L353" i="4"/>
  <c r="K100" i="4"/>
  <c r="K9" i="4"/>
  <c r="M9" i="4" s="1"/>
  <c r="L9" i="4"/>
  <c r="K79" i="4"/>
  <c r="K289" i="4"/>
  <c r="M289" i="4" s="1"/>
  <c r="L289" i="4"/>
  <c r="K475" i="4"/>
  <c r="M475" i="4" s="1"/>
  <c r="L475" i="4"/>
  <c r="K246" i="4"/>
  <c r="M246" i="4" s="1"/>
  <c r="L246" i="4"/>
  <c r="K390" i="4"/>
  <c r="M390" i="4" s="1"/>
  <c r="L390" i="4"/>
  <c r="K517" i="4"/>
  <c r="K283" i="4"/>
  <c r="M283" i="4" s="1"/>
  <c r="L283" i="4"/>
  <c r="K188" i="4"/>
  <c r="M188" i="4" s="1"/>
  <c r="L188" i="4"/>
  <c r="K35" i="4"/>
  <c r="M35" i="4" s="1"/>
  <c r="L35" i="4"/>
  <c r="K385" i="4"/>
  <c r="M385" i="4" s="1"/>
  <c r="L385" i="4"/>
  <c r="K141" i="4"/>
  <c r="M141" i="4" s="1"/>
  <c r="L141" i="4"/>
  <c r="K373" i="4"/>
  <c r="M373" i="4" s="1"/>
  <c r="L373" i="4"/>
  <c r="K337" i="4"/>
  <c r="M337" i="4" s="1"/>
  <c r="L337" i="4"/>
  <c r="K391" i="4"/>
  <c r="M391" i="4" s="1"/>
  <c r="L391" i="4"/>
  <c r="K287" i="4"/>
  <c r="M287" i="4" s="1"/>
  <c r="L287" i="4"/>
  <c r="K316" i="4"/>
  <c r="M316" i="4" s="1"/>
  <c r="L316" i="4"/>
  <c r="K237" i="4"/>
  <c r="K367" i="4"/>
  <c r="M367" i="4" s="1"/>
  <c r="L367" i="4"/>
  <c r="K214" i="4"/>
  <c r="K296" i="4"/>
  <c r="M296" i="4" s="1"/>
  <c r="L296" i="4"/>
  <c r="K308" i="4"/>
  <c r="M308" i="4" s="1"/>
  <c r="L308" i="4"/>
  <c r="K128" i="4"/>
  <c r="K180" i="4"/>
  <c r="M180" i="4" s="1"/>
  <c r="L180" i="4"/>
  <c r="K310" i="4"/>
  <c r="M310" i="4" s="1"/>
  <c r="L310" i="4"/>
  <c r="K67" i="4"/>
  <c r="M67" i="4" s="1"/>
  <c r="L67" i="4"/>
  <c r="K269" i="4"/>
  <c r="M269" i="4" s="1"/>
  <c r="L269" i="4"/>
  <c r="K82" i="4"/>
  <c r="M82" i="4" s="1"/>
  <c r="L82" i="4"/>
  <c r="K327" i="4"/>
  <c r="M327" i="4" s="1"/>
  <c r="L327" i="4"/>
  <c r="K55" i="4"/>
  <c r="M55" i="4" s="1"/>
  <c r="L55" i="4"/>
  <c r="K43" i="4"/>
  <c r="M43" i="4" s="1"/>
  <c r="L43" i="4"/>
  <c r="K481" i="4"/>
  <c r="M481" i="4" s="1"/>
  <c r="L481" i="4"/>
  <c r="K40" i="4"/>
  <c r="M40" i="4" s="1"/>
  <c r="L40" i="4"/>
  <c r="K301" i="4"/>
  <c r="M301" i="4" s="1"/>
  <c r="L301" i="4"/>
  <c r="K136" i="4"/>
  <c r="K5" i="4"/>
  <c r="M5" i="4" s="1"/>
  <c r="L5" i="4"/>
  <c r="K554" i="4"/>
  <c r="K504" i="4"/>
  <c r="M504" i="4" s="1"/>
  <c r="L504" i="4"/>
  <c r="K463" i="4"/>
  <c r="K203" i="4"/>
  <c r="M203" i="4" s="1"/>
  <c r="L203" i="4"/>
  <c r="K302" i="4"/>
  <c r="M302" i="4" s="1"/>
  <c r="L302" i="4"/>
  <c r="K159" i="4"/>
  <c r="M159" i="4" s="1"/>
  <c r="L159" i="4"/>
  <c r="K66" i="4"/>
  <c r="M66" i="4" s="1"/>
  <c r="L66" i="4"/>
  <c r="K153" i="4"/>
  <c r="M153" i="4" s="1"/>
  <c r="L153" i="4"/>
  <c r="K396" i="4"/>
  <c r="M396" i="4" s="1"/>
  <c r="L396" i="4"/>
  <c r="K150" i="4"/>
  <c r="K449" i="4"/>
  <c r="K531" i="4"/>
  <c r="K39" i="4"/>
  <c r="M39" i="4" s="1"/>
  <c r="L39" i="4"/>
  <c r="K515" i="4"/>
  <c r="K351" i="4"/>
  <c r="M351" i="4" s="1"/>
  <c r="L351" i="4"/>
  <c r="K409" i="4"/>
  <c r="M409" i="4" s="1"/>
  <c r="L409" i="4"/>
  <c r="K102" i="4"/>
  <c r="M102" i="4" s="1"/>
  <c r="L102" i="4"/>
  <c r="K221" i="4"/>
  <c r="M221" i="4" s="1"/>
  <c r="L221" i="4"/>
  <c r="K365" i="4"/>
  <c r="M365" i="4" s="1"/>
  <c r="L365" i="4"/>
  <c r="K50" i="4"/>
  <c r="K483" i="4"/>
  <c r="M483" i="4" s="1"/>
  <c r="L483" i="4"/>
  <c r="K107" i="4"/>
  <c r="M107" i="4" s="1"/>
  <c r="L107" i="4"/>
  <c r="K360" i="4"/>
  <c r="M360" i="4" s="1"/>
  <c r="L360" i="4"/>
  <c r="K69" i="4"/>
  <c r="M69" i="4" s="1"/>
  <c r="L69" i="4"/>
  <c r="K258" i="4"/>
  <c r="M258" i="4" s="1"/>
  <c r="L258" i="4"/>
  <c r="K402" i="4"/>
  <c r="M402" i="4" s="1"/>
  <c r="L402" i="4"/>
  <c r="K92" i="4"/>
  <c r="M92" i="4" s="1"/>
  <c r="L92" i="4"/>
  <c r="K355" i="4"/>
  <c r="M355" i="4" s="1"/>
  <c r="L355" i="4"/>
  <c r="K239" i="4"/>
  <c r="M239" i="4" s="1"/>
  <c r="L239" i="4"/>
  <c r="K2" i="4"/>
  <c r="M2" i="4" s="1"/>
  <c r="L2" i="4"/>
  <c r="K461" i="4"/>
  <c r="K77" i="4"/>
  <c r="M77" i="4" s="1"/>
  <c r="L77" i="4"/>
  <c r="K397" i="4"/>
  <c r="M397" i="4" s="1"/>
  <c r="L397" i="4"/>
  <c r="K393" i="4"/>
  <c r="M393" i="4" s="1"/>
  <c r="L393" i="4"/>
  <c r="K439" i="4"/>
  <c r="K345" i="4"/>
  <c r="M345" i="4" s="1"/>
  <c r="L345" i="4"/>
  <c r="K328" i="4"/>
  <c r="M328" i="4" s="1"/>
  <c r="L328" i="4"/>
  <c r="K193" i="4"/>
  <c r="K427" i="4"/>
  <c r="M427" i="4" s="1"/>
  <c r="L427" i="4"/>
  <c r="K431" i="4"/>
  <c r="M431" i="4" s="1"/>
  <c r="L431" i="4"/>
  <c r="K344" i="4"/>
  <c r="M344" i="4" s="1"/>
  <c r="L344" i="4"/>
  <c r="K428" i="4"/>
  <c r="M428" i="4" s="1"/>
  <c r="L428" i="4"/>
  <c r="K490" i="4"/>
  <c r="K196" i="4"/>
  <c r="M196" i="4" s="1"/>
  <c r="L196" i="4"/>
  <c r="K274" i="4"/>
  <c r="M274" i="4" s="1"/>
  <c r="L274" i="4"/>
  <c r="K406" i="4"/>
  <c r="M406" i="4" s="1"/>
  <c r="L406" i="4"/>
  <c r="K540" i="4"/>
  <c r="K236" i="4"/>
  <c r="K290" i="4"/>
  <c r="M290" i="4" s="1"/>
  <c r="L290" i="4"/>
  <c r="K423" i="4"/>
  <c r="M423" i="4" s="1"/>
  <c r="L423" i="4"/>
  <c r="K36" i="4"/>
  <c r="M36" i="4" s="1"/>
  <c r="L36" i="4"/>
  <c r="K164" i="4"/>
  <c r="M164" i="4" s="1"/>
  <c r="L164" i="4"/>
  <c r="K178" i="4"/>
  <c r="M178" i="4" s="1"/>
  <c r="L178" i="4"/>
  <c r="K422" i="4"/>
  <c r="M422" i="4" s="1"/>
  <c r="L422" i="4"/>
  <c r="K198" i="4"/>
  <c r="M198" i="4" s="1"/>
  <c r="L198" i="4"/>
  <c r="K350" i="4"/>
  <c r="M350" i="4" s="1"/>
  <c r="L350" i="4"/>
  <c r="K28" i="4"/>
  <c r="M28" i="4" s="1"/>
  <c r="L28" i="4"/>
  <c r="K543" i="4"/>
  <c r="K499" i="4"/>
  <c r="M499" i="4" s="1"/>
  <c r="L499" i="4"/>
  <c r="K90" i="4"/>
  <c r="K511" i="4"/>
  <c r="M511" i="4" s="1"/>
  <c r="L511" i="4"/>
  <c r="K98" i="4"/>
  <c r="M98" i="4" s="1"/>
  <c r="L98" i="4"/>
  <c r="K12" i="4"/>
  <c r="M12" i="4" s="1"/>
  <c r="L12" i="4"/>
  <c r="K126" i="4"/>
  <c r="M126" i="4" s="1"/>
  <c r="L126" i="4"/>
  <c r="K470" i="4"/>
  <c r="K275" i="4"/>
  <c r="M275" i="4" s="1"/>
  <c r="L275" i="4"/>
  <c r="K326" i="4"/>
  <c r="M326" i="4" s="1"/>
  <c r="L326" i="4"/>
  <c r="K232" i="4"/>
  <c r="M232" i="4" s="1"/>
  <c r="L232" i="4"/>
  <c r="K442" i="4"/>
  <c r="M442" i="4" s="1"/>
  <c r="L442" i="4"/>
  <c r="K509" i="4"/>
  <c r="M509" i="4" s="1"/>
  <c r="L509" i="4"/>
  <c r="K420" i="4"/>
  <c r="M420" i="4" s="1"/>
  <c r="L420" i="4"/>
  <c r="K145" i="4"/>
  <c r="M145" i="4" s="1"/>
  <c r="L145" i="4"/>
  <c r="K53" i="4"/>
  <c r="K166" i="4"/>
  <c r="M166" i="4" s="1"/>
  <c r="L166" i="4"/>
  <c r="K165" i="4"/>
  <c r="M165" i="4" s="1"/>
  <c r="L165" i="4"/>
  <c r="K489" i="4"/>
  <c r="K399" i="4"/>
  <c r="M399" i="4" s="1"/>
  <c r="L399" i="4"/>
  <c r="K225" i="4"/>
  <c r="K95" i="4"/>
  <c r="M95" i="4" s="1"/>
  <c r="L95" i="4"/>
  <c r="K207" i="4"/>
  <c r="M207" i="4" s="1"/>
  <c r="L207" i="4"/>
  <c r="K377" i="4"/>
  <c r="M377" i="4" s="1"/>
  <c r="L377" i="4"/>
  <c r="K81" i="4"/>
  <c r="K29" i="4"/>
  <c r="M29" i="4" s="1"/>
  <c r="L29" i="4"/>
  <c r="K312" i="4"/>
  <c r="M312" i="4" s="1"/>
  <c r="L312" i="4"/>
  <c r="K516" i="4"/>
  <c r="K24" i="4"/>
  <c r="M24" i="4" s="1"/>
  <c r="L24" i="4"/>
  <c r="K270" i="4"/>
  <c r="M270" i="4" s="1"/>
  <c r="L270" i="4"/>
  <c r="K414" i="4"/>
  <c r="M414" i="4" s="1"/>
  <c r="L414" i="4"/>
  <c r="K93" i="4"/>
  <c r="M93" i="4" s="1"/>
  <c r="L93" i="4"/>
  <c r="K379" i="4"/>
  <c r="M379" i="4" s="1"/>
  <c r="L379" i="4"/>
  <c r="K56" i="4"/>
  <c r="M56" i="4" s="1"/>
  <c r="L56" i="4"/>
  <c r="K220" i="4"/>
  <c r="M220" i="4" s="1"/>
  <c r="L220" i="4"/>
  <c r="K80" i="4"/>
  <c r="K22" i="4"/>
  <c r="M22" i="4" s="1"/>
  <c r="L22" i="4"/>
  <c r="K421" i="4"/>
  <c r="M421" i="4" s="1"/>
  <c r="L421" i="4"/>
  <c r="K523" i="4"/>
  <c r="K99" i="4"/>
  <c r="K408" i="4"/>
  <c r="M408" i="4" s="1"/>
  <c r="L408" i="4"/>
  <c r="K340" i="4"/>
  <c r="M340" i="4" s="1"/>
  <c r="L340" i="4"/>
  <c r="K132" i="4"/>
  <c r="K117" i="4"/>
  <c r="K284" i="4"/>
  <c r="M284" i="4" s="1"/>
  <c r="L284" i="4"/>
  <c r="K380" i="4"/>
  <c r="M380" i="4" s="1"/>
  <c r="L380" i="4"/>
  <c r="K231" i="4"/>
  <c r="K291" i="4"/>
  <c r="M291" i="4" s="1"/>
  <c r="L291" i="4"/>
  <c r="K410" i="4"/>
  <c r="M410" i="4" s="1"/>
  <c r="L410" i="4"/>
  <c r="K34" i="4"/>
  <c r="M34" i="4" s="1"/>
  <c r="L34" i="4"/>
  <c r="K44" i="4"/>
  <c r="M44" i="4" s="1"/>
  <c r="L44" i="4"/>
  <c r="K384" i="4"/>
  <c r="M384" i="4" s="1"/>
  <c r="L384" i="4"/>
  <c r="K298" i="4"/>
  <c r="M298" i="4" s="1"/>
  <c r="L298" i="4"/>
  <c r="K204" i="4"/>
  <c r="M204" i="4" s="1"/>
  <c r="L204" i="4"/>
  <c r="K437" i="4"/>
  <c r="K524" i="4"/>
  <c r="K119" i="4"/>
  <c r="M119" i="4" s="1"/>
  <c r="L119" i="4"/>
  <c r="K371" i="4"/>
  <c r="M371" i="4" s="1"/>
  <c r="L371" i="4"/>
  <c r="K324" i="4"/>
  <c r="M324" i="4" s="1"/>
  <c r="L324" i="4"/>
  <c r="K467" i="4"/>
  <c r="K179" i="4"/>
  <c r="M179" i="4" s="1"/>
  <c r="L179" i="4"/>
  <c r="K551" i="4"/>
  <c r="K87" i="4"/>
  <c r="M87" i="4" s="1"/>
  <c r="L87" i="4"/>
  <c r="K17" i="4"/>
  <c r="M17" i="4" s="1"/>
  <c r="L17" i="4"/>
  <c r="K497" i="4"/>
  <c r="M497" i="4" s="1"/>
  <c r="L497" i="4"/>
  <c r="K513" i="4"/>
  <c r="M513" i="4" s="1"/>
  <c r="L513" i="4"/>
  <c r="K477" i="4"/>
  <c r="K7" i="4"/>
  <c r="M7" i="4" s="1"/>
  <c r="L7" i="4"/>
  <c r="K362" i="4"/>
  <c r="M362" i="4" s="1"/>
  <c r="L362" i="4"/>
  <c r="K243" i="4"/>
  <c r="M243" i="4" s="1"/>
  <c r="L243" i="4"/>
  <c r="K277" i="4"/>
  <c r="M277" i="4" s="1"/>
  <c r="L277" i="4"/>
  <c r="K142" i="4"/>
  <c r="M142" i="4" s="1"/>
  <c r="L142" i="4"/>
  <c r="K464" i="4"/>
  <c r="K89" i="4"/>
  <c r="M89" i="4" s="1"/>
  <c r="L89" i="4"/>
  <c r="K542" i="4"/>
  <c r="K251" i="4"/>
  <c r="M251" i="4" s="1"/>
  <c r="L251" i="4"/>
  <c r="K210" i="4"/>
  <c r="M210" i="4" s="1"/>
  <c r="L210" i="4"/>
  <c r="K539" i="4"/>
  <c r="K25" i="4"/>
  <c r="M25" i="4" s="1"/>
  <c r="L25" i="4"/>
  <c r="K525" i="4"/>
  <c r="K474" i="4"/>
  <c r="M474" i="4" s="1"/>
  <c r="L474" i="4"/>
  <c r="K245" i="4"/>
  <c r="M245" i="4" s="1"/>
  <c r="L245" i="4"/>
  <c r="K389" i="4"/>
  <c r="M389" i="4" s="1"/>
  <c r="L389" i="4"/>
  <c r="K533" i="4"/>
  <c r="K476" i="4"/>
  <c r="M476" i="4" s="1"/>
  <c r="L476" i="4"/>
  <c r="K528" i="4"/>
  <c r="K526" i="4"/>
  <c r="K105" i="4"/>
  <c r="M105" i="4" s="1"/>
  <c r="L105" i="4"/>
  <c r="K282" i="4"/>
  <c r="M282" i="4" s="1"/>
  <c r="L282" i="4"/>
  <c r="K426" i="4"/>
  <c r="M426" i="4" s="1"/>
  <c r="L426" i="4"/>
  <c r="K156" i="4"/>
  <c r="M156" i="4" s="1"/>
  <c r="L156" i="4"/>
  <c r="K415" i="4"/>
  <c r="M415" i="4" s="1"/>
  <c r="L415" i="4"/>
  <c r="K121" i="4"/>
  <c r="M121" i="4" s="1"/>
  <c r="L121" i="4"/>
  <c r="K261" i="4"/>
  <c r="M261" i="4" s="1"/>
  <c r="L261" i="4"/>
  <c r="K549" i="4"/>
  <c r="K143" i="4"/>
  <c r="M143" i="4" s="1"/>
  <c r="L143" i="4"/>
  <c r="K208" i="4"/>
  <c r="K57" i="4"/>
  <c r="M57" i="4" s="1"/>
  <c r="L57" i="4"/>
  <c r="K535" i="4"/>
  <c r="K45" i="4"/>
  <c r="M45" i="4" s="1"/>
  <c r="L45" i="4"/>
  <c r="K352" i="4"/>
  <c r="M352" i="4" s="1"/>
  <c r="L352" i="4"/>
  <c r="K78" i="4"/>
  <c r="K229" i="4"/>
  <c r="M229" i="4" s="1"/>
  <c r="L229" i="4"/>
  <c r="K332" i="4"/>
  <c r="M332" i="4" s="1"/>
  <c r="L332" i="4"/>
  <c r="K416" i="4"/>
  <c r="M416" i="4" s="1"/>
  <c r="L416" i="4"/>
  <c r="K248" i="4"/>
  <c r="M248" i="4" s="1"/>
  <c r="L248" i="4"/>
  <c r="K43" i="12" a="1"/>
  <c r="K43" i="12" s="1"/>
  <c r="L43" i="12" s="1"/>
  <c r="F43" i="12" a="1"/>
  <c r="F43" i="12" s="1"/>
  <c r="G43" i="12" s="1"/>
  <c r="E2" i="1"/>
  <c r="E3" i="1"/>
  <c r="E4" i="1"/>
  <c r="E5" i="1"/>
  <c r="E6" i="1"/>
  <c r="E7" i="1"/>
  <c r="E8" i="1"/>
  <c r="E9" i="1"/>
  <c r="E10" i="1"/>
  <c r="C2" i="3"/>
  <c r="J2" i="3" s="1"/>
  <c r="C3" i="3"/>
  <c r="J3" i="3" s="1"/>
  <c r="C4" i="3"/>
  <c r="J4" i="3" s="1"/>
  <c r="C5" i="3"/>
  <c r="J5" i="3" s="1"/>
  <c r="C6" i="3"/>
  <c r="J6" i="3" s="1"/>
  <c r="C7" i="3"/>
  <c r="J7" i="3" s="1"/>
  <c r="C8" i="3"/>
  <c r="J8" i="3" s="1"/>
  <c r="C9" i="3"/>
  <c r="J9" i="3" s="1"/>
  <c r="C10" i="3"/>
  <c r="J10" i="3" s="1"/>
  <c r="C11" i="3"/>
  <c r="J11" i="3" s="1"/>
  <c r="C12" i="3"/>
  <c r="J12" i="3" s="1"/>
  <c r="C13" i="3"/>
  <c r="J13" i="3" s="1"/>
  <c r="C14" i="3"/>
  <c r="J14" i="3" s="1"/>
  <c r="C15" i="3"/>
  <c r="J15" i="3" s="1"/>
  <c r="C16" i="3"/>
  <c r="J16" i="3" s="1"/>
  <c r="C17" i="3"/>
  <c r="J17" i="3" s="1"/>
  <c r="C18" i="3"/>
  <c r="J18" i="3" s="1"/>
  <c r="C19" i="3"/>
  <c r="J19" i="3" s="1"/>
  <c r="C20" i="3"/>
  <c r="J20" i="3" s="1"/>
  <c r="C21" i="3"/>
  <c r="J21" i="3" s="1"/>
  <c r="C22" i="3"/>
  <c r="J22" i="3" s="1"/>
  <c r="C23" i="3"/>
  <c r="J23" i="3" s="1"/>
  <c r="C24" i="3"/>
  <c r="J24" i="3" s="1"/>
  <c r="C25" i="3"/>
  <c r="J25" i="3" s="1"/>
  <c r="C26" i="3"/>
  <c r="J26" i="3" s="1"/>
  <c r="C27" i="3"/>
  <c r="J27" i="3" s="1"/>
  <c r="C28" i="3"/>
  <c r="J28" i="3" s="1"/>
  <c r="C29" i="3"/>
  <c r="J29" i="3" s="1"/>
  <c r="C30" i="3"/>
  <c r="J30" i="3" s="1"/>
  <c r="C31" i="3"/>
  <c r="J31" i="3" s="1"/>
  <c r="C32" i="3"/>
  <c r="J32" i="3" s="1"/>
  <c r="C33" i="3"/>
  <c r="J33" i="3" s="1"/>
  <c r="C34" i="3"/>
  <c r="J34" i="3" s="1"/>
  <c r="C35" i="3"/>
  <c r="J35" i="3" s="1"/>
  <c r="C36" i="3"/>
  <c r="J36" i="3" s="1"/>
  <c r="C37" i="3"/>
  <c r="J37" i="3" s="1"/>
  <c r="C38" i="3"/>
  <c r="J38" i="3" s="1"/>
  <c r="C39" i="3"/>
  <c r="J39" i="3" s="1"/>
  <c r="C40" i="3"/>
  <c r="J40" i="3" s="1"/>
  <c r="C41" i="3"/>
  <c r="J41" i="3" s="1"/>
  <c r="C42" i="3"/>
  <c r="J42" i="3" s="1"/>
  <c r="C43" i="3"/>
  <c r="J43" i="3" s="1"/>
  <c r="C44" i="3"/>
  <c r="J44" i="3" s="1"/>
  <c r="C45" i="3"/>
  <c r="J45" i="3" s="1"/>
  <c r="C46" i="3"/>
  <c r="J46" i="3" s="1"/>
  <c r="C47" i="3"/>
  <c r="J47" i="3" s="1"/>
  <c r="C48" i="3"/>
  <c r="J48" i="3" s="1"/>
  <c r="C49" i="3"/>
  <c r="J49" i="3" s="1"/>
  <c r="C50" i="3"/>
  <c r="J50" i="3" s="1"/>
  <c r="C51" i="3"/>
  <c r="J51" i="3" s="1"/>
  <c r="C52" i="3"/>
  <c r="J52" i="3" s="1"/>
  <c r="C53" i="3"/>
  <c r="J53" i="3" s="1"/>
  <c r="C54" i="3"/>
  <c r="J54" i="3" s="1"/>
  <c r="C55" i="3"/>
  <c r="J55" i="3" s="1"/>
  <c r="C56" i="3"/>
  <c r="J56" i="3" s="1"/>
  <c r="C57" i="3"/>
  <c r="J57" i="3" s="1"/>
  <c r="C58" i="3"/>
  <c r="J58" i="3" s="1"/>
  <c r="C59" i="3"/>
  <c r="J59" i="3" s="1"/>
  <c r="C60" i="3"/>
  <c r="J60" i="3" s="1"/>
  <c r="C61" i="3"/>
  <c r="J61" i="3" s="1"/>
  <c r="C62" i="3"/>
  <c r="J62" i="3" s="1"/>
  <c r="C63" i="3"/>
  <c r="J63" i="3" s="1"/>
  <c r="C64" i="3"/>
  <c r="J64" i="3" s="1"/>
  <c r="C65" i="3"/>
  <c r="J65" i="3" s="1"/>
  <c r="C66" i="3"/>
  <c r="J66" i="3" s="1"/>
  <c r="C67" i="3"/>
  <c r="J67" i="3" s="1"/>
  <c r="C68" i="3"/>
  <c r="J68" i="3" s="1"/>
  <c r="C69" i="3"/>
  <c r="J69" i="3" s="1"/>
  <c r="C70" i="3"/>
  <c r="J70" i="3" s="1"/>
  <c r="C71" i="3"/>
  <c r="J71" i="3" s="1"/>
  <c r="C72" i="3"/>
  <c r="J72" i="3" s="1"/>
  <c r="C73" i="3"/>
  <c r="J73" i="3" s="1"/>
  <c r="C74" i="3"/>
  <c r="J74" i="3" s="1"/>
  <c r="C75" i="3"/>
  <c r="J75" i="3" s="1"/>
  <c r="C76" i="3"/>
  <c r="J76" i="3" s="1"/>
  <c r="C77" i="3"/>
  <c r="J77" i="3" s="1"/>
  <c r="C78" i="3"/>
  <c r="J78" i="3" s="1"/>
  <c r="C79" i="3"/>
  <c r="J79" i="3" s="1"/>
  <c r="C80" i="3"/>
  <c r="J80" i="3" s="1"/>
  <c r="C81" i="3"/>
  <c r="J81" i="3" s="1"/>
  <c r="C82" i="3"/>
  <c r="J82" i="3" s="1"/>
  <c r="C83" i="3"/>
  <c r="J83" i="3" s="1"/>
  <c r="C84" i="3"/>
  <c r="J84" i="3" s="1"/>
  <c r="C85" i="3"/>
  <c r="J85" i="3" s="1"/>
  <c r="C86" i="3"/>
  <c r="J86" i="3" s="1"/>
  <c r="C87" i="3"/>
  <c r="J87" i="3" s="1"/>
  <c r="C88" i="3"/>
  <c r="J88" i="3" s="1"/>
  <c r="C89" i="3"/>
  <c r="J89" i="3" s="1"/>
  <c r="C90" i="3"/>
  <c r="J90" i="3" s="1"/>
  <c r="C91" i="3"/>
  <c r="J91" i="3" s="1"/>
  <c r="C92" i="3"/>
  <c r="J92" i="3" s="1"/>
  <c r="C93" i="3"/>
  <c r="J93" i="3" s="1"/>
  <c r="C94" i="3"/>
  <c r="J94" i="3" s="1"/>
  <c r="C95" i="3"/>
  <c r="J95" i="3" s="1"/>
  <c r="C96" i="3"/>
  <c r="J96" i="3" s="1"/>
  <c r="C97" i="3"/>
  <c r="J97" i="3" s="1"/>
  <c r="C98" i="3"/>
  <c r="J98" i="3" s="1"/>
  <c r="C99" i="3"/>
  <c r="J99" i="3" s="1"/>
  <c r="C100" i="3"/>
  <c r="J100" i="3" s="1"/>
  <c r="C101" i="3"/>
  <c r="J101" i="3" s="1"/>
  <c r="C102" i="3"/>
  <c r="J102" i="3" s="1"/>
  <c r="C103" i="3"/>
  <c r="J103" i="3" s="1"/>
  <c r="C104" i="3"/>
  <c r="J104" i="3" s="1"/>
  <c r="C105" i="3"/>
  <c r="J105" i="3" s="1"/>
  <c r="C106" i="3"/>
  <c r="J106" i="3" s="1"/>
  <c r="C107" i="3"/>
  <c r="J107" i="3" s="1"/>
  <c r="C108" i="3"/>
  <c r="J108" i="3" s="1"/>
  <c r="C109" i="3"/>
  <c r="J109" i="3" s="1"/>
  <c r="C110" i="3"/>
  <c r="J110" i="3" s="1"/>
  <c r="C111" i="3"/>
  <c r="J111" i="3" s="1"/>
  <c r="C112" i="3"/>
  <c r="J112" i="3" s="1"/>
  <c r="C113" i="3"/>
  <c r="J113" i="3" s="1"/>
  <c r="C114" i="3"/>
  <c r="J114" i="3" s="1"/>
  <c r="C115" i="3"/>
  <c r="J115" i="3" s="1"/>
  <c r="C116" i="3"/>
  <c r="J116" i="3" s="1"/>
  <c r="C117" i="3"/>
  <c r="J117" i="3" s="1"/>
  <c r="C118" i="3"/>
  <c r="J118" i="3" s="1"/>
  <c r="C119" i="3"/>
  <c r="J119" i="3" s="1"/>
  <c r="C120" i="3"/>
  <c r="J120" i="3" s="1"/>
  <c r="C121" i="3"/>
  <c r="J121" i="3" s="1"/>
  <c r="C122" i="3"/>
  <c r="J122" i="3" s="1"/>
  <c r="C123" i="3"/>
  <c r="J123" i="3" s="1"/>
  <c r="C124" i="3"/>
  <c r="J124" i="3" s="1"/>
  <c r="C125" i="3"/>
  <c r="J125" i="3" s="1"/>
  <c r="C126" i="3"/>
  <c r="J126" i="3" s="1"/>
  <c r="C127" i="3"/>
  <c r="J127" i="3" s="1"/>
  <c r="C128" i="3"/>
  <c r="J128" i="3" s="1"/>
  <c r="C129" i="3"/>
  <c r="J129" i="3" s="1"/>
  <c r="C130" i="3"/>
  <c r="J130" i="3" s="1"/>
  <c r="C131" i="3"/>
  <c r="J131" i="3" s="1"/>
  <c r="C132" i="3"/>
  <c r="J132" i="3" s="1"/>
  <c r="C133" i="3"/>
  <c r="J133" i="3" s="1"/>
  <c r="C134" i="3"/>
  <c r="J134" i="3" s="1"/>
  <c r="C135" i="3"/>
  <c r="J135" i="3" s="1"/>
  <c r="C136" i="3"/>
  <c r="J136" i="3" s="1"/>
  <c r="C137" i="3"/>
  <c r="J137" i="3" s="1"/>
  <c r="C138" i="3"/>
  <c r="J138" i="3" s="1"/>
  <c r="C139" i="3"/>
  <c r="J139" i="3" s="1"/>
  <c r="C140" i="3"/>
  <c r="J140" i="3" s="1"/>
  <c r="C141" i="3"/>
  <c r="J141" i="3" s="1"/>
  <c r="C142" i="3"/>
  <c r="J142" i="3" s="1"/>
  <c r="C143" i="3"/>
  <c r="J143" i="3" s="1"/>
  <c r="C144" i="3"/>
  <c r="J144" i="3" s="1"/>
  <c r="C145" i="3"/>
  <c r="J145" i="3" s="1"/>
  <c r="C146" i="3"/>
  <c r="J146" i="3" s="1"/>
  <c r="C147" i="3"/>
  <c r="J147" i="3" s="1"/>
  <c r="C148" i="3"/>
  <c r="J148" i="3" s="1"/>
  <c r="C149" i="3"/>
  <c r="J149" i="3" s="1"/>
  <c r="C150" i="3"/>
  <c r="J150" i="3" s="1"/>
  <c r="C151" i="3"/>
  <c r="J151" i="3" s="1"/>
  <c r="C152" i="3"/>
  <c r="J152" i="3" s="1"/>
  <c r="C153" i="3"/>
  <c r="J153" i="3" s="1"/>
  <c r="C154" i="3"/>
  <c r="J154" i="3" s="1"/>
  <c r="C155" i="3"/>
  <c r="J155" i="3" s="1"/>
  <c r="C156" i="3"/>
  <c r="J156" i="3" s="1"/>
  <c r="C157" i="3"/>
  <c r="J157" i="3" s="1"/>
  <c r="C158" i="3"/>
  <c r="J158" i="3" s="1"/>
  <c r="C159" i="3"/>
  <c r="J159" i="3" s="1"/>
  <c r="C160" i="3"/>
  <c r="J160" i="3" s="1"/>
  <c r="C161" i="3"/>
  <c r="J161" i="3" s="1"/>
  <c r="C162" i="3"/>
  <c r="J162" i="3" s="1"/>
  <c r="C163" i="3"/>
  <c r="J163" i="3" s="1"/>
  <c r="C164" i="3"/>
  <c r="J164" i="3" s="1"/>
  <c r="C165" i="3"/>
  <c r="J165" i="3" s="1"/>
  <c r="C166" i="3"/>
  <c r="J166" i="3" s="1"/>
  <c r="C167" i="3"/>
  <c r="J167" i="3" s="1"/>
  <c r="C168" i="3"/>
  <c r="J168" i="3" s="1"/>
  <c r="C169" i="3"/>
  <c r="J169" i="3" s="1"/>
  <c r="C170" i="3"/>
  <c r="J170" i="3" s="1"/>
  <c r="C171" i="3"/>
  <c r="J171" i="3" s="1"/>
  <c r="C172" i="3"/>
  <c r="J172" i="3" s="1"/>
  <c r="C173" i="3"/>
  <c r="J173" i="3" s="1"/>
  <c r="C174" i="3"/>
  <c r="J174" i="3" s="1"/>
  <c r="C175" i="3"/>
  <c r="J175" i="3" s="1"/>
  <c r="C176" i="3"/>
  <c r="J176" i="3" s="1"/>
  <c r="C177" i="3"/>
  <c r="J177" i="3" s="1"/>
  <c r="C178" i="3"/>
  <c r="J178" i="3" s="1"/>
  <c r="C179" i="3"/>
  <c r="J179" i="3" s="1"/>
  <c r="C180" i="3"/>
  <c r="J180" i="3" s="1"/>
  <c r="C181" i="3"/>
  <c r="J181" i="3" s="1"/>
  <c r="C182" i="3"/>
  <c r="J182" i="3" s="1"/>
  <c r="C183" i="3"/>
  <c r="J183" i="3" s="1"/>
  <c r="C184" i="3"/>
  <c r="J184" i="3" s="1"/>
  <c r="C185" i="3"/>
  <c r="J185" i="3" s="1"/>
  <c r="C186" i="3"/>
  <c r="J186" i="3" s="1"/>
  <c r="C187" i="3"/>
  <c r="J187" i="3" s="1"/>
  <c r="C188" i="3"/>
  <c r="J188" i="3" s="1"/>
  <c r="C189" i="3"/>
  <c r="J189" i="3" s="1"/>
  <c r="C190" i="3"/>
  <c r="J190" i="3" s="1"/>
  <c r="C191" i="3"/>
  <c r="J191" i="3" s="1"/>
  <c r="C192" i="3"/>
  <c r="J192" i="3" s="1"/>
  <c r="C193" i="3"/>
  <c r="J193" i="3" s="1"/>
  <c r="C194" i="3"/>
  <c r="J194" i="3" s="1"/>
  <c r="C195" i="3"/>
  <c r="J195" i="3" s="1"/>
  <c r="C196" i="3"/>
  <c r="J196" i="3" s="1"/>
  <c r="C197" i="3"/>
  <c r="J197" i="3" s="1"/>
  <c r="C198" i="3"/>
  <c r="J198" i="3" s="1"/>
  <c r="C199" i="3"/>
  <c r="J199" i="3" s="1"/>
  <c r="C200" i="3"/>
  <c r="J200" i="3" s="1"/>
  <c r="C201" i="3"/>
  <c r="J201" i="3" s="1"/>
  <c r="C202" i="3"/>
  <c r="J202" i="3" s="1"/>
  <c r="C203" i="3"/>
  <c r="J203" i="3" s="1"/>
  <c r="C204" i="3"/>
  <c r="J204" i="3" s="1"/>
  <c r="C205" i="3"/>
  <c r="J205" i="3" s="1"/>
  <c r="C206" i="3"/>
  <c r="J206" i="3" s="1"/>
  <c r="C207" i="3"/>
  <c r="J207" i="3" s="1"/>
  <c r="C208" i="3"/>
  <c r="J208" i="3" s="1"/>
  <c r="C209" i="3"/>
  <c r="J209" i="3" s="1"/>
  <c r="C210" i="3"/>
  <c r="J210" i="3" s="1"/>
  <c r="C211" i="3"/>
  <c r="J211" i="3" s="1"/>
  <c r="C212" i="3"/>
  <c r="J212" i="3" s="1"/>
  <c r="C213" i="3"/>
  <c r="J213" i="3" s="1"/>
  <c r="C214" i="3"/>
  <c r="J214" i="3" s="1"/>
  <c r="C215" i="3"/>
  <c r="J215" i="3" s="1"/>
  <c r="C216" i="3"/>
  <c r="J216" i="3" s="1"/>
  <c r="C217" i="3"/>
  <c r="J217" i="3" s="1"/>
  <c r="C218" i="3"/>
  <c r="J218" i="3" s="1"/>
  <c r="C219" i="3"/>
  <c r="J219" i="3" s="1"/>
  <c r="C220" i="3"/>
  <c r="J220" i="3" s="1"/>
  <c r="C221" i="3"/>
  <c r="J221" i="3" s="1"/>
  <c r="C222" i="3"/>
  <c r="J222" i="3" s="1"/>
  <c r="C223" i="3"/>
  <c r="J223" i="3" s="1"/>
  <c r="C224" i="3"/>
  <c r="J224" i="3" s="1"/>
  <c r="C225" i="3"/>
  <c r="J225" i="3" s="1"/>
  <c r="C226" i="3"/>
  <c r="J226" i="3" s="1"/>
  <c r="C227" i="3"/>
  <c r="J227" i="3" s="1"/>
  <c r="C228" i="3"/>
  <c r="J228" i="3" s="1"/>
  <c r="C229" i="3"/>
  <c r="J229" i="3" s="1"/>
  <c r="C230" i="3"/>
  <c r="J230" i="3" s="1"/>
  <c r="C231" i="3"/>
  <c r="J231" i="3" s="1"/>
  <c r="C232" i="3"/>
  <c r="J232" i="3" s="1"/>
  <c r="C233" i="3"/>
  <c r="J233" i="3" s="1"/>
  <c r="C234" i="3"/>
  <c r="J234" i="3" s="1"/>
  <c r="C235" i="3"/>
  <c r="J235" i="3" s="1"/>
  <c r="C236" i="3"/>
  <c r="J236" i="3" s="1"/>
  <c r="C237" i="3"/>
  <c r="J237" i="3" s="1"/>
  <c r="C238" i="3"/>
  <c r="J238" i="3" s="1"/>
  <c r="C239" i="3"/>
  <c r="J239" i="3" s="1"/>
  <c r="C240" i="3"/>
  <c r="J240" i="3" s="1"/>
  <c r="C241" i="3"/>
  <c r="J241" i="3" s="1"/>
  <c r="C242" i="3"/>
  <c r="J242" i="3" s="1"/>
  <c r="C243" i="3"/>
  <c r="J243" i="3" s="1"/>
  <c r="C244" i="3"/>
  <c r="J244" i="3" s="1"/>
  <c r="C245" i="3"/>
  <c r="J245" i="3" s="1"/>
  <c r="C246" i="3"/>
  <c r="J246" i="3" s="1"/>
  <c r="C247" i="3"/>
  <c r="J247" i="3" s="1"/>
  <c r="C248" i="3"/>
  <c r="J248" i="3" s="1"/>
  <c r="C249" i="3"/>
  <c r="J249" i="3" s="1"/>
  <c r="C250" i="3"/>
  <c r="J250" i="3" s="1"/>
  <c r="C251" i="3"/>
  <c r="J251" i="3" s="1"/>
  <c r="C252" i="3"/>
  <c r="J252" i="3" s="1"/>
  <c r="C253" i="3"/>
  <c r="J253" i="3" s="1"/>
  <c r="C254" i="3"/>
  <c r="J254" i="3" s="1"/>
  <c r="C255" i="3"/>
  <c r="J255" i="3" s="1"/>
  <c r="C256" i="3"/>
  <c r="J256" i="3" s="1"/>
  <c r="C257" i="3"/>
  <c r="J257" i="3" s="1"/>
  <c r="C258" i="3"/>
  <c r="J258" i="3" s="1"/>
  <c r="C259" i="3"/>
  <c r="J259" i="3" s="1"/>
  <c r="C260" i="3"/>
  <c r="J260" i="3" s="1"/>
  <c r="C261" i="3"/>
  <c r="J261" i="3" s="1"/>
  <c r="C262" i="3"/>
  <c r="J262" i="3" s="1"/>
  <c r="C263" i="3"/>
  <c r="J263" i="3" s="1"/>
  <c r="C264" i="3"/>
  <c r="J264" i="3" s="1"/>
  <c r="C265" i="3"/>
  <c r="J265" i="3" s="1"/>
  <c r="C266" i="3"/>
  <c r="J266" i="3" s="1"/>
  <c r="C267" i="3"/>
  <c r="J267" i="3" s="1"/>
  <c r="C268" i="3"/>
  <c r="J268" i="3" s="1"/>
  <c r="C269" i="3"/>
  <c r="J269" i="3" s="1"/>
  <c r="C270" i="3"/>
  <c r="J270" i="3" s="1"/>
  <c r="C271" i="3"/>
  <c r="J271" i="3" s="1"/>
  <c r="C272" i="3"/>
  <c r="J272" i="3" s="1"/>
  <c r="C273" i="3"/>
  <c r="J273" i="3" s="1"/>
  <c r="C274" i="3"/>
  <c r="J274" i="3" s="1"/>
  <c r="C275" i="3"/>
  <c r="J275" i="3" s="1"/>
  <c r="C276" i="3"/>
  <c r="J276" i="3" s="1"/>
  <c r="C277" i="3"/>
  <c r="J277" i="3" s="1"/>
  <c r="C278" i="3"/>
  <c r="J278" i="3" s="1"/>
  <c r="C279" i="3"/>
  <c r="J279" i="3" s="1"/>
  <c r="C280" i="3"/>
  <c r="J280" i="3" s="1"/>
  <c r="C281" i="3"/>
  <c r="J281" i="3" s="1"/>
  <c r="C282" i="3"/>
  <c r="J282" i="3" s="1"/>
  <c r="C283" i="3"/>
  <c r="J283" i="3" s="1"/>
  <c r="C284" i="3"/>
  <c r="J284" i="3" s="1"/>
  <c r="C285" i="3"/>
  <c r="J285" i="3" s="1"/>
  <c r="C286" i="3"/>
  <c r="J286" i="3" s="1"/>
  <c r="C287" i="3"/>
  <c r="J287" i="3" s="1"/>
  <c r="C288" i="3"/>
  <c r="J288" i="3" s="1"/>
  <c r="C289" i="3"/>
  <c r="J289" i="3" s="1"/>
  <c r="C290" i="3"/>
  <c r="J290" i="3" s="1"/>
  <c r="C291" i="3"/>
  <c r="J291" i="3" s="1"/>
  <c r="C292" i="3"/>
  <c r="J292" i="3" s="1"/>
  <c r="C293" i="3"/>
  <c r="J293" i="3" s="1"/>
  <c r="C294" i="3"/>
  <c r="J294" i="3" s="1"/>
  <c r="C295" i="3"/>
  <c r="J295" i="3" s="1"/>
  <c r="C296" i="3"/>
  <c r="J296" i="3" s="1"/>
  <c r="C297" i="3"/>
  <c r="J297" i="3" s="1"/>
  <c r="C298" i="3"/>
  <c r="J298" i="3" s="1"/>
  <c r="C299" i="3"/>
  <c r="J299" i="3" s="1"/>
  <c r="C300" i="3"/>
  <c r="J300" i="3" s="1"/>
  <c r="C301" i="3"/>
  <c r="J301" i="3" s="1"/>
  <c r="C302" i="3"/>
  <c r="J302" i="3" s="1"/>
  <c r="C303" i="3"/>
  <c r="J303" i="3" s="1"/>
  <c r="C304" i="3"/>
  <c r="J304" i="3" s="1"/>
  <c r="C305" i="3"/>
  <c r="J305" i="3" s="1"/>
  <c r="C306" i="3"/>
  <c r="J306" i="3" s="1"/>
  <c r="C307" i="3"/>
  <c r="J307" i="3" s="1"/>
  <c r="C308" i="3"/>
  <c r="J308" i="3" s="1"/>
  <c r="C309" i="3"/>
  <c r="J309" i="3" s="1"/>
  <c r="C310" i="3"/>
  <c r="J310" i="3" s="1"/>
  <c r="C311" i="3"/>
  <c r="J311" i="3" s="1"/>
  <c r="C312" i="3"/>
  <c r="J312" i="3" s="1"/>
  <c r="C313" i="3"/>
  <c r="J313" i="3" s="1"/>
  <c r="C314" i="3"/>
  <c r="J314" i="3" s="1"/>
  <c r="C315" i="3"/>
  <c r="J315" i="3" s="1"/>
  <c r="C316" i="3"/>
  <c r="J316" i="3" s="1"/>
  <c r="C317" i="3"/>
  <c r="J317" i="3" s="1"/>
  <c r="C318" i="3"/>
  <c r="J318" i="3" s="1"/>
  <c r="C319" i="3"/>
  <c r="J319" i="3" s="1"/>
  <c r="C320" i="3"/>
  <c r="J320" i="3" s="1"/>
  <c r="C321" i="3"/>
  <c r="J321" i="3" s="1"/>
  <c r="C322" i="3"/>
  <c r="J322" i="3" s="1"/>
  <c r="C323" i="3"/>
  <c r="J323" i="3" s="1"/>
  <c r="C324" i="3"/>
  <c r="J324" i="3" s="1"/>
  <c r="C325" i="3"/>
  <c r="J325" i="3" s="1"/>
  <c r="C326" i="3"/>
  <c r="J326" i="3" s="1"/>
  <c r="C327" i="3"/>
  <c r="J327" i="3" s="1"/>
  <c r="C328" i="3"/>
  <c r="J328" i="3" s="1"/>
  <c r="C329" i="3"/>
  <c r="J329" i="3" s="1"/>
  <c r="C330" i="3"/>
  <c r="J330" i="3" s="1"/>
  <c r="C331" i="3"/>
  <c r="J331" i="3" s="1"/>
  <c r="C332" i="3"/>
  <c r="J332" i="3" s="1"/>
  <c r="C333" i="3"/>
  <c r="J333" i="3" s="1"/>
  <c r="C334" i="3"/>
  <c r="J334" i="3" s="1"/>
  <c r="C335" i="3"/>
  <c r="J335" i="3" s="1"/>
  <c r="C336" i="3"/>
  <c r="J336" i="3" s="1"/>
  <c r="C337" i="3"/>
  <c r="J337" i="3" s="1"/>
  <c r="C338" i="3"/>
  <c r="J338" i="3" s="1"/>
  <c r="C339" i="3"/>
  <c r="J339" i="3" s="1"/>
  <c r="C340" i="3"/>
  <c r="J340" i="3" s="1"/>
  <c r="C341" i="3"/>
  <c r="J341" i="3" s="1"/>
  <c r="C342" i="3"/>
  <c r="J342" i="3" s="1"/>
  <c r="C343" i="3"/>
  <c r="J343" i="3" s="1"/>
  <c r="C344" i="3"/>
  <c r="J344" i="3" s="1"/>
  <c r="C345" i="3"/>
  <c r="J345" i="3" s="1"/>
  <c r="C346" i="3"/>
  <c r="J346" i="3" s="1"/>
  <c r="C347" i="3"/>
  <c r="J347" i="3" s="1"/>
  <c r="C348" i="3"/>
  <c r="J348" i="3" s="1"/>
  <c r="C349" i="3"/>
  <c r="J349" i="3" s="1"/>
  <c r="C350" i="3"/>
  <c r="J350" i="3" s="1"/>
  <c r="C351" i="3"/>
  <c r="J351" i="3" s="1"/>
  <c r="C352" i="3"/>
  <c r="J352" i="3" s="1"/>
  <c r="C353" i="3"/>
  <c r="J353" i="3" s="1"/>
  <c r="C354" i="3"/>
  <c r="J354" i="3" s="1"/>
  <c r="C355" i="3"/>
  <c r="J355" i="3" s="1"/>
  <c r="C356" i="3"/>
  <c r="J356" i="3" s="1"/>
  <c r="C357" i="3"/>
  <c r="J357" i="3" s="1"/>
  <c r="C358" i="3"/>
  <c r="J358" i="3" s="1"/>
  <c r="C359" i="3"/>
  <c r="J359" i="3" s="1"/>
  <c r="C360" i="3"/>
  <c r="J360" i="3" s="1"/>
  <c r="C361" i="3"/>
  <c r="J361" i="3" s="1"/>
  <c r="C362" i="3"/>
  <c r="J362" i="3" s="1"/>
  <c r="C363" i="3"/>
  <c r="J363" i="3" s="1"/>
  <c r="C364" i="3"/>
  <c r="J364" i="3" s="1"/>
  <c r="C365" i="3"/>
  <c r="J365" i="3" s="1"/>
  <c r="C366" i="3"/>
  <c r="J366" i="3" s="1"/>
  <c r="C367" i="3"/>
  <c r="J367" i="3" s="1"/>
  <c r="C368" i="3"/>
  <c r="J368" i="3" s="1"/>
  <c r="C369" i="3"/>
  <c r="J369" i="3" s="1"/>
  <c r="C370" i="3"/>
  <c r="J370" i="3" s="1"/>
  <c r="C371" i="3"/>
  <c r="J371" i="3" s="1"/>
  <c r="C372" i="3"/>
  <c r="J372" i="3" s="1"/>
  <c r="C373" i="3"/>
  <c r="J373" i="3" s="1"/>
  <c r="C374" i="3"/>
  <c r="J374" i="3" s="1"/>
  <c r="C375" i="3"/>
  <c r="J375" i="3" s="1"/>
  <c r="C376" i="3"/>
  <c r="J376" i="3" s="1"/>
  <c r="C377" i="3"/>
  <c r="J377" i="3" s="1"/>
  <c r="C378" i="3"/>
  <c r="J378" i="3" s="1"/>
  <c r="C379" i="3"/>
  <c r="J379" i="3" s="1"/>
  <c r="C380" i="3"/>
  <c r="J380" i="3" s="1"/>
  <c r="C381" i="3"/>
  <c r="J381" i="3" s="1"/>
  <c r="C382" i="3"/>
  <c r="J382" i="3" s="1"/>
  <c r="C383" i="3"/>
  <c r="J383" i="3" s="1"/>
  <c r="C384" i="3"/>
  <c r="J384" i="3" s="1"/>
  <c r="C385" i="3"/>
  <c r="J385" i="3" s="1"/>
  <c r="C386" i="3"/>
  <c r="J386" i="3" s="1"/>
  <c r="C387" i="3"/>
  <c r="J387" i="3" s="1"/>
  <c r="C388" i="3"/>
  <c r="J388" i="3" s="1"/>
  <c r="C389" i="3"/>
  <c r="J389" i="3" s="1"/>
  <c r="C390" i="3"/>
  <c r="J390" i="3" s="1"/>
  <c r="C391" i="3"/>
  <c r="J391" i="3" s="1"/>
  <c r="C392" i="3"/>
  <c r="J392" i="3" s="1"/>
  <c r="C393" i="3"/>
  <c r="J393" i="3" s="1"/>
  <c r="C394" i="3"/>
  <c r="J394" i="3" s="1"/>
  <c r="C395" i="3"/>
  <c r="J395" i="3" s="1"/>
  <c r="C396" i="3"/>
  <c r="J396" i="3" s="1"/>
  <c r="C397" i="3"/>
  <c r="J397" i="3" s="1"/>
  <c r="C398" i="3"/>
  <c r="J398" i="3" s="1"/>
  <c r="C399" i="3"/>
  <c r="J399" i="3" s="1"/>
  <c r="C400" i="3"/>
  <c r="J400" i="3" s="1"/>
  <c r="C401" i="3"/>
  <c r="J401" i="3" s="1"/>
  <c r="C402" i="3"/>
  <c r="J402" i="3" s="1"/>
  <c r="C403" i="3"/>
  <c r="J403" i="3" s="1"/>
  <c r="C404" i="3"/>
  <c r="J404" i="3" s="1"/>
  <c r="C405" i="3"/>
  <c r="J405" i="3" s="1"/>
  <c r="C406" i="3"/>
  <c r="J406" i="3" s="1"/>
  <c r="C407" i="3"/>
  <c r="J407" i="3" s="1"/>
  <c r="C408" i="3"/>
  <c r="J408" i="3" s="1"/>
  <c r="C409" i="3"/>
  <c r="J409" i="3" s="1"/>
  <c r="C410" i="3"/>
  <c r="J410" i="3" s="1"/>
  <c r="C411" i="3"/>
  <c r="J411" i="3" s="1"/>
  <c r="C412" i="3"/>
  <c r="J412" i="3" s="1"/>
  <c r="C413" i="3"/>
  <c r="J413" i="3" s="1"/>
  <c r="C414" i="3"/>
  <c r="J414" i="3" s="1"/>
  <c r="C415" i="3"/>
  <c r="J415" i="3" s="1"/>
  <c r="C416" i="3"/>
  <c r="J416" i="3" s="1"/>
  <c r="C417" i="3"/>
  <c r="J417" i="3" s="1"/>
  <c r="C418" i="3"/>
  <c r="J418" i="3" s="1"/>
  <c r="C419" i="3"/>
  <c r="J419" i="3" s="1"/>
  <c r="C420" i="3"/>
  <c r="J420" i="3" s="1"/>
  <c r="C421" i="3"/>
  <c r="J421" i="3" s="1"/>
  <c r="C422" i="3"/>
  <c r="J422" i="3" s="1"/>
  <c r="C423" i="3"/>
  <c r="J423" i="3" s="1"/>
  <c r="C424" i="3"/>
  <c r="J424" i="3" s="1"/>
  <c r="C425" i="3"/>
  <c r="J425" i="3" s="1"/>
  <c r="C426" i="3"/>
  <c r="J426" i="3" s="1"/>
  <c r="C427" i="3"/>
  <c r="J427" i="3" s="1"/>
  <c r="C428" i="3"/>
  <c r="J428" i="3" s="1"/>
  <c r="C429" i="3"/>
  <c r="J429" i="3" s="1"/>
  <c r="C430" i="3"/>
  <c r="J430" i="3" s="1"/>
  <c r="C431" i="3"/>
  <c r="J431" i="3" s="1"/>
  <c r="C432" i="3"/>
  <c r="J432" i="3" s="1"/>
  <c r="C433" i="3"/>
  <c r="J433" i="3" s="1"/>
  <c r="C434" i="3"/>
  <c r="J434" i="3" s="1"/>
  <c r="C435" i="3"/>
  <c r="J435" i="3" s="1"/>
  <c r="C436" i="3"/>
  <c r="J436" i="3" s="1"/>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2" i="2"/>
  <c r="L45" i="12" l="1"/>
  <c r="L46" i="12"/>
  <c r="L51" i="12"/>
  <c r="L44" i="12"/>
  <c r="L50" i="12"/>
  <c r="L49" i="12"/>
  <c r="L48" i="12"/>
  <c r="L47" i="12"/>
  <c r="G51" i="12"/>
  <c r="G50" i="12"/>
  <c r="G48" i="12"/>
  <c r="G47" i="12"/>
  <c r="G49" i="12"/>
  <c r="G46" i="12"/>
  <c r="G45" i="12"/>
  <c r="G44" i="12"/>
  <c r="K409" i="3"/>
  <c r="K265" i="3"/>
  <c r="K121" i="3"/>
  <c r="K433" i="3"/>
  <c r="K289" i="3"/>
  <c r="K145" i="3"/>
  <c r="K421" i="3"/>
  <c r="K277" i="3"/>
  <c r="K133" i="3"/>
  <c r="K397" i="3"/>
  <c r="K253" i="3"/>
  <c r="K109" i="3"/>
  <c r="K385" i="3"/>
  <c r="K241" i="3"/>
  <c r="K97" i="3"/>
  <c r="K373" i="3"/>
  <c r="K229" i="3"/>
  <c r="K85" i="3"/>
  <c r="K361" i="3"/>
  <c r="K217" i="3"/>
  <c r="K73" i="3"/>
  <c r="K349" i="3"/>
  <c r="K205" i="3"/>
  <c r="K61" i="3"/>
  <c r="K337" i="3"/>
  <c r="K193" i="3"/>
  <c r="K49" i="3"/>
  <c r="M397" i="3"/>
  <c r="K325" i="3"/>
  <c r="K181" i="3"/>
  <c r="K37" i="3"/>
  <c r="M253" i="3"/>
  <c r="K313" i="3"/>
  <c r="K169" i="3"/>
  <c r="K25" i="3"/>
  <c r="M109" i="3"/>
  <c r="K301" i="3"/>
  <c r="K157" i="3"/>
  <c r="K13" i="3"/>
  <c r="M385" i="3"/>
  <c r="M241" i="3"/>
  <c r="M97" i="3"/>
  <c r="K432" i="3"/>
  <c r="K420" i="3"/>
  <c r="K408" i="3"/>
  <c r="K396" i="3"/>
  <c r="K384" i="3"/>
  <c r="K372" i="3"/>
  <c r="K360" i="3"/>
  <c r="K348" i="3"/>
  <c r="K336" i="3"/>
  <c r="K324" i="3"/>
  <c r="K312" i="3"/>
  <c r="K300" i="3"/>
  <c r="K288" i="3"/>
  <c r="K276" i="3"/>
  <c r="K264" i="3"/>
  <c r="K252" i="3"/>
  <c r="K240" i="3"/>
  <c r="K228" i="3"/>
  <c r="K216" i="3"/>
  <c r="K204" i="3"/>
  <c r="K192" i="3"/>
  <c r="K180" i="3"/>
  <c r="K168" i="3"/>
  <c r="K156" i="3"/>
  <c r="K144" i="3"/>
  <c r="K132" i="3"/>
  <c r="K120" i="3"/>
  <c r="K108" i="3"/>
  <c r="K96" i="3"/>
  <c r="K84" i="3"/>
  <c r="K72" i="3"/>
  <c r="K60" i="3"/>
  <c r="K48" i="3"/>
  <c r="K36" i="3"/>
  <c r="K24" i="3"/>
  <c r="K12" i="3"/>
  <c r="M373" i="3"/>
  <c r="M229" i="3"/>
  <c r="M85" i="3"/>
  <c r="K431" i="3"/>
  <c r="K419" i="3"/>
  <c r="K407" i="3"/>
  <c r="K395" i="3"/>
  <c r="K383" i="3"/>
  <c r="K371" i="3"/>
  <c r="K359" i="3"/>
  <c r="K347" i="3"/>
  <c r="K335" i="3"/>
  <c r="K323" i="3"/>
  <c r="K311" i="3"/>
  <c r="K299" i="3"/>
  <c r="K287" i="3"/>
  <c r="K275" i="3"/>
  <c r="K263" i="3"/>
  <c r="K251" i="3"/>
  <c r="K239" i="3"/>
  <c r="K227" i="3"/>
  <c r="K215" i="3"/>
  <c r="K203" i="3"/>
  <c r="K191" i="3"/>
  <c r="K179" i="3"/>
  <c r="K167" i="3"/>
  <c r="K155" i="3"/>
  <c r="K143" i="3"/>
  <c r="K131" i="3"/>
  <c r="K119" i="3"/>
  <c r="K107" i="3"/>
  <c r="K95" i="3"/>
  <c r="K83" i="3"/>
  <c r="K71" i="3"/>
  <c r="K59" i="3"/>
  <c r="K47" i="3"/>
  <c r="K35" i="3"/>
  <c r="K23" i="3"/>
  <c r="K11" i="3"/>
  <c r="M361" i="3"/>
  <c r="M217" i="3"/>
  <c r="M73" i="3"/>
  <c r="K430" i="3"/>
  <c r="K418" i="3"/>
  <c r="K406" i="3"/>
  <c r="K394" i="3"/>
  <c r="K382" i="3"/>
  <c r="K370" i="3"/>
  <c r="K358" i="3"/>
  <c r="K346" i="3"/>
  <c r="K334" i="3"/>
  <c r="K322" i="3"/>
  <c r="K310" i="3"/>
  <c r="K298" i="3"/>
  <c r="K286" i="3"/>
  <c r="K274" i="3"/>
  <c r="K262" i="3"/>
  <c r="K250" i="3"/>
  <c r="K238" i="3"/>
  <c r="K226" i="3"/>
  <c r="K214" i="3"/>
  <c r="K202" i="3"/>
  <c r="K190" i="3"/>
  <c r="K178" i="3"/>
  <c r="K166" i="3"/>
  <c r="K154" i="3"/>
  <c r="K142" i="3"/>
  <c r="K130" i="3"/>
  <c r="K118" i="3"/>
  <c r="K106" i="3"/>
  <c r="K94" i="3"/>
  <c r="K82" i="3"/>
  <c r="K70" i="3"/>
  <c r="K58" i="3"/>
  <c r="K46" i="3"/>
  <c r="K34" i="3"/>
  <c r="K22" i="3"/>
  <c r="K10" i="3"/>
  <c r="M349" i="3"/>
  <c r="M205" i="3"/>
  <c r="M61" i="3"/>
  <c r="K429" i="3"/>
  <c r="K417" i="3"/>
  <c r="K405" i="3"/>
  <c r="K393" i="3"/>
  <c r="K381" i="3"/>
  <c r="K369" i="3"/>
  <c r="K357" i="3"/>
  <c r="K345" i="3"/>
  <c r="K333" i="3"/>
  <c r="K321" i="3"/>
  <c r="K309" i="3"/>
  <c r="K297" i="3"/>
  <c r="K285" i="3"/>
  <c r="K273" i="3"/>
  <c r="K261" i="3"/>
  <c r="K249" i="3"/>
  <c r="K237" i="3"/>
  <c r="K225" i="3"/>
  <c r="K213" i="3"/>
  <c r="K201" i="3"/>
  <c r="K189" i="3"/>
  <c r="K177" i="3"/>
  <c r="K165" i="3"/>
  <c r="K153" i="3"/>
  <c r="K141" i="3"/>
  <c r="K129" i="3"/>
  <c r="K117" i="3"/>
  <c r="K105" i="3"/>
  <c r="K93" i="3"/>
  <c r="K81" i="3"/>
  <c r="K69" i="3"/>
  <c r="K57" i="3"/>
  <c r="K45" i="3"/>
  <c r="K33" i="3"/>
  <c r="K21" i="3"/>
  <c r="K9" i="3"/>
  <c r="M337" i="3"/>
  <c r="M193" i="3"/>
  <c r="M49" i="3"/>
  <c r="K428" i="3"/>
  <c r="K416" i="3"/>
  <c r="K404" i="3"/>
  <c r="K392" i="3"/>
  <c r="K380" i="3"/>
  <c r="K368" i="3"/>
  <c r="K356" i="3"/>
  <c r="K344" i="3"/>
  <c r="K332" i="3"/>
  <c r="K320" i="3"/>
  <c r="K308" i="3"/>
  <c r="K296" i="3"/>
  <c r="K284" i="3"/>
  <c r="K272" i="3"/>
  <c r="K260" i="3"/>
  <c r="K248" i="3"/>
  <c r="K236" i="3"/>
  <c r="K224" i="3"/>
  <c r="K212" i="3"/>
  <c r="K200" i="3"/>
  <c r="K188" i="3"/>
  <c r="K176" i="3"/>
  <c r="K164" i="3"/>
  <c r="K152" i="3"/>
  <c r="K140" i="3"/>
  <c r="K128" i="3"/>
  <c r="K116" i="3"/>
  <c r="K104" i="3"/>
  <c r="K92" i="3"/>
  <c r="K80" i="3"/>
  <c r="K68" i="3"/>
  <c r="K56" i="3"/>
  <c r="K44" i="3"/>
  <c r="K32" i="3"/>
  <c r="K20" i="3"/>
  <c r="K8" i="3"/>
  <c r="M325" i="3"/>
  <c r="M181" i="3"/>
  <c r="M37" i="3"/>
  <c r="K427" i="3"/>
  <c r="K415" i="3"/>
  <c r="K403" i="3"/>
  <c r="K391" i="3"/>
  <c r="K379" i="3"/>
  <c r="K367" i="3"/>
  <c r="K355" i="3"/>
  <c r="K343" i="3"/>
  <c r="K331" i="3"/>
  <c r="K319" i="3"/>
  <c r="K307" i="3"/>
  <c r="K295" i="3"/>
  <c r="K283" i="3"/>
  <c r="K271" i="3"/>
  <c r="K259" i="3"/>
  <c r="K247" i="3"/>
  <c r="K235" i="3"/>
  <c r="K223" i="3"/>
  <c r="K211" i="3"/>
  <c r="K199" i="3"/>
  <c r="K187" i="3"/>
  <c r="K175" i="3"/>
  <c r="K163" i="3"/>
  <c r="K151" i="3"/>
  <c r="K139" i="3"/>
  <c r="K127" i="3"/>
  <c r="K115" i="3"/>
  <c r="K103" i="3"/>
  <c r="K91" i="3"/>
  <c r="K79" i="3"/>
  <c r="K67" i="3"/>
  <c r="K55" i="3"/>
  <c r="K43" i="3"/>
  <c r="K31" i="3"/>
  <c r="K19" i="3"/>
  <c r="K7" i="3"/>
  <c r="M313" i="3"/>
  <c r="M169" i="3"/>
  <c r="M25" i="3"/>
  <c r="K426" i="3"/>
  <c r="K414" i="3"/>
  <c r="K402" i="3"/>
  <c r="K390" i="3"/>
  <c r="K378" i="3"/>
  <c r="K366" i="3"/>
  <c r="K354" i="3"/>
  <c r="K342" i="3"/>
  <c r="K330" i="3"/>
  <c r="K318" i="3"/>
  <c r="K306" i="3"/>
  <c r="K294" i="3"/>
  <c r="K282" i="3"/>
  <c r="K270" i="3"/>
  <c r="K258" i="3"/>
  <c r="K246" i="3"/>
  <c r="K234" i="3"/>
  <c r="K222" i="3"/>
  <c r="K210" i="3"/>
  <c r="K198" i="3"/>
  <c r="K186" i="3"/>
  <c r="K174" i="3"/>
  <c r="K162" i="3"/>
  <c r="K150" i="3"/>
  <c r="K138" i="3"/>
  <c r="K126" i="3"/>
  <c r="K114" i="3"/>
  <c r="K102" i="3"/>
  <c r="K90" i="3"/>
  <c r="K78" i="3"/>
  <c r="K66" i="3"/>
  <c r="K54" i="3"/>
  <c r="K42" i="3"/>
  <c r="K30" i="3"/>
  <c r="K18" i="3"/>
  <c r="K6" i="3"/>
  <c r="M301" i="3"/>
  <c r="M157" i="3"/>
  <c r="M13" i="3"/>
  <c r="K425" i="3"/>
  <c r="K413" i="3"/>
  <c r="K401" i="3"/>
  <c r="K389" i="3"/>
  <c r="K377" i="3"/>
  <c r="K365" i="3"/>
  <c r="K353" i="3"/>
  <c r="K341" i="3"/>
  <c r="K329" i="3"/>
  <c r="K317" i="3"/>
  <c r="K305" i="3"/>
  <c r="K293" i="3"/>
  <c r="K281" i="3"/>
  <c r="K269" i="3"/>
  <c r="K257" i="3"/>
  <c r="K245" i="3"/>
  <c r="K233" i="3"/>
  <c r="K221" i="3"/>
  <c r="K209" i="3"/>
  <c r="K197" i="3"/>
  <c r="K185" i="3"/>
  <c r="K173" i="3"/>
  <c r="K161" i="3"/>
  <c r="K149" i="3"/>
  <c r="K137" i="3"/>
  <c r="K125" i="3"/>
  <c r="K113" i="3"/>
  <c r="K101" i="3"/>
  <c r="K89" i="3"/>
  <c r="K77" i="3"/>
  <c r="K65" i="3"/>
  <c r="K53" i="3"/>
  <c r="K41" i="3"/>
  <c r="K29" i="3"/>
  <c r="K17" i="3"/>
  <c r="K5" i="3"/>
  <c r="M433" i="3"/>
  <c r="M289" i="3"/>
  <c r="M145" i="3"/>
  <c r="K436" i="3"/>
  <c r="K424" i="3"/>
  <c r="K412" i="3"/>
  <c r="K400" i="3"/>
  <c r="K388" i="3"/>
  <c r="K376" i="3"/>
  <c r="K364" i="3"/>
  <c r="K352" i="3"/>
  <c r="K340" i="3"/>
  <c r="K328" i="3"/>
  <c r="K316" i="3"/>
  <c r="K304" i="3"/>
  <c r="K292" i="3"/>
  <c r="K280" i="3"/>
  <c r="K268" i="3"/>
  <c r="K256" i="3"/>
  <c r="K244" i="3"/>
  <c r="K232" i="3"/>
  <c r="K220" i="3"/>
  <c r="K208" i="3"/>
  <c r="K196" i="3"/>
  <c r="K184" i="3"/>
  <c r="K172" i="3"/>
  <c r="K160" i="3"/>
  <c r="K148" i="3"/>
  <c r="K136" i="3"/>
  <c r="K124" i="3"/>
  <c r="K112" i="3"/>
  <c r="K100" i="3"/>
  <c r="K88" i="3"/>
  <c r="K76" i="3"/>
  <c r="K64" i="3"/>
  <c r="K52" i="3"/>
  <c r="K40" i="3"/>
  <c r="K28" i="3"/>
  <c r="K16" i="3"/>
  <c r="K4" i="3"/>
  <c r="M421" i="3"/>
  <c r="M277" i="3"/>
  <c r="M133" i="3"/>
  <c r="K435" i="3"/>
  <c r="K423" i="3"/>
  <c r="K411" i="3"/>
  <c r="K399" i="3"/>
  <c r="K387" i="3"/>
  <c r="K375" i="3"/>
  <c r="K363" i="3"/>
  <c r="K351" i="3"/>
  <c r="K339" i="3"/>
  <c r="K327" i="3"/>
  <c r="K315" i="3"/>
  <c r="K303" i="3"/>
  <c r="K291" i="3"/>
  <c r="K279" i="3"/>
  <c r="K267" i="3"/>
  <c r="K255" i="3"/>
  <c r="K243" i="3"/>
  <c r="K231" i="3"/>
  <c r="K219" i="3"/>
  <c r="K207" i="3"/>
  <c r="K195" i="3"/>
  <c r="K183" i="3"/>
  <c r="K171" i="3"/>
  <c r="K159" i="3"/>
  <c r="K147" i="3"/>
  <c r="K135" i="3"/>
  <c r="K123" i="3"/>
  <c r="K111" i="3"/>
  <c r="K99" i="3"/>
  <c r="K87" i="3"/>
  <c r="K75" i="3"/>
  <c r="K63" i="3"/>
  <c r="K51" i="3"/>
  <c r="K39" i="3"/>
  <c r="K27" i="3"/>
  <c r="K15" i="3"/>
  <c r="K3" i="3"/>
  <c r="M409" i="3"/>
  <c r="M265" i="3"/>
  <c r="M121" i="3"/>
  <c r="K434" i="3"/>
  <c r="K422" i="3"/>
  <c r="K410" i="3"/>
  <c r="K398" i="3"/>
  <c r="K386" i="3"/>
  <c r="K374" i="3"/>
  <c r="K362" i="3"/>
  <c r="K350" i="3"/>
  <c r="K338" i="3"/>
  <c r="K326" i="3"/>
  <c r="K314" i="3"/>
  <c r="K302" i="3"/>
  <c r="K290" i="3"/>
  <c r="K278" i="3"/>
  <c r="K266" i="3"/>
  <c r="K254" i="3"/>
  <c r="K242" i="3"/>
  <c r="K230" i="3"/>
  <c r="K218" i="3"/>
  <c r="K206" i="3"/>
  <c r="K194" i="3"/>
  <c r="K182" i="3"/>
  <c r="K170" i="3"/>
  <c r="K158" i="3"/>
  <c r="K146" i="3"/>
  <c r="K134" i="3"/>
  <c r="K122" i="3"/>
  <c r="K110" i="3"/>
  <c r="K98" i="3"/>
  <c r="K86" i="3"/>
  <c r="K74" i="3"/>
  <c r="K62" i="3"/>
  <c r="K50" i="3"/>
  <c r="K38" i="3"/>
  <c r="K26" i="3"/>
  <c r="K14" i="3"/>
  <c r="K2" i="3"/>
  <c r="M432" i="3"/>
  <c r="M420" i="3"/>
  <c r="M408" i="3"/>
  <c r="M396" i="3"/>
  <c r="M384" i="3"/>
  <c r="M372" i="3"/>
  <c r="M360" i="3"/>
  <c r="M348" i="3"/>
  <c r="M336" i="3"/>
  <c r="M324" i="3"/>
  <c r="M312" i="3"/>
  <c r="M300" i="3"/>
  <c r="M288" i="3"/>
  <c r="M276" i="3"/>
  <c r="M264" i="3"/>
  <c r="M252" i="3"/>
  <c r="M240" i="3"/>
  <c r="M228" i="3"/>
  <c r="M216" i="3"/>
  <c r="M204" i="3"/>
  <c r="M192" i="3"/>
  <c r="M180" i="3"/>
  <c r="M168" i="3"/>
  <c r="M156" i="3"/>
  <c r="M144" i="3"/>
  <c r="M132" i="3"/>
  <c r="M120" i="3"/>
  <c r="M108" i="3"/>
  <c r="M96" i="3"/>
  <c r="M84" i="3"/>
  <c r="M72" i="3"/>
  <c r="M60" i="3"/>
  <c r="M48" i="3"/>
  <c r="M36" i="3"/>
  <c r="M24" i="3"/>
  <c r="M12" i="3"/>
  <c r="M431" i="3"/>
  <c r="M419" i="3"/>
  <c r="M407" i="3"/>
  <c r="M395" i="3"/>
  <c r="M383" i="3"/>
  <c r="M371" i="3"/>
  <c r="M359" i="3"/>
  <c r="M347" i="3"/>
  <c r="M335" i="3"/>
  <c r="M323" i="3"/>
  <c r="M311" i="3"/>
  <c r="M299" i="3"/>
  <c r="M287" i="3"/>
  <c r="M275" i="3"/>
  <c r="M263" i="3"/>
  <c r="M251" i="3"/>
  <c r="M239" i="3"/>
  <c r="M227" i="3"/>
  <c r="M215" i="3"/>
  <c r="M203" i="3"/>
  <c r="M191" i="3"/>
  <c r="M179" i="3"/>
  <c r="M167" i="3"/>
  <c r="M155" i="3"/>
  <c r="M143" i="3"/>
  <c r="M131" i="3"/>
  <c r="M119" i="3"/>
  <c r="M107" i="3"/>
  <c r="M95" i="3"/>
  <c r="M83" i="3"/>
  <c r="M71" i="3"/>
  <c r="M59" i="3"/>
  <c r="M47" i="3"/>
  <c r="M35" i="3"/>
  <c r="M23" i="3"/>
  <c r="M11" i="3"/>
  <c r="M430" i="3"/>
  <c r="M418" i="3"/>
  <c r="M406" i="3"/>
  <c r="M394" i="3"/>
  <c r="M382" i="3"/>
  <c r="M370" i="3"/>
  <c r="M358" i="3"/>
  <c r="M346" i="3"/>
  <c r="M334" i="3"/>
  <c r="M322" i="3"/>
  <c r="M310" i="3"/>
  <c r="M298" i="3"/>
  <c r="M286" i="3"/>
  <c r="M274" i="3"/>
  <c r="M262" i="3"/>
  <c r="M250" i="3"/>
  <c r="M238" i="3"/>
  <c r="M226" i="3"/>
  <c r="M214" i="3"/>
  <c r="M202" i="3"/>
  <c r="M190" i="3"/>
  <c r="M178" i="3"/>
  <c r="M166" i="3"/>
  <c r="M154" i="3"/>
  <c r="M142" i="3"/>
  <c r="M130" i="3"/>
  <c r="M118" i="3"/>
  <c r="M106" i="3"/>
  <c r="M94" i="3"/>
  <c r="M82" i="3"/>
  <c r="M70" i="3"/>
  <c r="M58" i="3"/>
  <c r="M46" i="3"/>
  <c r="M34" i="3"/>
  <c r="M22" i="3"/>
  <c r="M10" i="3"/>
  <c r="M429" i="3"/>
  <c r="M417" i="3"/>
  <c r="M405" i="3"/>
  <c r="M393" i="3"/>
  <c r="M381" i="3"/>
  <c r="M369" i="3"/>
  <c r="M357" i="3"/>
  <c r="M345" i="3"/>
  <c r="M333" i="3"/>
  <c r="M321" i="3"/>
  <c r="M309" i="3"/>
  <c r="M297" i="3"/>
  <c r="M285" i="3"/>
  <c r="M273" i="3"/>
  <c r="M261" i="3"/>
  <c r="M249" i="3"/>
  <c r="M237" i="3"/>
  <c r="M225" i="3"/>
  <c r="M213" i="3"/>
  <c r="M201" i="3"/>
  <c r="M189" i="3"/>
  <c r="M177" i="3"/>
  <c r="M165" i="3"/>
  <c r="M153" i="3"/>
  <c r="M141" i="3"/>
  <c r="M129" i="3"/>
  <c r="M117" i="3"/>
  <c r="M105" i="3"/>
  <c r="M93" i="3"/>
  <c r="M81" i="3"/>
  <c r="M69" i="3"/>
  <c r="M57" i="3"/>
  <c r="M45" i="3"/>
  <c r="M33" i="3"/>
  <c r="M21" i="3"/>
  <c r="M9" i="3"/>
  <c r="M428" i="3"/>
  <c r="M416" i="3"/>
  <c r="M404" i="3"/>
  <c r="M392" i="3"/>
  <c r="M380" i="3"/>
  <c r="M368" i="3"/>
  <c r="M356" i="3"/>
  <c r="M344" i="3"/>
  <c r="M332" i="3"/>
  <c r="M320" i="3"/>
  <c r="M308" i="3"/>
  <c r="M296" i="3"/>
  <c r="M284" i="3"/>
  <c r="M272" i="3"/>
  <c r="M260" i="3"/>
  <c r="M248" i="3"/>
  <c r="M236" i="3"/>
  <c r="M224" i="3"/>
  <c r="M212" i="3"/>
  <c r="M200" i="3"/>
  <c r="M188" i="3"/>
  <c r="M176" i="3"/>
  <c r="M164" i="3"/>
  <c r="M152" i="3"/>
  <c r="M140" i="3"/>
  <c r="M128" i="3"/>
  <c r="M116" i="3"/>
  <c r="M104" i="3"/>
  <c r="M92" i="3"/>
  <c r="M80" i="3"/>
  <c r="M68" i="3"/>
  <c r="M56" i="3"/>
  <c r="M44" i="3"/>
  <c r="M32" i="3"/>
  <c r="M20" i="3"/>
  <c r="M8" i="3"/>
  <c r="M427" i="3"/>
  <c r="M415" i="3"/>
  <c r="M403" i="3"/>
  <c r="M391" i="3"/>
  <c r="M379" i="3"/>
  <c r="M367" i="3"/>
  <c r="M355" i="3"/>
  <c r="M343" i="3"/>
  <c r="M331" i="3"/>
  <c r="M319" i="3"/>
  <c r="M307" i="3"/>
  <c r="M295" i="3"/>
  <c r="M283" i="3"/>
  <c r="M271" i="3"/>
  <c r="M259" i="3"/>
  <c r="M247" i="3"/>
  <c r="M235" i="3"/>
  <c r="M223" i="3"/>
  <c r="M211" i="3"/>
  <c r="M199" i="3"/>
  <c r="M187" i="3"/>
  <c r="M175" i="3"/>
  <c r="M163" i="3"/>
  <c r="M151" i="3"/>
  <c r="M139" i="3"/>
  <c r="M127" i="3"/>
  <c r="M115" i="3"/>
  <c r="M103" i="3"/>
  <c r="M91" i="3"/>
  <c r="M79" i="3"/>
  <c r="M67" i="3"/>
  <c r="M55" i="3"/>
  <c r="M43" i="3"/>
  <c r="M31" i="3"/>
  <c r="M19" i="3"/>
  <c r="M7" i="3"/>
  <c r="M426" i="3"/>
  <c r="M414" i="3"/>
  <c r="M402" i="3"/>
  <c r="M390" i="3"/>
  <c r="M378" i="3"/>
  <c r="M366" i="3"/>
  <c r="M354" i="3"/>
  <c r="M342" i="3"/>
  <c r="M330" i="3"/>
  <c r="M318" i="3"/>
  <c r="M306" i="3"/>
  <c r="M294" i="3"/>
  <c r="M282" i="3"/>
  <c r="M270" i="3"/>
  <c r="M258" i="3"/>
  <c r="M246" i="3"/>
  <c r="M234" i="3"/>
  <c r="M222" i="3"/>
  <c r="M210" i="3"/>
  <c r="M198" i="3"/>
  <c r="M186" i="3"/>
  <c r="M174" i="3"/>
  <c r="M162" i="3"/>
  <c r="M150" i="3"/>
  <c r="M138" i="3"/>
  <c r="M126" i="3"/>
  <c r="M114" i="3"/>
  <c r="M102" i="3"/>
  <c r="M90" i="3"/>
  <c r="M78" i="3"/>
  <c r="M66" i="3"/>
  <c r="M54" i="3"/>
  <c r="M42" i="3"/>
  <c r="M30" i="3"/>
  <c r="M18" i="3"/>
  <c r="M6" i="3"/>
  <c r="M425" i="3"/>
  <c r="M413" i="3"/>
  <c r="M401" i="3"/>
  <c r="M389" i="3"/>
  <c r="M377" i="3"/>
  <c r="M365" i="3"/>
  <c r="M353" i="3"/>
  <c r="M341" i="3"/>
  <c r="M329" i="3"/>
  <c r="M317" i="3"/>
  <c r="M305" i="3"/>
  <c r="M293" i="3"/>
  <c r="M281" i="3"/>
  <c r="M269" i="3"/>
  <c r="M257" i="3"/>
  <c r="M245" i="3"/>
  <c r="M233" i="3"/>
  <c r="M221" i="3"/>
  <c r="M209" i="3"/>
  <c r="M197" i="3"/>
  <c r="M185" i="3"/>
  <c r="M173" i="3"/>
  <c r="M161" i="3"/>
  <c r="M149" i="3"/>
  <c r="M137" i="3"/>
  <c r="M125" i="3"/>
  <c r="M113" i="3"/>
  <c r="M101" i="3"/>
  <c r="M89" i="3"/>
  <c r="M77" i="3"/>
  <c r="M65" i="3"/>
  <c r="M53" i="3"/>
  <c r="M41" i="3"/>
  <c r="M29" i="3"/>
  <c r="M17" i="3"/>
  <c r="M5" i="3"/>
  <c r="M436" i="3"/>
  <c r="M424" i="3"/>
  <c r="M412" i="3"/>
  <c r="M400" i="3"/>
  <c r="M388" i="3"/>
  <c r="M376" i="3"/>
  <c r="M364" i="3"/>
  <c r="M352" i="3"/>
  <c r="M340" i="3"/>
  <c r="M328" i="3"/>
  <c r="M316" i="3"/>
  <c r="M304" i="3"/>
  <c r="M292" i="3"/>
  <c r="M280" i="3"/>
  <c r="M268" i="3"/>
  <c r="M256" i="3"/>
  <c r="M244" i="3"/>
  <c r="M232" i="3"/>
  <c r="M220" i="3"/>
  <c r="M208" i="3"/>
  <c r="M196" i="3"/>
  <c r="M184" i="3"/>
  <c r="M172" i="3"/>
  <c r="M160" i="3"/>
  <c r="M148" i="3"/>
  <c r="M136" i="3"/>
  <c r="M124" i="3"/>
  <c r="M112" i="3"/>
  <c r="M100" i="3"/>
  <c r="M88" i="3"/>
  <c r="M76" i="3"/>
  <c r="M64" i="3"/>
  <c r="M52" i="3"/>
  <c r="M40" i="3"/>
  <c r="M28" i="3"/>
  <c r="M16" i="3"/>
  <c r="M4" i="3"/>
  <c r="M435" i="3"/>
  <c r="M423" i="3"/>
  <c r="M411" i="3"/>
  <c r="M399" i="3"/>
  <c r="M387" i="3"/>
  <c r="M375" i="3"/>
  <c r="M363" i="3"/>
  <c r="M351" i="3"/>
  <c r="M339" i="3"/>
  <c r="M327" i="3"/>
  <c r="M315" i="3"/>
  <c r="M303" i="3"/>
  <c r="M291" i="3"/>
  <c r="M279" i="3"/>
  <c r="M267" i="3"/>
  <c r="M255" i="3"/>
  <c r="M243" i="3"/>
  <c r="M231" i="3"/>
  <c r="M219" i="3"/>
  <c r="M207" i="3"/>
  <c r="M195" i="3"/>
  <c r="M183" i="3"/>
  <c r="M171" i="3"/>
  <c r="M159" i="3"/>
  <c r="M147" i="3"/>
  <c r="M135" i="3"/>
  <c r="M123" i="3"/>
  <c r="M111" i="3"/>
  <c r="M99" i="3"/>
  <c r="M87" i="3"/>
  <c r="M75" i="3"/>
  <c r="M63" i="3"/>
  <c r="M51" i="3"/>
  <c r="M39" i="3"/>
  <c r="M27" i="3"/>
  <c r="M15" i="3"/>
  <c r="M3" i="3"/>
  <c r="M434" i="3"/>
  <c r="M422" i="3"/>
  <c r="M410" i="3"/>
  <c r="M398" i="3"/>
  <c r="M386" i="3"/>
  <c r="M374" i="3"/>
  <c r="M362" i="3"/>
  <c r="M350" i="3"/>
  <c r="M338" i="3"/>
  <c r="M326" i="3"/>
  <c r="M314" i="3"/>
  <c r="M302" i="3"/>
  <c r="M290" i="3"/>
  <c r="M278" i="3"/>
  <c r="M266" i="3"/>
  <c r="M254" i="3"/>
  <c r="M242" i="3"/>
  <c r="M230" i="3"/>
  <c r="M218" i="3"/>
  <c r="M206" i="3"/>
  <c r="M194" i="3"/>
  <c r="M182" i="3"/>
  <c r="M170" i="3"/>
  <c r="M158" i="3"/>
  <c r="M146" i="3"/>
  <c r="M134" i="3"/>
  <c r="M122" i="3"/>
  <c r="M110" i="3"/>
  <c r="M98" i="3"/>
  <c r="M86" i="3"/>
  <c r="M74" i="3"/>
  <c r="M62" i="3"/>
  <c r="M50" i="3"/>
  <c r="M38" i="3"/>
  <c r="M26" i="3"/>
  <c r="M14" i="3"/>
  <c r="M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<sst xmlns="http://schemas.openxmlformats.org/spreadsheetml/2006/main" count="5769" uniqueCount="285">
  <si>
    <t>Company_name</t>
  </si>
  <si>
    <t>Investment participation</t>
  </si>
  <si>
    <t>Employee</t>
  </si>
  <si>
    <t>Turnover M€</t>
  </si>
  <si>
    <t>Industry</t>
  </si>
  <si>
    <t>Based year</t>
  </si>
  <si>
    <t>Reporting year</t>
  </si>
  <si>
    <t>Dcycle Group</t>
  </si>
  <si>
    <t>DCYCLE SA</t>
  </si>
  <si>
    <t>manufacturing</t>
  </si>
  <si>
    <t>Dcycle Factory SL</t>
  </si>
  <si>
    <t>Dcycle Andina SAS</t>
  </si>
  <si>
    <t>Dcycle Deutschland  GmbH</t>
  </si>
  <si>
    <t>other services</t>
  </si>
  <si>
    <t>Dcycle France SARL</t>
  </si>
  <si>
    <t>Dcycle USA Inc</t>
  </si>
  <si>
    <t>wholesale</t>
  </si>
  <si>
    <t>Dcycle Ltd</t>
  </si>
  <si>
    <t>Dcycle SpA Italy</t>
  </si>
  <si>
    <t>Dcycle SIA</t>
  </si>
  <si>
    <t>About the company</t>
  </si>
  <si>
    <t>This is the first year for measuring; previous years they collected some data but didn't report officially. Heat is always natural gas. DCYCLE SA's full portfolio of products in 2023 started the LCA project with us.</t>
  </si>
  <si>
    <t>Instructions</t>
  </si>
  <si>
    <t>You are provided with a dataset that includes various sustainability data from multiple sources.</t>
  </si>
  <si>
    <t>Dcycle Group, your main client, is having a committee meeting with investors and the board.</t>
  </si>
  <si>
    <t>1. Understanding any trends, anomalies, or important findings from the raw data. You can prepare any visualization chart or dashboards.</t>
  </si>
  <si>
    <t>2. Advising David to identify the most relevant KPIs and explaining why these KPIs should be looked into.</t>
  </si>
  <si>
    <t>3. Guiding David on how to prepare a reduction plan and where to focus the first reduction actions.</t>
  </si>
  <si>
    <t>4. Suggesting any other recommendations as the following steps for your client.</t>
  </si>
  <si>
    <t>For tasks 1 and 2, develop the analysis in this same file—do not use external formats. For tasks 3 and 4, you can use any other form, with a maximum of 2 slides per question.</t>
  </si>
  <si>
    <t>company_name</t>
  </si>
  <si>
    <t>name</t>
  </si>
  <si>
    <t>low_code</t>
  </si>
  <si>
    <t>low_description</t>
  </si>
  <si>
    <t>name[custom_emission_group]</t>
  </si>
  <si>
    <t>rd_code</t>
  </si>
  <si>
    <t>rd_description</t>
  </si>
  <si>
    <t>start_date[wastes]</t>
  </si>
  <si>
    <t>end_date[wastes]</t>
  </si>
  <si>
    <t>quantity[wastes]</t>
  </si>
  <si>
    <t>kg Co2eq</t>
  </si>
  <si>
    <t>year</t>
  </si>
  <si>
    <t>filter hazardous</t>
  </si>
  <si>
    <t>Paper and paperboard.</t>
  </si>
  <si>
    <t>null</t>
  </si>
  <si>
    <t>12-31-2023</t>
  </si>
  <si>
    <t>FALSO</t>
  </si>
  <si>
    <t>MIXTURES OF MUNICIPAL WASTE.</t>
  </si>
  <si>
    <t>D - Bodega 1</t>
  </si>
  <si>
    <t>080317*</t>
  </si>
  <si>
    <t>Printing residues containing hazardous substances.</t>
  </si>
  <si>
    <t>12-31-2022</t>
  </si>
  <si>
    <t>VERDADERO</t>
  </si>
  <si>
    <t>D - Bodega 2 (almacén)</t>
  </si>
  <si>
    <t>160504*</t>
  </si>
  <si>
    <t>Gases in pressure containers [including halons] containing dangerous substances.</t>
  </si>
  <si>
    <t>11-30-2023</t>
  </si>
  <si>
    <t>160601*</t>
  </si>
  <si>
    <t>Lead batteries.</t>
  </si>
  <si>
    <t>150202*</t>
  </si>
  <si>
    <t>Absorbent, filtration materials [including un specified oil filters in another category], cleaning rags and protective clothes contaminated by hazardous substances.</t>
  </si>
  <si>
    <t>Other batteries and accumulators.</t>
  </si>
  <si>
    <t>150110*</t>
  </si>
  <si>
    <t>Packaging containing remains of hazardous substances or are contaminated by them.</t>
  </si>
  <si>
    <t>Ferrous metals.</t>
  </si>
  <si>
    <t>02-28-2023</t>
  </si>
  <si>
    <t>Plastic bottles.</t>
  </si>
  <si>
    <t>09-30-2023</t>
  </si>
  <si>
    <t>01-31-2023</t>
  </si>
  <si>
    <t>06-30-2023</t>
  </si>
  <si>
    <t>Discarded equipment other than those specified in codes 16 02 09 to 16 02 13.</t>
  </si>
  <si>
    <t>07-31-2023</t>
  </si>
  <si>
    <t>08-31-2023</t>
  </si>
  <si>
    <t>05-31-2023</t>
  </si>
  <si>
    <t>03-31-2023</t>
  </si>
  <si>
    <t>10-31-2023</t>
  </si>
  <si>
    <t>Paper and cardboard containers.</t>
  </si>
  <si>
    <t>02-26-2023</t>
  </si>
  <si>
    <t>09-29-2023</t>
  </si>
  <si>
    <t>10-29-2023</t>
  </si>
  <si>
    <t>Madrid</t>
  </si>
  <si>
    <t>101011*</t>
  </si>
  <si>
    <t>Other particles that contain dangerous substances.</t>
  </si>
  <si>
    <t>R04</t>
  </si>
  <si>
    <t>Metal recycling</t>
  </si>
  <si>
    <t>Residues of metal mineral extraction.</t>
  </si>
  <si>
    <t>D01</t>
  </si>
  <si>
    <t>Deposit on the floor or its interior</t>
  </si>
  <si>
    <t>01-25-2024</t>
  </si>
  <si>
    <t>Printing residues other than those specified in Code 08 03 17.</t>
  </si>
  <si>
    <t>R03</t>
  </si>
  <si>
    <t>Recycling/recovery of organic substances</t>
  </si>
  <si>
    <t>200121*</t>
  </si>
  <si>
    <t>Fluorescent tubes and other residues containing mercury.</t>
  </si>
  <si>
    <t>Productos caducados con tratamiento D13</t>
  </si>
  <si>
    <t>D05</t>
  </si>
  <si>
    <t>Deposit in controlled places</t>
  </si>
  <si>
    <t>200135*</t>
  </si>
  <si>
    <t>Discarded electrical and electronic equipment, other than those specified in codes 21 01 21 and 20 01 23, which contain dangerous components [9].</t>
  </si>
  <si>
    <t>Aguas de poliol-isocianato con tratamiento D09</t>
  </si>
  <si>
    <t>Wooden containers.</t>
  </si>
  <si>
    <t>R12</t>
  </si>
  <si>
    <t>Waste exchange to submit them to R1 to R10 operations</t>
  </si>
  <si>
    <t>04-30-2023</t>
  </si>
  <si>
    <t>120301*</t>
  </si>
  <si>
    <t>Aqueous cleaning liquids.</t>
  </si>
  <si>
    <t>160211*</t>
  </si>
  <si>
    <t>Discarded equipment containing chlorofluorocarbons, HCFC, HFC.</t>
  </si>
  <si>
    <t>160213*</t>
  </si>
  <si>
    <t>Discarded equipment containing hazardous components [4], other than those specified in codes 16 02 09 to 16 02 12.</t>
  </si>
  <si>
    <t>Metals</t>
  </si>
  <si>
    <t>160303*</t>
  </si>
  <si>
    <t>Inorganic waste containing hazardous substances.</t>
  </si>
  <si>
    <t>Mixed containers.</t>
  </si>
  <si>
    <t>12-15-2023</t>
  </si>
  <si>
    <t>Components removed from discarded equipment, other than those specified in Code 17 02 15.</t>
  </si>
  <si>
    <t>04-20-2023</t>
  </si>
  <si>
    <t>03-20-2023</t>
  </si>
  <si>
    <t>130507*</t>
  </si>
  <si>
    <t>Aceitose water from water separators/oily substances.</t>
  </si>
  <si>
    <t>09-28-2023</t>
  </si>
  <si>
    <t>02-23-2023</t>
  </si>
  <si>
    <t>07-20-2023</t>
  </si>
  <si>
    <t>01-13-2023</t>
  </si>
  <si>
    <t>start_date</t>
  </si>
  <si>
    <t>end_date</t>
  </si>
  <si>
    <t>quantity</t>
  </si>
  <si>
    <t>BCN</t>
  </si>
  <si>
    <t>electricity</t>
  </si>
  <si>
    <t>kilowatt_hour_(kwh)</t>
  </si>
  <si>
    <t>water</t>
  </si>
  <si>
    <t>10-28-2022</t>
  </si>
  <si>
    <t>12-30-2022</t>
  </si>
  <si>
    <t>cubic_metre_(m3)</t>
  </si>
  <si>
    <t>04-27-2023</t>
  </si>
  <si>
    <t>06-28-2023</t>
  </si>
  <si>
    <t>08-29-2023</t>
  </si>
  <si>
    <t>10-28-2023</t>
  </si>
  <si>
    <t>12-30-2023</t>
  </si>
  <si>
    <t>Madrid (A2)</t>
  </si>
  <si>
    <t>heat</t>
  </si>
  <si>
    <t>01-31-2022</t>
  </si>
  <si>
    <t>02-28-2022</t>
  </si>
  <si>
    <t>03-31-2022</t>
  </si>
  <si>
    <t>04-30-2022</t>
  </si>
  <si>
    <t>05-31-2022</t>
  </si>
  <si>
    <t>06-30-2022</t>
  </si>
  <si>
    <t>07-31-2022</t>
  </si>
  <si>
    <t>08-31-2022</t>
  </si>
  <si>
    <t>09-30-2022</t>
  </si>
  <si>
    <t>10-31-2022</t>
  </si>
  <si>
    <t>11-30-2022</t>
  </si>
  <si>
    <t>11-15-2023</t>
  </si>
  <si>
    <t>02-14-2022</t>
  </si>
  <si>
    <t>07-27-2023</t>
  </si>
  <si>
    <t>10-27-2023</t>
  </si>
  <si>
    <t>08-30-2023</t>
  </si>
  <si>
    <t>litre_(l)</t>
  </si>
  <si>
    <t>01-17-2023</t>
  </si>
  <si>
    <t>11-28-2023</t>
  </si>
  <si>
    <t>Tajonar</t>
  </si>
  <si>
    <t>12-31-2021</t>
  </si>
  <si>
    <t>10-31-2021</t>
  </si>
  <si>
    <t>11-30-2021</t>
  </si>
  <si>
    <t>06-13-2023</t>
  </si>
  <si>
    <t>12-29-2023</t>
  </si>
  <si>
    <t>07-14-2023</t>
  </si>
  <si>
    <t>gallon_(gal)</t>
  </si>
  <si>
    <t>08-28-2023</t>
  </si>
  <si>
    <t>Dcycle Deutschland GmbH</t>
  </si>
  <si>
    <t>09-22-2021</t>
  </si>
  <si>
    <t>12-27-2022</t>
  </si>
  <si>
    <t>01-26-2023</t>
  </si>
  <si>
    <t>01-27-2023</t>
  </si>
  <si>
    <t>02-27-2023</t>
  </si>
  <si>
    <t>03-26-2023</t>
  </si>
  <si>
    <t>03-27-2023</t>
  </si>
  <si>
    <t>04-26-2023</t>
  </si>
  <si>
    <t>05-26-2023</t>
  </si>
  <si>
    <t>05-27-2023</t>
  </si>
  <si>
    <t>06-26-2023</t>
  </si>
  <si>
    <t>06-27-2023</t>
  </si>
  <si>
    <t>07-26-2023</t>
  </si>
  <si>
    <t>08-26-2023</t>
  </si>
  <si>
    <t>08-27-2023</t>
  </si>
  <si>
    <t>09-26-2023</t>
  </si>
  <si>
    <t>09-27-2023</t>
  </si>
  <si>
    <t>11-27-2023</t>
  </si>
  <si>
    <t>12-27-2023</t>
  </si>
  <si>
    <t>12-20-2022</t>
  </si>
  <si>
    <t>01-19-2023</t>
  </si>
  <si>
    <t>01-20-2023</t>
  </si>
  <si>
    <t>02-17-2023</t>
  </si>
  <si>
    <t>02-18-2023</t>
  </si>
  <si>
    <t>03-21-2023</t>
  </si>
  <si>
    <t>03-22-2023</t>
  </si>
  <si>
    <t>04-19-2023</t>
  </si>
  <si>
    <t>05-18-2023</t>
  </si>
  <si>
    <t>05-19-2023</t>
  </si>
  <si>
    <t>06-20-2023</t>
  </si>
  <si>
    <t>06-21-2023</t>
  </si>
  <si>
    <t>07-19-2023</t>
  </si>
  <si>
    <t>08-18-2023</t>
  </si>
  <si>
    <t>08-19-2023</t>
  </si>
  <si>
    <t>09-19-2023</t>
  </si>
  <si>
    <t>09-20-2023</t>
  </si>
  <si>
    <t>10-19-2023</t>
  </si>
  <si>
    <t>10-20-2023</t>
  </si>
  <si>
    <t>11-17-2023</t>
  </si>
  <si>
    <t>11-18-2023</t>
  </si>
  <si>
    <t>12-18-2023</t>
  </si>
  <si>
    <t>therm_(thm)</t>
  </si>
  <si>
    <t>02-21-2023</t>
  </si>
  <si>
    <t>02-22-2023</t>
  </si>
  <si>
    <t>Coges SpA (Modena)</t>
  </si>
  <si>
    <t>02-16-2023</t>
  </si>
  <si>
    <t>06-19-2023</t>
  </si>
  <si>
    <t>10-17-2023</t>
  </si>
  <si>
    <t>12-19-2023</t>
  </si>
  <si>
    <t>09-15-2022</t>
  </si>
  <si>
    <t>10-18-2023</t>
  </si>
  <si>
    <t>05-30-2023</t>
  </si>
  <si>
    <t>12-14-2022</t>
  </si>
  <si>
    <t>metric_tonne_(t)</t>
  </si>
  <si>
    <t>Start</t>
  </si>
  <si>
    <t>End</t>
  </si>
  <si>
    <t>Type</t>
  </si>
  <si>
    <t>type2</t>
  </si>
  <si>
    <t>units</t>
  </si>
  <si>
    <t>Quantity_correct</t>
  </si>
  <si>
    <t>CO2eq(KG)</t>
  </si>
  <si>
    <t>Units_correct</t>
  </si>
  <si>
    <t>Kilogram_(kg)</t>
  </si>
  <si>
    <t>Row Labels</t>
  </si>
  <si>
    <t>Grand Total</t>
  </si>
  <si>
    <t>Sum of CO2eq(KG)</t>
  </si>
  <si>
    <t>Column Labels</t>
  </si>
  <si>
    <t>waste</t>
  </si>
  <si>
    <t>(Multiple Items)</t>
  </si>
  <si>
    <t>Qtr1</t>
  </si>
  <si>
    <t>Qtr2</t>
  </si>
  <si>
    <t>Qtr3</t>
  </si>
  <si>
    <t>Qtr4</t>
  </si>
  <si>
    <t>Company</t>
  </si>
  <si>
    <t>(All)</t>
  </si>
  <si>
    <t>CO2 eq (Kg)</t>
  </si>
  <si>
    <t>Turnover</t>
  </si>
  <si>
    <t>Turnover (M€)</t>
  </si>
  <si>
    <t>Sum of quantity[wastes]</t>
  </si>
  <si>
    <t>Sum of Quantity_correct</t>
  </si>
  <si>
    <t>Intensidad de emisiones</t>
  </si>
  <si>
    <t>Electricity</t>
  </si>
  <si>
    <t>Heat</t>
  </si>
  <si>
    <t>Waste</t>
  </si>
  <si>
    <t>Water</t>
  </si>
  <si>
    <t>NA</t>
  </si>
  <si>
    <t>Years (End)</t>
  </si>
  <si>
    <t>Employees</t>
  </si>
  <si>
    <t>TE/Turnover</t>
  </si>
  <si>
    <t>TE/Nº employees</t>
  </si>
  <si>
    <t>2023</t>
  </si>
  <si>
    <t>TE 2022</t>
  </si>
  <si>
    <t>TE 2023</t>
  </si>
  <si>
    <t>Reduccion Total</t>
  </si>
  <si>
    <t>% reducción</t>
  </si>
  <si>
    <t>Dcycle SA</t>
  </si>
  <si>
    <t xml:space="preserve">Intensidad de emisiones </t>
  </si>
  <si>
    <t>Emisiones por ingresos y empleados</t>
  </si>
  <si>
    <t>% de reducción anual</t>
  </si>
  <si>
    <t>* Las entradas para las emisones de Madrid y Madrid (A2) para 2023 estan duplicadas cada mes! Esto es lo que puede estar causando que Dcycle SA tenga tantas emisiones por electricidad</t>
  </si>
  <si>
    <t>Que los coeficientes para el cálculo de las emisiones desde la cantidad sean los mismos, indica que no estamos ante un problema de eficiencia sino de cosumo, siendo necesario la recomendación de planes de reducción.</t>
  </si>
  <si>
    <t>Duplicados</t>
  </si>
  <si>
    <t>Quantity_Noduplicates</t>
  </si>
  <si>
    <t>CO2_Noduplicates</t>
  </si>
  <si>
    <t>Sum of CO2_Noduplicates</t>
  </si>
  <si>
    <t>Resultados sin duplicados</t>
  </si>
  <si>
    <t>Tonnes_quantity</t>
  </si>
  <si>
    <t>Tonnes_CO2 eq (Kg)</t>
  </si>
  <si>
    <t>Q_Tonnes</t>
  </si>
  <si>
    <t>CO2_tonnes</t>
  </si>
  <si>
    <t>Empleados</t>
  </si>
  <si>
    <t>ET/TO</t>
  </si>
  <si>
    <t>ET/empleados</t>
  </si>
  <si>
    <t>Ingresos (M€)</t>
  </si>
  <si>
    <t>ET/ingresos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</si>
</sst>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sz val="12"/>
      <color rgb="FF000000"/>
      <name val="Aptos"/>
      <family val="2"/>
    </font>
    <font>
      <sz val="10"/>
      <color rgb="FF000000"/>
      <name val="Arial"/>
      <scheme val="minor"/>
    </font>
    <font>
      <b/>
      <sz val="10"/>
      <color rgb="FF000000"/>
      <name val="Arial"/>
      <family val="2"/>
      <scheme val="minor"/>
    </font>
    <font>
      <b/>
      <sz val="10"/>
      <color theme="1"/>
      <name val="Arial"/>
      <scheme val="minor"/>
    </font>
    <font>
      <sz val="10"/>
      <color theme="0"/>
      <name val="Arial"/>
      <family val="2"/>
      <scheme val="minor"/>
    </font>
    <font>
      <b/>
      <sz val="10"/>
      <color theme="0"/>
      <name val="Arial"/>
      <scheme val="minor"/>
    </font>
    <font>
      <sz val="10"/>
      <color theme="1"/>
      <name val="Arial"/>
      <scheme val="minor"/>
    </font>
    <font>
      <b/>
      <sz val="17"/>
      <color rgb="FF000000"/>
      <name val="Arial"/>
      <family val="2"/>
      <scheme val="minor"/>
    </font>
    <font>
      <sz val="17"/>
      <color theme="0"/>
      <name val="Arial"/>
      <family val="2"/>
      <scheme val="minor"/>
    </font>
  </fonts>
  <fills count="18">
    <fill>
      <patternFill patternType="none"/>
    </fill>
    <fill>
      <patternFill patternType="gray125"/>
    </fill>
    <fill>
      <patternFill patternType="solid">
        <fgColor theme="4"/>
        <bgColor theme="4"/>
      </patternFill>
    </fill>
    <fill>
      <patternFill patternType="solid">
        <fgColor theme="0"/>
        <bgColor theme="4" tint="0.79998168889431442"/>
      </patternFill>
    </fill>
    <fill>
      <patternFill patternType="solid">
        <fgColor theme="0"/>
        <bgColor indexed="64"/>
      </patternFill>
    </fill>
    <fill>
      <patternFill patternType="solid">
        <fgColor theme="4"/>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002060"/>
        <bgColor indexed="64"/>
      </patternFill>
    </fill>
  </fills>
  <borders count="13">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9847407452621"/>
      </top>
      <bottom/>
      <diagonal/>
    </border>
  </borders>
  <cellStyleXfs count="3">
    <xf numFmtId="0" fontId="0" fillId="0" borderId="0"/>
    <xf numFmtId="0" fontId="2" fillId="0" borderId="0"/>
    <xf numFmtId="9" fontId="5" fillId="0" borderId="0" applyFont="0" applyFill="0" applyBorder="0" applyAlignment="0" applyProtection="0"/>
  </cellStyleXfs>
  <cellXfs count="76">
    <xf numFmtId="0" fontId="0" fillId="0" borderId="0" xfId="0"/>
    <xf numFmtId="0" fontId="1" fillId="0" borderId="0" xfId="0" applyFont="1"/>
    <xf numFmtId="9" fontId="1" fillId="0" borderId="0" xfId="0" applyNumberFormat="1" applyFont="1"/>
    <xf numFmtId="164" fontId="1" fillId="0" borderId="0" xfId="0" applyNumberFormat="1" applyFont="1"/>
    <xf numFmtId="3" fontId="1" fillId="0" borderId="0" xfId="0" applyNumberFormat="1" applyFont="1"/>
    <xf numFmtId="4" fontId="1" fillId="0" borderId="0" xfId="0" applyNumberFormat="1" applyFont="1"/>
    <xf numFmtId="14" fontId="0" fillId="0" borderId="0" xfId="0" applyNumberFormat="1"/>
    <xf numFmtId="14" fontId="4" fillId="0" borderId="0" xfId="0" applyNumberFormat="1" applyFont="1" applyAlignment="1">
      <alignment vertical="center"/>
    </xf>
    <xf numFmtId="14" fontId="1" fillId="0" borderId="0" xfId="0" applyNumberFormat="1" applyFont="1"/>
    <xf numFmtId="0" fontId="2" fillId="0" borderId="0" xfId="0" applyFont="1"/>
    <xf numFmtId="2" fontId="1" fillId="0" borderId="0" xfId="0" applyNumberFormat="1" applyFont="1"/>
    <xf numFmtId="2" fontId="0" fillId="0" borderId="0" xfId="0" applyNumberFormat="1"/>
    <xf numFmtId="0" fontId="1" fillId="3" borderId="1" xfId="0" applyFont="1" applyFill="1" applyBorder="1"/>
    <xf numFmtId="14" fontId="1" fillId="3" borderId="1" xfId="0" applyNumberFormat="1" applyFont="1" applyFill="1" applyBorder="1"/>
    <xf numFmtId="2" fontId="1" fillId="3" borderId="1" xfId="0" applyNumberFormat="1" applyFont="1" applyFill="1" applyBorder="1"/>
    <xf numFmtId="3" fontId="1" fillId="3" borderId="1" xfId="0" applyNumberFormat="1" applyFont="1" applyFill="1" applyBorder="1"/>
    <xf numFmtId="0" fontId="1" fillId="4" borderId="1" xfId="0" applyFont="1" applyFill="1" applyBorder="1"/>
    <xf numFmtId="14" fontId="1" fillId="4" borderId="1" xfId="0" applyNumberFormat="1" applyFont="1" applyFill="1" applyBorder="1"/>
    <xf numFmtId="2" fontId="1" fillId="4" borderId="1" xfId="0" applyNumberFormat="1" applyFont="1" applyFill="1" applyBorder="1"/>
    <xf numFmtId="3" fontId="1" fillId="4" borderId="1" xfId="0" applyNumberFormat="1" applyFont="1" applyFill="1" applyBorder="1"/>
    <xf numFmtId="4" fontId="1" fillId="3" borderId="1" xfId="0" applyNumberFormat="1" applyFont="1" applyFill="1" applyBorder="1"/>
    <xf numFmtId="4" fontId="1" fillId="4" borderId="1" xfId="0" applyNumberFormat="1" applyFont="1" applyFill="1" applyBorder="1"/>
    <xf numFmtId="0" fontId="0" fillId="5" borderId="0" xfId="0" applyFill="1"/>
    <xf numFmtId="0" fontId="0" fillId="0" borderId="0" xfId="0" pivotButton="1"/>
    <xf numFmtId="0" fontId="0" fillId="0" borderId="0" xfId="0" applyAlignment="1">
      <alignment horizontal="left"/>
    </xf>
    <xf numFmtId="0" fontId="6" fillId="5" borderId="0" xfId="0" applyFont="1" applyFill="1"/>
    <xf numFmtId="0" fontId="0" fillId="7" borderId="0" xfId="0" applyFill="1"/>
    <xf numFmtId="2" fontId="0" fillId="0" borderId="0" xfId="0" pivotButton="1" applyNumberFormat="1"/>
    <xf numFmtId="2" fontId="0" fillId="0" borderId="0" xfId="0" applyNumberFormat="1" applyAlignment="1">
      <alignment horizontal="left"/>
    </xf>
    <xf numFmtId="2" fontId="6" fillId="5" borderId="0" xfId="0" applyNumberFormat="1" applyFont="1" applyFill="1"/>
    <xf numFmtId="2" fontId="6" fillId="8" borderId="0" xfId="0" applyNumberFormat="1" applyFont="1" applyFill="1"/>
    <xf numFmtId="0" fontId="1" fillId="10" borderId="0" xfId="0" applyFont="1" applyFill="1"/>
    <xf numFmtId="0" fontId="0" fillId="10" borderId="0" xfId="0" applyFill="1"/>
    <xf numFmtId="2" fontId="0" fillId="11" borderId="2" xfId="0" applyNumberFormat="1" applyFill="1" applyBorder="1"/>
    <xf numFmtId="2" fontId="0" fillId="0" borderId="2" xfId="0" applyNumberFormat="1" applyBorder="1" applyAlignment="1">
      <alignment horizontal="left"/>
    </xf>
    <xf numFmtId="2" fontId="0" fillId="0" borderId="2" xfId="0" applyNumberFormat="1" applyBorder="1"/>
    <xf numFmtId="0" fontId="0" fillId="0" borderId="2" xfId="0" applyBorder="1"/>
    <xf numFmtId="2" fontId="7" fillId="9" borderId="2" xfId="0" applyNumberFormat="1" applyFont="1" applyFill="1" applyBorder="1" applyAlignment="1">
      <alignment horizontal="left"/>
    </xf>
    <xf numFmtId="2" fontId="7" fillId="9" borderId="2" xfId="0" applyNumberFormat="1" applyFont="1" applyFill="1" applyBorder="1"/>
    <xf numFmtId="10" fontId="0" fillId="0" borderId="2" xfId="0" applyNumberFormat="1" applyBorder="1"/>
    <xf numFmtId="2" fontId="0" fillId="12" borderId="2" xfId="0" applyNumberFormat="1" applyFill="1" applyBorder="1"/>
    <xf numFmtId="10" fontId="0" fillId="12" borderId="2" xfId="0" applyNumberFormat="1" applyFill="1" applyBorder="1"/>
    <xf numFmtId="0" fontId="6" fillId="0" borderId="2" xfId="0" applyFont="1" applyBorder="1"/>
    <xf numFmtId="2" fontId="1" fillId="3" borderId="2" xfId="0" applyNumberFormat="1" applyFont="1" applyFill="1" applyBorder="1"/>
    <xf numFmtId="0" fontId="6" fillId="13" borderId="2" xfId="0" applyFont="1" applyFill="1" applyBorder="1"/>
    <xf numFmtId="9" fontId="0" fillId="0" borderId="2" xfId="2" applyFont="1" applyBorder="1"/>
    <xf numFmtId="0" fontId="10" fillId="9" borderId="1" xfId="0" applyFont="1" applyFill="1" applyBorder="1"/>
    <xf numFmtId="2" fontId="0" fillId="0" borderId="0" xfId="0" applyNumberFormat="1" applyAlignment="1">
      <alignment horizontal="left" indent="1"/>
    </xf>
    <xf numFmtId="0" fontId="3" fillId="2" borderId="0" xfId="0" applyFont="1" applyFill="1"/>
    <xf numFmtId="14" fontId="3" fillId="2" borderId="0" xfId="0" applyNumberFormat="1" applyFont="1" applyFill="1"/>
    <xf numFmtId="2" fontId="3" fillId="2" borderId="0" xfId="0" applyNumberFormat="1" applyFont="1" applyFill="1"/>
    <xf numFmtId="0" fontId="9" fillId="5" borderId="0" xfId="0" applyFont="1" applyFill="1"/>
    <xf numFmtId="0" fontId="0" fillId="17" borderId="0" xfId="0" applyFill="1"/>
    <xf numFmtId="0" fontId="11" fillId="5" borderId="5" xfId="0" applyFont="1" applyFill="1" applyBorder="1"/>
    <xf numFmtId="0" fontId="11" fillId="5" borderId="6" xfId="0" applyFont="1" applyFill="1" applyBorder="1"/>
    <xf numFmtId="2" fontId="11" fillId="5" borderId="6" xfId="0" applyNumberFormat="1" applyFont="1" applyFill="1" applyBorder="1"/>
    <xf numFmtId="2" fontId="11" fillId="5" borderId="7" xfId="0" applyNumberFormat="1" applyFont="1" applyFill="1" applyBorder="1"/>
    <xf numFmtId="0" fontId="12" fillId="17" borderId="11" xfId="0" applyFont="1" applyFill="1" applyBorder="1"/>
    <xf numFmtId="2" fontId="12" fillId="17" borderId="0" xfId="0" applyNumberFormat="1" applyFont="1" applyFill="1"/>
    <xf numFmtId="0" fontId="12" fillId="17" borderId="12" xfId="0" applyFont="1" applyFill="1" applyBorder="1"/>
    <xf numFmtId="2" fontId="11" fillId="0" borderId="12" xfId="0" applyNumberFormat="1" applyFont="1" applyBorder="1"/>
    <xf numFmtId="2" fontId="11" fillId="0" borderId="8" xfId="0" applyNumberFormat="1" applyFont="1" applyBorder="1"/>
    <xf numFmtId="2" fontId="11" fillId="0" borderId="11" xfId="0" applyNumberFormat="1" applyFont="1" applyBorder="1"/>
    <xf numFmtId="0" fontId="12" fillId="17" borderId="10" xfId="0" applyFont="1" applyFill="1" applyBorder="1"/>
    <xf numFmtId="2" fontId="12" fillId="17" borderId="4" xfId="0" applyNumberFormat="1" applyFont="1" applyFill="1" applyBorder="1"/>
    <xf numFmtId="2" fontId="11" fillId="0" borderId="10" xfId="0" applyNumberFormat="1" applyFont="1" applyBorder="1"/>
    <xf numFmtId="2" fontId="11" fillId="0" borderId="9" xfId="0" applyNumberFormat="1" applyFont="1" applyBorder="1"/>
    <xf numFmtId="0" fontId="0" fillId="16" borderId="0" xfId="0" applyFill="1" applyAlignment="1">
      <alignment horizontal="center"/>
    </xf>
    <xf numFmtId="0" fontId="2" fillId="7" borderId="0" xfId="0" applyFont="1" applyFill="1" applyAlignment="1">
      <alignment horizontal="center" wrapText="1"/>
    </xf>
    <xf numFmtId="0" fontId="2" fillId="15" borderId="3" xfId="0" applyFont="1" applyFill="1" applyBorder="1" applyAlignment="1">
      <alignment horizontal="center" wrapText="1"/>
    </xf>
    <xf numFmtId="0" fontId="2" fillId="15" borderId="0" xfId="0" applyFont="1" applyFill="1" applyAlignment="1">
      <alignment horizontal="center" wrapText="1"/>
    </xf>
    <xf numFmtId="0" fontId="0" fillId="6" borderId="0" xfId="0" applyFill="1" applyAlignment="1">
      <alignment horizontal="center"/>
    </xf>
    <xf numFmtId="0" fontId="8" fillId="14" borderId="0" xfId="0" applyFont="1" applyFill="1" applyAlignment="1">
      <alignment horizontal="center"/>
    </xf>
    <xf numFmtId="0" fontId="0" fillId="14" borderId="0" xfId="0" applyFill="1" applyAlignment="1">
      <alignment horizontal="center"/>
    </xf>
    <xf numFmtId="2" fontId="8" fillId="14" borderId="0" xfId="0" applyNumberFormat="1" applyFont="1" applyFill="1" applyAlignment="1">
      <alignment horizontal="center"/>
    </xf>
    <xf numFmtId="0" fontId="0" fillId="0" borderId="0" xfId="0" applyNumberFormat="1"/>
  </cellXfs>
  <cellStyles count="3">
    <cellStyle name="Normal" xfId="0" builtinId="0"/>
    <cellStyle name="Normal 2" xfId="1" xr:uid="{19A21A7A-1CDB-4670-B37D-E94E52A03AB4}"/>
    <cellStyle name="Percent" xfId="2" builtinId="5"/>
  </cellStyles>
  <dxfs count="10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0"/>
        <color theme="1"/>
        <name val="Arial"/>
        <family val="2"/>
        <scheme val="minor"/>
      </font>
      <numFmt numFmtId="0" formatCode="General"/>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numFmt numFmtId="2" formatCode="0.00"/>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numFmt numFmtId="3" formatCode="#,##0"/>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numFmt numFmtId="2" formatCode="0.00"/>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numFmt numFmtId="19" formatCode="dd/mm/yyyy"/>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numFmt numFmtId="19" formatCode="dd/mm/yyyy"/>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indexed="64"/>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rial"/>
        <family val="2"/>
        <scheme val="minor"/>
      </font>
      <fill>
        <patternFill patternType="solid">
          <fgColor theme="4" tint="0.79998168889431442"/>
          <bgColor theme="0"/>
        </patternFill>
      </fill>
    </dxf>
    <dxf>
      <font>
        <b/>
        <i val="0"/>
        <strike val="0"/>
        <condense val="0"/>
        <extend val="0"/>
        <outline val="0"/>
        <shadow val="0"/>
        <u val="none"/>
        <vertAlign val="baseline"/>
        <sz val="10"/>
        <color theme="0"/>
        <name val="Arial"/>
        <scheme val="minor"/>
      </font>
      <fill>
        <patternFill patternType="solid">
          <fgColor indexed="64"/>
          <bgColor theme="4"/>
        </patternFill>
      </fil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2" formatCode="0.0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3" formatCode="#,##0"/>
    </dxf>
    <dxf>
      <font>
        <b val="0"/>
        <i val="0"/>
        <strike val="0"/>
        <condense val="0"/>
        <extend val="0"/>
        <outline val="0"/>
        <shadow val="0"/>
        <u val="none"/>
        <vertAlign val="baseline"/>
        <sz val="10"/>
        <color theme="1"/>
        <name val="Arial"/>
        <family val="2"/>
        <scheme val="minor"/>
      </font>
      <numFmt numFmtId="3" formatCode="#,##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9" formatCode="dd/mm/yyyy"/>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9" formatCode="dd/mm/yyyy"/>
    </dxf>
    <dxf>
      <font>
        <b val="0"/>
        <i val="0"/>
        <strike val="0"/>
        <condense val="0"/>
        <extend val="0"/>
        <outline val="0"/>
        <shadow val="0"/>
        <u val="none"/>
        <vertAlign val="baseline"/>
        <sz val="10"/>
        <color theme="1"/>
        <name val="Arial"/>
        <family val="2"/>
        <scheme val="minor"/>
      </font>
      <numFmt numFmtId="164" formatCode="dd\-mm\-yyyy"/>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9" formatCode="dd/mm/yyyy"/>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9" formatCode="dd/mm/yyyy"/>
    </dxf>
    <dxf>
      <font>
        <b val="0"/>
        <i val="0"/>
        <strike val="0"/>
        <condense val="0"/>
        <extend val="0"/>
        <outline val="0"/>
        <shadow val="0"/>
        <u val="none"/>
        <vertAlign val="baseline"/>
        <sz val="10"/>
        <color theme="1"/>
        <name val="Arial"/>
        <family val="2"/>
        <scheme val="minor"/>
      </font>
      <numFmt numFmtId="164" formatCode="dd\-mm\-yyyy"/>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3" formatCode="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2.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strRef>
              <c:f>data_waste!$O$1</c:f>
              <c:strCache>
                <c:ptCount val="1"/>
                <c:pt idx="0">
                  <c:v>kg Co2eq</c:v>
                </c:pt>
              </c:strCache>
            </c:strRef>
          </c:tx>
          <c:spPr>
            <a:ln w="9525" cap="rnd">
              <a:solidFill>
                <a:schemeClr val="accent1">
                  <a:alpha val="50000"/>
                </a:schemeClr>
              </a:solidFill>
              <a:round/>
            </a:ln>
            <a:effectLst/>
          </c:spPr>
          <c:marker>
            <c:symbol val="diamond"/>
            <c:size val="6"/>
            <c:spPr>
              <a:solidFill>
                <a:schemeClr val="lt1"/>
              </a:solidFill>
              <a:ln w="15875">
                <a:solidFill>
                  <a:schemeClr val="accent1"/>
                </a:solidFill>
                <a:round/>
              </a:ln>
              <a:effectLst/>
            </c:spPr>
          </c:marker>
          <c:xVal>
            <c:numRef>
              <c:f>data_waste!$L$2:$L$123</c:f>
              <c:numCache>
                <c:formatCode>General</c:formatCode>
                <c:ptCount val="122"/>
                <c:pt idx="0">
                  <c:v>20517</c:v>
                </c:pt>
                <c:pt idx="1">
                  <c:v>20634</c:v>
                </c:pt>
                <c:pt idx="2">
                  <c:v>1</c:v>
                </c:pt>
                <c:pt idx="3">
                  <c:v>3.5</c:v>
                </c:pt>
                <c:pt idx="4">
                  <c:v>5.3</c:v>
                </c:pt>
                <c:pt idx="5">
                  <c:v>8</c:v>
                </c:pt>
                <c:pt idx="6">
                  <c:v>11</c:v>
                </c:pt>
                <c:pt idx="7">
                  <c:v>14</c:v>
                </c:pt>
                <c:pt idx="8">
                  <c:v>15</c:v>
                </c:pt>
                <c:pt idx="9">
                  <c:v>40</c:v>
                </c:pt>
                <c:pt idx="10">
                  <c:v>42</c:v>
                </c:pt>
                <c:pt idx="11">
                  <c:v>42</c:v>
                </c:pt>
                <c:pt idx="12">
                  <c:v>44</c:v>
                </c:pt>
                <c:pt idx="13">
                  <c:v>47</c:v>
                </c:pt>
                <c:pt idx="14">
                  <c:v>48</c:v>
                </c:pt>
                <c:pt idx="15">
                  <c:v>60</c:v>
                </c:pt>
                <c:pt idx="16">
                  <c:v>63</c:v>
                </c:pt>
                <c:pt idx="17">
                  <c:v>77</c:v>
                </c:pt>
                <c:pt idx="18">
                  <c:v>108</c:v>
                </c:pt>
                <c:pt idx="19">
                  <c:v>170</c:v>
                </c:pt>
                <c:pt idx="20">
                  <c:v>182</c:v>
                </c:pt>
                <c:pt idx="21">
                  <c:v>207</c:v>
                </c:pt>
                <c:pt idx="22">
                  <c:v>208</c:v>
                </c:pt>
                <c:pt idx="23">
                  <c:v>277</c:v>
                </c:pt>
                <c:pt idx="24">
                  <c:v>280</c:v>
                </c:pt>
                <c:pt idx="25">
                  <c:v>334</c:v>
                </c:pt>
                <c:pt idx="26">
                  <c:v>335</c:v>
                </c:pt>
                <c:pt idx="27">
                  <c:v>352</c:v>
                </c:pt>
                <c:pt idx="28">
                  <c:v>365</c:v>
                </c:pt>
                <c:pt idx="29">
                  <c:v>398</c:v>
                </c:pt>
                <c:pt idx="30">
                  <c:v>515</c:v>
                </c:pt>
                <c:pt idx="31">
                  <c:v>645</c:v>
                </c:pt>
                <c:pt idx="32">
                  <c:v>812</c:v>
                </c:pt>
                <c:pt idx="33">
                  <c:v>1496</c:v>
                </c:pt>
                <c:pt idx="34">
                  <c:v>3633</c:v>
                </c:pt>
                <c:pt idx="35">
                  <c:v>17600</c:v>
                </c:pt>
                <c:pt idx="36">
                  <c:v>19</c:v>
                </c:pt>
                <c:pt idx="37">
                  <c:v>35</c:v>
                </c:pt>
                <c:pt idx="38">
                  <c:v>45</c:v>
                </c:pt>
                <c:pt idx="39">
                  <c:v>65</c:v>
                </c:pt>
                <c:pt idx="40">
                  <c:v>75</c:v>
                </c:pt>
                <c:pt idx="41">
                  <c:v>140</c:v>
                </c:pt>
                <c:pt idx="42">
                  <c:v>140</c:v>
                </c:pt>
                <c:pt idx="43">
                  <c:v>150</c:v>
                </c:pt>
                <c:pt idx="44">
                  <c:v>150</c:v>
                </c:pt>
                <c:pt idx="45">
                  <c:v>165</c:v>
                </c:pt>
                <c:pt idx="46">
                  <c:v>195</c:v>
                </c:pt>
                <c:pt idx="47">
                  <c:v>200</c:v>
                </c:pt>
                <c:pt idx="48">
                  <c:v>200</c:v>
                </c:pt>
                <c:pt idx="49">
                  <c:v>560</c:v>
                </c:pt>
                <c:pt idx="50">
                  <c:v>820</c:v>
                </c:pt>
                <c:pt idx="51">
                  <c:v>830</c:v>
                </c:pt>
                <c:pt idx="52">
                  <c:v>970</c:v>
                </c:pt>
                <c:pt idx="53">
                  <c:v>1220</c:v>
                </c:pt>
                <c:pt idx="54">
                  <c:v>1360</c:v>
                </c:pt>
                <c:pt idx="55">
                  <c:v>1840</c:v>
                </c:pt>
                <c:pt idx="56">
                  <c:v>1840</c:v>
                </c:pt>
                <c:pt idx="57">
                  <c:v>1940</c:v>
                </c:pt>
                <c:pt idx="58">
                  <c:v>1950</c:v>
                </c:pt>
                <c:pt idx="59">
                  <c:v>1960</c:v>
                </c:pt>
                <c:pt idx="60">
                  <c:v>2000</c:v>
                </c:pt>
                <c:pt idx="61">
                  <c:v>2000</c:v>
                </c:pt>
                <c:pt idx="62">
                  <c:v>2080</c:v>
                </c:pt>
                <c:pt idx="63">
                  <c:v>2100</c:v>
                </c:pt>
                <c:pt idx="64">
                  <c:v>2100</c:v>
                </c:pt>
                <c:pt idx="65">
                  <c:v>2150</c:v>
                </c:pt>
                <c:pt idx="66">
                  <c:v>2200</c:v>
                </c:pt>
                <c:pt idx="67">
                  <c:v>2220</c:v>
                </c:pt>
                <c:pt idx="68">
                  <c:v>2360</c:v>
                </c:pt>
                <c:pt idx="69">
                  <c:v>2400</c:v>
                </c:pt>
                <c:pt idx="70">
                  <c:v>2440</c:v>
                </c:pt>
                <c:pt idx="71">
                  <c:v>2860</c:v>
                </c:pt>
                <c:pt idx="72">
                  <c:v>2940</c:v>
                </c:pt>
                <c:pt idx="73">
                  <c:v>3020</c:v>
                </c:pt>
                <c:pt idx="74">
                  <c:v>3080</c:v>
                </c:pt>
                <c:pt idx="75">
                  <c:v>3100</c:v>
                </c:pt>
                <c:pt idx="76">
                  <c:v>3200</c:v>
                </c:pt>
                <c:pt idx="77">
                  <c:v>3440</c:v>
                </c:pt>
                <c:pt idx="78">
                  <c:v>3860</c:v>
                </c:pt>
                <c:pt idx="79">
                  <c:v>4480</c:v>
                </c:pt>
                <c:pt idx="80">
                  <c:v>4720</c:v>
                </c:pt>
                <c:pt idx="81">
                  <c:v>5180</c:v>
                </c:pt>
                <c:pt idx="82">
                  <c:v>5340</c:v>
                </c:pt>
                <c:pt idx="83">
                  <c:v>6140</c:v>
                </c:pt>
                <c:pt idx="84">
                  <c:v>6300</c:v>
                </c:pt>
                <c:pt idx="85">
                  <c:v>6320</c:v>
                </c:pt>
                <c:pt idx="86">
                  <c:v>6400</c:v>
                </c:pt>
                <c:pt idx="87">
                  <c:v>7920</c:v>
                </c:pt>
                <c:pt idx="88">
                  <c:v>103</c:v>
                </c:pt>
                <c:pt idx="89">
                  <c:v>138.44999999999999</c:v>
                </c:pt>
                <c:pt idx="90">
                  <c:v>268.60000000000002</c:v>
                </c:pt>
                <c:pt idx="91">
                  <c:v>280</c:v>
                </c:pt>
                <c:pt idx="92">
                  <c:v>3280</c:v>
                </c:pt>
                <c:pt idx="93">
                  <c:v>4160</c:v>
                </c:pt>
                <c:pt idx="94">
                  <c:v>13640</c:v>
                </c:pt>
                <c:pt idx="95">
                  <c:v>14322</c:v>
                </c:pt>
                <c:pt idx="96">
                  <c:v>21000</c:v>
                </c:pt>
                <c:pt idx="97">
                  <c:v>23300</c:v>
                </c:pt>
                <c:pt idx="98">
                  <c:v>25</c:v>
                </c:pt>
                <c:pt idx="99">
                  <c:v>25</c:v>
                </c:pt>
                <c:pt idx="100">
                  <c:v>50</c:v>
                </c:pt>
                <c:pt idx="101">
                  <c:v>56</c:v>
                </c:pt>
                <c:pt idx="102">
                  <c:v>60</c:v>
                </c:pt>
                <c:pt idx="103">
                  <c:v>120</c:v>
                </c:pt>
                <c:pt idx="104">
                  <c:v>340</c:v>
                </c:pt>
                <c:pt idx="105">
                  <c:v>350</c:v>
                </c:pt>
                <c:pt idx="106">
                  <c:v>355</c:v>
                </c:pt>
                <c:pt idx="107">
                  <c:v>380</c:v>
                </c:pt>
                <c:pt idx="108">
                  <c:v>400</c:v>
                </c:pt>
                <c:pt idx="109">
                  <c:v>425</c:v>
                </c:pt>
                <c:pt idx="110">
                  <c:v>440</c:v>
                </c:pt>
                <c:pt idx="111">
                  <c:v>500</c:v>
                </c:pt>
                <c:pt idx="112">
                  <c:v>600</c:v>
                </c:pt>
                <c:pt idx="113">
                  <c:v>780</c:v>
                </c:pt>
                <c:pt idx="114">
                  <c:v>1641</c:v>
                </c:pt>
                <c:pt idx="115">
                  <c:v>4000</c:v>
                </c:pt>
                <c:pt idx="116">
                  <c:v>7290</c:v>
                </c:pt>
                <c:pt idx="117">
                  <c:v>8000</c:v>
                </c:pt>
                <c:pt idx="118">
                  <c:v>8780</c:v>
                </c:pt>
                <c:pt idx="119">
                  <c:v>10350</c:v>
                </c:pt>
                <c:pt idx="120">
                  <c:v>11240</c:v>
                </c:pt>
                <c:pt idx="121">
                  <c:v>13516</c:v>
                </c:pt>
              </c:numCache>
            </c:numRef>
          </c:xVal>
          <c:yVal>
            <c:numRef>
              <c:f>data_waste!$O$2:$O$123</c:f>
              <c:numCache>
                <c:formatCode>General</c:formatCode>
                <c:ptCount val="122"/>
                <c:pt idx="0">
                  <c:v>820.68</c:v>
                </c:pt>
                <c:pt idx="1">
                  <c:v>825.36</c:v>
                </c:pt>
                <c:pt idx="2">
                  <c:v>0.04</c:v>
                </c:pt>
                <c:pt idx="3">
                  <c:v>0.14000000000000001</c:v>
                </c:pt>
                <c:pt idx="4">
                  <c:v>0.21199999999999999</c:v>
                </c:pt>
                <c:pt idx="5">
                  <c:v>0.32</c:v>
                </c:pt>
                <c:pt idx="6">
                  <c:v>0.44</c:v>
                </c:pt>
                <c:pt idx="7">
                  <c:v>0.56000000000000005</c:v>
                </c:pt>
                <c:pt idx="8">
                  <c:v>0.6</c:v>
                </c:pt>
                <c:pt idx="9">
                  <c:v>1.6</c:v>
                </c:pt>
                <c:pt idx="10">
                  <c:v>1.68</c:v>
                </c:pt>
                <c:pt idx="11">
                  <c:v>1.68</c:v>
                </c:pt>
                <c:pt idx="12">
                  <c:v>1.76</c:v>
                </c:pt>
                <c:pt idx="13">
                  <c:v>1.88</c:v>
                </c:pt>
                <c:pt idx="14">
                  <c:v>1.92</c:v>
                </c:pt>
                <c:pt idx="15">
                  <c:v>2.4</c:v>
                </c:pt>
                <c:pt idx="16">
                  <c:v>2.52</c:v>
                </c:pt>
                <c:pt idx="17">
                  <c:v>3.08</c:v>
                </c:pt>
                <c:pt idx="18">
                  <c:v>4.32</c:v>
                </c:pt>
                <c:pt idx="19">
                  <c:v>6.8</c:v>
                </c:pt>
                <c:pt idx="20">
                  <c:v>7.28</c:v>
                </c:pt>
                <c:pt idx="21">
                  <c:v>8.2799999999999994</c:v>
                </c:pt>
                <c:pt idx="22">
                  <c:v>8.32</c:v>
                </c:pt>
                <c:pt idx="23">
                  <c:v>11.08</c:v>
                </c:pt>
                <c:pt idx="24">
                  <c:v>11.2</c:v>
                </c:pt>
                <c:pt idx="25">
                  <c:v>13.36</c:v>
                </c:pt>
                <c:pt idx="26">
                  <c:v>13.4</c:v>
                </c:pt>
                <c:pt idx="27">
                  <c:v>14.08</c:v>
                </c:pt>
                <c:pt idx="28">
                  <c:v>14.6</c:v>
                </c:pt>
                <c:pt idx="29">
                  <c:v>15.92</c:v>
                </c:pt>
                <c:pt idx="30">
                  <c:v>20.6</c:v>
                </c:pt>
                <c:pt idx="31">
                  <c:v>25.8</c:v>
                </c:pt>
                <c:pt idx="32">
                  <c:v>32.479999999999997</c:v>
                </c:pt>
                <c:pt idx="33">
                  <c:v>59.84</c:v>
                </c:pt>
                <c:pt idx="34">
                  <c:v>145.32</c:v>
                </c:pt>
                <c:pt idx="35">
                  <c:v>704</c:v>
                </c:pt>
                <c:pt idx="36">
                  <c:v>0.76</c:v>
                </c:pt>
                <c:pt idx="37">
                  <c:v>1.4</c:v>
                </c:pt>
                <c:pt idx="38">
                  <c:v>1.8</c:v>
                </c:pt>
                <c:pt idx="39">
                  <c:v>2.6</c:v>
                </c:pt>
                <c:pt idx="40">
                  <c:v>3</c:v>
                </c:pt>
                <c:pt idx="41">
                  <c:v>5.6</c:v>
                </c:pt>
                <c:pt idx="42">
                  <c:v>5.6</c:v>
                </c:pt>
                <c:pt idx="43">
                  <c:v>6</c:v>
                </c:pt>
                <c:pt idx="44">
                  <c:v>6</c:v>
                </c:pt>
                <c:pt idx="45">
                  <c:v>6.6</c:v>
                </c:pt>
                <c:pt idx="46">
                  <c:v>7.8</c:v>
                </c:pt>
                <c:pt idx="47">
                  <c:v>8</c:v>
                </c:pt>
                <c:pt idx="48">
                  <c:v>8</c:v>
                </c:pt>
                <c:pt idx="49">
                  <c:v>22.4</c:v>
                </c:pt>
                <c:pt idx="50">
                  <c:v>32.799999999999997</c:v>
                </c:pt>
                <c:pt idx="51">
                  <c:v>33.200000000000003</c:v>
                </c:pt>
                <c:pt idx="52">
                  <c:v>38.799999999999997</c:v>
                </c:pt>
                <c:pt idx="53">
                  <c:v>48.8</c:v>
                </c:pt>
                <c:pt idx="54">
                  <c:v>54.4</c:v>
                </c:pt>
                <c:pt idx="55">
                  <c:v>73.599999999999994</c:v>
                </c:pt>
                <c:pt idx="56">
                  <c:v>73.599999999999994</c:v>
                </c:pt>
                <c:pt idx="57">
                  <c:v>77.599999999999994</c:v>
                </c:pt>
                <c:pt idx="58">
                  <c:v>78</c:v>
                </c:pt>
                <c:pt idx="59">
                  <c:v>78.400000000000006</c:v>
                </c:pt>
                <c:pt idx="60">
                  <c:v>80</c:v>
                </c:pt>
                <c:pt idx="61">
                  <c:v>80</c:v>
                </c:pt>
                <c:pt idx="62">
                  <c:v>83.2</c:v>
                </c:pt>
                <c:pt idx="63">
                  <c:v>84</c:v>
                </c:pt>
                <c:pt idx="64">
                  <c:v>84</c:v>
                </c:pt>
                <c:pt idx="65">
                  <c:v>86</c:v>
                </c:pt>
                <c:pt idx="66">
                  <c:v>88</c:v>
                </c:pt>
                <c:pt idx="67">
                  <c:v>88.8</c:v>
                </c:pt>
                <c:pt idx="68">
                  <c:v>94.4</c:v>
                </c:pt>
                <c:pt idx="69">
                  <c:v>96</c:v>
                </c:pt>
                <c:pt idx="70">
                  <c:v>97.6</c:v>
                </c:pt>
                <c:pt idx="71">
                  <c:v>114.4</c:v>
                </c:pt>
                <c:pt idx="72">
                  <c:v>117.6</c:v>
                </c:pt>
                <c:pt idx="73">
                  <c:v>120.8</c:v>
                </c:pt>
                <c:pt idx="74">
                  <c:v>123.2</c:v>
                </c:pt>
                <c:pt idx="75">
                  <c:v>124</c:v>
                </c:pt>
                <c:pt idx="76">
                  <c:v>128</c:v>
                </c:pt>
                <c:pt idx="77">
                  <c:v>137.6</c:v>
                </c:pt>
                <c:pt idx="78">
                  <c:v>154.4</c:v>
                </c:pt>
                <c:pt idx="79">
                  <c:v>179.2</c:v>
                </c:pt>
                <c:pt idx="80">
                  <c:v>188.8</c:v>
                </c:pt>
                <c:pt idx="81">
                  <c:v>207.2</c:v>
                </c:pt>
                <c:pt idx="82">
                  <c:v>213.6</c:v>
                </c:pt>
                <c:pt idx="83">
                  <c:v>245.6</c:v>
                </c:pt>
                <c:pt idx="84">
                  <c:v>252</c:v>
                </c:pt>
                <c:pt idx="85">
                  <c:v>252.8</c:v>
                </c:pt>
                <c:pt idx="86">
                  <c:v>256</c:v>
                </c:pt>
                <c:pt idx="87">
                  <c:v>316.8</c:v>
                </c:pt>
                <c:pt idx="88">
                  <c:v>4.12</c:v>
                </c:pt>
                <c:pt idx="89">
                  <c:v>5.5380000000000003</c:v>
                </c:pt>
                <c:pt idx="90">
                  <c:v>10.744</c:v>
                </c:pt>
                <c:pt idx="91">
                  <c:v>11.2</c:v>
                </c:pt>
                <c:pt idx="92">
                  <c:v>131.19999999999999</c:v>
                </c:pt>
                <c:pt idx="93">
                  <c:v>166.4</c:v>
                </c:pt>
                <c:pt idx="94">
                  <c:v>545.6</c:v>
                </c:pt>
                <c:pt idx="95">
                  <c:v>572.88</c:v>
                </c:pt>
                <c:pt idx="96">
                  <c:v>840</c:v>
                </c:pt>
                <c:pt idx="97">
                  <c:v>932</c:v>
                </c:pt>
                <c:pt idx="98">
                  <c:v>1</c:v>
                </c:pt>
                <c:pt idx="99">
                  <c:v>1</c:v>
                </c:pt>
                <c:pt idx="100">
                  <c:v>2</c:v>
                </c:pt>
                <c:pt idx="101">
                  <c:v>2.2400000000000002</c:v>
                </c:pt>
                <c:pt idx="102">
                  <c:v>2.4</c:v>
                </c:pt>
                <c:pt idx="103">
                  <c:v>4.8</c:v>
                </c:pt>
                <c:pt idx="104">
                  <c:v>13.6</c:v>
                </c:pt>
                <c:pt idx="105">
                  <c:v>14</c:v>
                </c:pt>
                <c:pt idx="106">
                  <c:v>14.2</c:v>
                </c:pt>
                <c:pt idx="107">
                  <c:v>15.2</c:v>
                </c:pt>
                <c:pt idx="108">
                  <c:v>16</c:v>
                </c:pt>
                <c:pt idx="109">
                  <c:v>17</c:v>
                </c:pt>
                <c:pt idx="110">
                  <c:v>17.600000000000001</c:v>
                </c:pt>
                <c:pt idx="111">
                  <c:v>20</c:v>
                </c:pt>
                <c:pt idx="112">
                  <c:v>24</c:v>
                </c:pt>
                <c:pt idx="113">
                  <c:v>31.2</c:v>
                </c:pt>
                <c:pt idx="114">
                  <c:v>65.64</c:v>
                </c:pt>
                <c:pt idx="115">
                  <c:v>160</c:v>
                </c:pt>
                <c:pt idx="116">
                  <c:v>291.60000000000002</c:v>
                </c:pt>
                <c:pt idx="117">
                  <c:v>320</c:v>
                </c:pt>
                <c:pt idx="118">
                  <c:v>351.2</c:v>
                </c:pt>
                <c:pt idx="119">
                  <c:v>414</c:v>
                </c:pt>
                <c:pt idx="120">
                  <c:v>449.6</c:v>
                </c:pt>
                <c:pt idx="121">
                  <c:v>540.64</c:v>
                </c:pt>
              </c:numCache>
            </c:numRef>
          </c:yVal>
          <c:smooth val="0"/>
          <c:extLst>
            <c:ext xmlns:c16="http://schemas.microsoft.com/office/drawing/2014/chart" uri="{C3380CC4-5D6E-409C-BE32-E72D297353CC}">
              <c16:uniqueId val="{00000000-F01F-45BC-B7D1-CAC0CA37075D}"/>
            </c:ext>
          </c:extLst>
        </c:ser>
        <c:dLbls>
          <c:showLegendKey val="0"/>
          <c:showVal val="0"/>
          <c:showCatName val="0"/>
          <c:showSerName val="0"/>
          <c:showPercent val="0"/>
          <c:showBubbleSize val="0"/>
        </c:dLbls>
        <c:axId val="39881695"/>
        <c:axId val="39892255"/>
      </c:scatterChart>
      <c:valAx>
        <c:axId val="3988169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Quantity</a:t>
                </a:r>
                <a:r>
                  <a:rPr lang="en-GB" baseline="0"/>
                  <a:t> of waste</a:t>
                </a:r>
                <a:endParaRPr lang="en-GB"/>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9892255"/>
        <c:crosses val="autoZero"/>
        <c:crossBetween val="midCat"/>
      </c:valAx>
      <c:valAx>
        <c:axId val="3989225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Kg</a:t>
                </a:r>
                <a:r>
                  <a:rPr lang="en-GB" baseline="0"/>
                  <a:t> CO2 eq</a:t>
                </a:r>
                <a:endParaRPr lang="en-GB"/>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881695"/>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Kg Co2eq por Kg</a:t>
            </a:r>
            <a:r>
              <a:rPr lang="en-US" baseline="0"/>
              <a:t> de residuos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data_waste!$O$1</c:f>
              <c:strCache>
                <c:ptCount val="1"/>
                <c:pt idx="0">
                  <c:v>kg Co2eq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data_waste!$L$2:$L$123</c:f>
              <c:numCache>
                <c:formatCode>General</c:formatCode>
                <c:ptCount val="122"/>
                <c:pt idx="0">
                  <c:v>20517</c:v>
                </c:pt>
                <c:pt idx="1">
                  <c:v>20634</c:v>
                </c:pt>
                <c:pt idx="2">
                  <c:v>1</c:v>
                </c:pt>
                <c:pt idx="3">
                  <c:v>3.5</c:v>
                </c:pt>
                <c:pt idx="4">
                  <c:v>5.3</c:v>
                </c:pt>
                <c:pt idx="5">
                  <c:v>8</c:v>
                </c:pt>
                <c:pt idx="6">
                  <c:v>11</c:v>
                </c:pt>
                <c:pt idx="7">
                  <c:v>14</c:v>
                </c:pt>
                <c:pt idx="8">
                  <c:v>15</c:v>
                </c:pt>
                <c:pt idx="9">
                  <c:v>40</c:v>
                </c:pt>
                <c:pt idx="10">
                  <c:v>42</c:v>
                </c:pt>
                <c:pt idx="11">
                  <c:v>42</c:v>
                </c:pt>
                <c:pt idx="12">
                  <c:v>44</c:v>
                </c:pt>
                <c:pt idx="13">
                  <c:v>47</c:v>
                </c:pt>
                <c:pt idx="14">
                  <c:v>48</c:v>
                </c:pt>
                <c:pt idx="15">
                  <c:v>60</c:v>
                </c:pt>
                <c:pt idx="16">
                  <c:v>63</c:v>
                </c:pt>
                <c:pt idx="17">
                  <c:v>77</c:v>
                </c:pt>
                <c:pt idx="18">
                  <c:v>108</c:v>
                </c:pt>
                <c:pt idx="19">
                  <c:v>170</c:v>
                </c:pt>
                <c:pt idx="20">
                  <c:v>182</c:v>
                </c:pt>
                <c:pt idx="21">
                  <c:v>207</c:v>
                </c:pt>
                <c:pt idx="22">
                  <c:v>208</c:v>
                </c:pt>
                <c:pt idx="23">
                  <c:v>277</c:v>
                </c:pt>
                <c:pt idx="24">
                  <c:v>280</c:v>
                </c:pt>
                <c:pt idx="25">
                  <c:v>334</c:v>
                </c:pt>
                <c:pt idx="26">
                  <c:v>335</c:v>
                </c:pt>
                <c:pt idx="27">
                  <c:v>352</c:v>
                </c:pt>
                <c:pt idx="28">
                  <c:v>365</c:v>
                </c:pt>
                <c:pt idx="29">
                  <c:v>398</c:v>
                </c:pt>
                <c:pt idx="30">
                  <c:v>515</c:v>
                </c:pt>
                <c:pt idx="31">
                  <c:v>645</c:v>
                </c:pt>
                <c:pt idx="32">
                  <c:v>812</c:v>
                </c:pt>
                <c:pt idx="33">
                  <c:v>1496</c:v>
                </c:pt>
                <c:pt idx="34">
                  <c:v>3633</c:v>
                </c:pt>
                <c:pt idx="35">
                  <c:v>17600</c:v>
                </c:pt>
                <c:pt idx="36">
                  <c:v>19</c:v>
                </c:pt>
                <c:pt idx="37">
                  <c:v>35</c:v>
                </c:pt>
                <c:pt idx="38">
                  <c:v>45</c:v>
                </c:pt>
                <c:pt idx="39">
                  <c:v>65</c:v>
                </c:pt>
                <c:pt idx="40">
                  <c:v>75</c:v>
                </c:pt>
                <c:pt idx="41">
                  <c:v>140</c:v>
                </c:pt>
                <c:pt idx="42">
                  <c:v>140</c:v>
                </c:pt>
                <c:pt idx="43">
                  <c:v>150</c:v>
                </c:pt>
                <c:pt idx="44">
                  <c:v>150</c:v>
                </c:pt>
                <c:pt idx="45">
                  <c:v>165</c:v>
                </c:pt>
                <c:pt idx="46">
                  <c:v>195</c:v>
                </c:pt>
                <c:pt idx="47">
                  <c:v>200</c:v>
                </c:pt>
                <c:pt idx="48">
                  <c:v>200</c:v>
                </c:pt>
                <c:pt idx="49">
                  <c:v>560</c:v>
                </c:pt>
                <c:pt idx="50">
                  <c:v>820</c:v>
                </c:pt>
                <c:pt idx="51">
                  <c:v>830</c:v>
                </c:pt>
                <c:pt idx="52">
                  <c:v>970</c:v>
                </c:pt>
                <c:pt idx="53">
                  <c:v>1220</c:v>
                </c:pt>
                <c:pt idx="54">
                  <c:v>1360</c:v>
                </c:pt>
                <c:pt idx="55">
                  <c:v>1840</c:v>
                </c:pt>
                <c:pt idx="56">
                  <c:v>1840</c:v>
                </c:pt>
                <c:pt idx="57">
                  <c:v>1940</c:v>
                </c:pt>
                <c:pt idx="58">
                  <c:v>1950</c:v>
                </c:pt>
                <c:pt idx="59">
                  <c:v>1960</c:v>
                </c:pt>
                <c:pt idx="60">
                  <c:v>2000</c:v>
                </c:pt>
                <c:pt idx="61">
                  <c:v>2000</c:v>
                </c:pt>
                <c:pt idx="62">
                  <c:v>2080</c:v>
                </c:pt>
                <c:pt idx="63">
                  <c:v>2100</c:v>
                </c:pt>
                <c:pt idx="64">
                  <c:v>2100</c:v>
                </c:pt>
                <c:pt idx="65">
                  <c:v>2150</c:v>
                </c:pt>
                <c:pt idx="66">
                  <c:v>2200</c:v>
                </c:pt>
                <c:pt idx="67">
                  <c:v>2220</c:v>
                </c:pt>
                <c:pt idx="68">
                  <c:v>2360</c:v>
                </c:pt>
                <c:pt idx="69">
                  <c:v>2400</c:v>
                </c:pt>
                <c:pt idx="70">
                  <c:v>2440</c:v>
                </c:pt>
                <c:pt idx="71">
                  <c:v>2860</c:v>
                </c:pt>
                <c:pt idx="72">
                  <c:v>2940</c:v>
                </c:pt>
                <c:pt idx="73">
                  <c:v>3020</c:v>
                </c:pt>
                <c:pt idx="74">
                  <c:v>3080</c:v>
                </c:pt>
                <c:pt idx="75">
                  <c:v>3100</c:v>
                </c:pt>
                <c:pt idx="76">
                  <c:v>3200</c:v>
                </c:pt>
                <c:pt idx="77">
                  <c:v>3440</c:v>
                </c:pt>
                <c:pt idx="78">
                  <c:v>3860</c:v>
                </c:pt>
                <c:pt idx="79">
                  <c:v>4480</c:v>
                </c:pt>
                <c:pt idx="80">
                  <c:v>4720</c:v>
                </c:pt>
                <c:pt idx="81">
                  <c:v>5180</c:v>
                </c:pt>
                <c:pt idx="82">
                  <c:v>5340</c:v>
                </c:pt>
                <c:pt idx="83">
                  <c:v>6140</c:v>
                </c:pt>
                <c:pt idx="84">
                  <c:v>6300</c:v>
                </c:pt>
                <c:pt idx="85">
                  <c:v>6320</c:v>
                </c:pt>
                <c:pt idx="86">
                  <c:v>6400</c:v>
                </c:pt>
                <c:pt idx="87">
                  <c:v>7920</c:v>
                </c:pt>
                <c:pt idx="88">
                  <c:v>103</c:v>
                </c:pt>
                <c:pt idx="89">
                  <c:v>138.44999999999999</c:v>
                </c:pt>
                <c:pt idx="90">
                  <c:v>268.60000000000002</c:v>
                </c:pt>
                <c:pt idx="91">
                  <c:v>280</c:v>
                </c:pt>
                <c:pt idx="92">
                  <c:v>3280</c:v>
                </c:pt>
                <c:pt idx="93">
                  <c:v>4160</c:v>
                </c:pt>
                <c:pt idx="94">
                  <c:v>13640</c:v>
                </c:pt>
                <c:pt idx="95">
                  <c:v>14322</c:v>
                </c:pt>
                <c:pt idx="96">
                  <c:v>21000</c:v>
                </c:pt>
                <c:pt idx="97">
                  <c:v>23300</c:v>
                </c:pt>
                <c:pt idx="98">
                  <c:v>25</c:v>
                </c:pt>
                <c:pt idx="99">
                  <c:v>25</c:v>
                </c:pt>
                <c:pt idx="100">
                  <c:v>50</c:v>
                </c:pt>
                <c:pt idx="101">
                  <c:v>56</c:v>
                </c:pt>
                <c:pt idx="102">
                  <c:v>60</c:v>
                </c:pt>
                <c:pt idx="103">
                  <c:v>120</c:v>
                </c:pt>
                <c:pt idx="104">
                  <c:v>340</c:v>
                </c:pt>
                <c:pt idx="105">
                  <c:v>350</c:v>
                </c:pt>
                <c:pt idx="106">
                  <c:v>355</c:v>
                </c:pt>
                <c:pt idx="107">
                  <c:v>380</c:v>
                </c:pt>
                <c:pt idx="108">
                  <c:v>400</c:v>
                </c:pt>
                <c:pt idx="109">
                  <c:v>425</c:v>
                </c:pt>
                <c:pt idx="110">
                  <c:v>440</c:v>
                </c:pt>
                <c:pt idx="111">
                  <c:v>500</c:v>
                </c:pt>
                <c:pt idx="112">
                  <c:v>600</c:v>
                </c:pt>
                <c:pt idx="113">
                  <c:v>780</c:v>
                </c:pt>
                <c:pt idx="114">
                  <c:v>1641</c:v>
                </c:pt>
                <c:pt idx="115">
                  <c:v>4000</c:v>
                </c:pt>
                <c:pt idx="116">
                  <c:v>7290</c:v>
                </c:pt>
                <c:pt idx="117">
                  <c:v>8000</c:v>
                </c:pt>
                <c:pt idx="118">
                  <c:v>8780</c:v>
                </c:pt>
                <c:pt idx="119">
                  <c:v>10350</c:v>
                </c:pt>
                <c:pt idx="120">
                  <c:v>11240</c:v>
                </c:pt>
                <c:pt idx="121">
                  <c:v>13516</c:v>
                </c:pt>
              </c:numCache>
            </c:numRef>
          </c:xVal>
          <c:yVal>
            <c:numRef>
              <c:f>data_waste!$O$2:$O$123</c:f>
              <c:numCache>
                <c:formatCode>General</c:formatCode>
                <c:ptCount val="122"/>
                <c:pt idx="0">
                  <c:v>820.68</c:v>
                </c:pt>
                <c:pt idx="1">
                  <c:v>825.36</c:v>
                </c:pt>
                <c:pt idx="2">
                  <c:v>0.04</c:v>
                </c:pt>
                <c:pt idx="3">
                  <c:v>0.14000000000000001</c:v>
                </c:pt>
                <c:pt idx="4">
                  <c:v>0.21199999999999999</c:v>
                </c:pt>
                <c:pt idx="5">
                  <c:v>0.32</c:v>
                </c:pt>
                <c:pt idx="6">
                  <c:v>0.44</c:v>
                </c:pt>
                <c:pt idx="7">
                  <c:v>0.56000000000000005</c:v>
                </c:pt>
                <c:pt idx="8">
                  <c:v>0.6</c:v>
                </c:pt>
                <c:pt idx="9">
                  <c:v>1.6</c:v>
                </c:pt>
                <c:pt idx="10">
                  <c:v>1.68</c:v>
                </c:pt>
                <c:pt idx="11">
                  <c:v>1.68</c:v>
                </c:pt>
                <c:pt idx="12">
                  <c:v>1.76</c:v>
                </c:pt>
                <c:pt idx="13">
                  <c:v>1.88</c:v>
                </c:pt>
                <c:pt idx="14">
                  <c:v>1.92</c:v>
                </c:pt>
                <c:pt idx="15">
                  <c:v>2.4</c:v>
                </c:pt>
                <c:pt idx="16">
                  <c:v>2.52</c:v>
                </c:pt>
                <c:pt idx="17">
                  <c:v>3.08</c:v>
                </c:pt>
                <c:pt idx="18">
                  <c:v>4.32</c:v>
                </c:pt>
                <c:pt idx="19">
                  <c:v>6.8</c:v>
                </c:pt>
                <c:pt idx="20">
                  <c:v>7.28</c:v>
                </c:pt>
                <c:pt idx="21">
                  <c:v>8.2799999999999994</c:v>
                </c:pt>
                <c:pt idx="22">
                  <c:v>8.32</c:v>
                </c:pt>
                <c:pt idx="23">
                  <c:v>11.08</c:v>
                </c:pt>
                <c:pt idx="24">
                  <c:v>11.2</c:v>
                </c:pt>
                <c:pt idx="25">
                  <c:v>13.36</c:v>
                </c:pt>
                <c:pt idx="26">
                  <c:v>13.4</c:v>
                </c:pt>
                <c:pt idx="27">
                  <c:v>14.08</c:v>
                </c:pt>
                <c:pt idx="28">
                  <c:v>14.6</c:v>
                </c:pt>
                <c:pt idx="29">
                  <c:v>15.92</c:v>
                </c:pt>
                <c:pt idx="30">
                  <c:v>20.6</c:v>
                </c:pt>
                <c:pt idx="31">
                  <c:v>25.8</c:v>
                </c:pt>
                <c:pt idx="32">
                  <c:v>32.479999999999997</c:v>
                </c:pt>
                <c:pt idx="33">
                  <c:v>59.84</c:v>
                </c:pt>
                <c:pt idx="34">
                  <c:v>145.32</c:v>
                </c:pt>
                <c:pt idx="35">
                  <c:v>704</c:v>
                </c:pt>
                <c:pt idx="36">
                  <c:v>0.76</c:v>
                </c:pt>
                <c:pt idx="37">
                  <c:v>1.4</c:v>
                </c:pt>
                <c:pt idx="38">
                  <c:v>1.8</c:v>
                </c:pt>
                <c:pt idx="39">
                  <c:v>2.6</c:v>
                </c:pt>
                <c:pt idx="40">
                  <c:v>3</c:v>
                </c:pt>
                <c:pt idx="41">
                  <c:v>5.6</c:v>
                </c:pt>
                <c:pt idx="42">
                  <c:v>5.6</c:v>
                </c:pt>
                <c:pt idx="43">
                  <c:v>6</c:v>
                </c:pt>
                <c:pt idx="44">
                  <c:v>6</c:v>
                </c:pt>
                <c:pt idx="45">
                  <c:v>6.6</c:v>
                </c:pt>
                <c:pt idx="46">
                  <c:v>7.8</c:v>
                </c:pt>
                <c:pt idx="47">
                  <c:v>8</c:v>
                </c:pt>
                <c:pt idx="48">
                  <c:v>8</c:v>
                </c:pt>
                <c:pt idx="49">
                  <c:v>22.4</c:v>
                </c:pt>
                <c:pt idx="50">
                  <c:v>32.799999999999997</c:v>
                </c:pt>
                <c:pt idx="51">
                  <c:v>33.200000000000003</c:v>
                </c:pt>
                <c:pt idx="52">
                  <c:v>38.799999999999997</c:v>
                </c:pt>
                <c:pt idx="53">
                  <c:v>48.8</c:v>
                </c:pt>
                <c:pt idx="54">
                  <c:v>54.4</c:v>
                </c:pt>
                <c:pt idx="55">
                  <c:v>73.599999999999994</c:v>
                </c:pt>
                <c:pt idx="56">
                  <c:v>73.599999999999994</c:v>
                </c:pt>
                <c:pt idx="57">
                  <c:v>77.599999999999994</c:v>
                </c:pt>
                <c:pt idx="58">
                  <c:v>78</c:v>
                </c:pt>
                <c:pt idx="59">
                  <c:v>78.400000000000006</c:v>
                </c:pt>
                <c:pt idx="60">
                  <c:v>80</c:v>
                </c:pt>
                <c:pt idx="61">
                  <c:v>80</c:v>
                </c:pt>
                <c:pt idx="62">
                  <c:v>83.2</c:v>
                </c:pt>
                <c:pt idx="63">
                  <c:v>84</c:v>
                </c:pt>
                <c:pt idx="64">
                  <c:v>84</c:v>
                </c:pt>
                <c:pt idx="65">
                  <c:v>86</c:v>
                </c:pt>
                <c:pt idx="66">
                  <c:v>88</c:v>
                </c:pt>
                <c:pt idx="67">
                  <c:v>88.8</c:v>
                </c:pt>
                <c:pt idx="68">
                  <c:v>94.4</c:v>
                </c:pt>
                <c:pt idx="69">
                  <c:v>96</c:v>
                </c:pt>
                <c:pt idx="70">
                  <c:v>97.6</c:v>
                </c:pt>
                <c:pt idx="71">
                  <c:v>114.4</c:v>
                </c:pt>
                <c:pt idx="72">
                  <c:v>117.6</c:v>
                </c:pt>
                <c:pt idx="73">
                  <c:v>120.8</c:v>
                </c:pt>
                <c:pt idx="74">
                  <c:v>123.2</c:v>
                </c:pt>
                <c:pt idx="75">
                  <c:v>124</c:v>
                </c:pt>
                <c:pt idx="76">
                  <c:v>128</c:v>
                </c:pt>
                <c:pt idx="77">
                  <c:v>137.6</c:v>
                </c:pt>
                <c:pt idx="78">
                  <c:v>154.4</c:v>
                </c:pt>
                <c:pt idx="79">
                  <c:v>179.2</c:v>
                </c:pt>
                <c:pt idx="80">
                  <c:v>188.8</c:v>
                </c:pt>
                <c:pt idx="81">
                  <c:v>207.2</c:v>
                </c:pt>
                <c:pt idx="82">
                  <c:v>213.6</c:v>
                </c:pt>
                <c:pt idx="83">
                  <c:v>245.6</c:v>
                </c:pt>
                <c:pt idx="84">
                  <c:v>252</c:v>
                </c:pt>
                <c:pt idx="85">
                  <c:v>252.8</c:v>
                </c:pt>
                <c:pt idx="86">
                  <c:v>256</c:v>
                </c:pt>
                <c:pt idx="87">
                  <c:v>316.8</c:v>
                </c:pt>
                <c:pt idx="88">
                  <c:v>4.12</c:v>
                </c:pt>
                <c:pt idx="89">
                  <c:v>5.5380000000000003</c:v>
                </c:pt>
                <c:pt idx="90">
                  <c:v>10.744</c:v>
                </c:pt>
                <c:pt idx="91">
                  <c:v>11.2</c:v>
                </c:pt>
                <c:pt idx="92">
                  <c:v>131.19999999999999</c:v>
                </c:pt>
                <c:pt idx="93">
                  <c:v>166.4</c:v>
                </c:pt>
                <c:pt idx="94">
                  <c:v>545.6</c:v>
                </c:pt>
                <c:pt idx="95">
                  <c:v>572.88</c:v>
                </c:pt>
                <c:pt idx="96">
                  <c:v>840</c:v>
                </c:pt>
                <c:pt idx="97">
                  <c:v>932</c:v>
                </c:pt>
                <c:pt idx="98">
                  <c:v>1</c:v>
                </c:pt>
                <c:pt idx="99">
                  <c:v>1</c:v>
                </c:pt>
                <c:pt idx="100">
                  <c:v>2</c:v>
                </c:pt>
                <c:pt idx="101">
                  <c:v>2.2400000000000002</c:v>
                </c:pt>
                <c:pt idx="102">
                  <c:v>2.4</c:v>
                </c:pt>
                <c:pt idx="103">
                  <c:v>4.8</c:v>
                </c:pt>
                <c:pt idx="104">
                  <c:v>13.6</c:v>
                </c:pt>
                <c:pt idx="105">
                  <c:v>14</c:v>
                </c:pt>
                <c:pt idx="106">
                  <c:v>14.2</c:v>
                </c:pt>
                <c:pt idx="107">
                  <c:v>15.2</c:v>
                </c:pt>
                <c:pt idx="108">
                  <c:v>16</c:v>
                </c:pt>
                <c:pt idx="109">
                  <c:v>17</c:v>
                </c:pt>
                <c:pt idx="110">
                  <c:v>17.600000000000001</c:v>
                </c:pt>
                <c:pt idx="111">
                  <c:v>20</c:v>
                </c:pt>
                <c:pt idx="112">
                  <c:v>24</c:v>
                </c:pt>
                <c:pt idx="113">
                  <c:v>31.2</c:v>
                </c:pt>
                <c:pt idx="114">
                  <c:v>65.64</c:v>
                </c:pt>
                <c:pt idx="115">
                  <c:v>160</c:v>
                </c:pt>
                <c:pt idx="116">
                  <c:v>291.60000000000002</c:v>
                </c:pt>
                <c:pt idx="117">
                  <c:v>320</c:v>
                </c:pt>
                <c:pt idx="118">
                  <c:v>351.2</c:v>
                </c:pt>
                <c:pt idx="119">
                  <c:v>414</c:v>
                </c:pt>
                <c:pt idx="120">
                  <c:v>449.6</c:v>
                </c:pt>
                <c:pt idx="121">
                  <c:v>540.64</c:v>
                </c:pt>
              </c:numCache>
            </c:numRef>
          </c:yVal>
          <c:smooth val="0"/>
          <c:extLst>
            <c:ext xmlns:c16="http://schemas.microsoft.com/office/drawing/2014/chart" uri="{C3380CC4-5D6E-409C-BE32-E72D297353CC}">
              <c16:uniqueId val="{00000000-2204-4E8E-A6F4-886EC5E783FA}"/>
            </c:ext>
          </c:extLst>
        </c:ser>
        <c:dLbls>
          <c:showLegendKey val="0"/>
          <c:showVal val="0"/>
          <c:showCatName val="0"/>
          <c:showSerName val="0"/>
          <c:showPercent val="0"/>
          <c:showBubbleSize val="0"/>
        </c:dLbls>
        <c:axId val="301359920"/>
        <c:axId val="301371920"/>
      </c:scatterChart>
      <c:valAx>
        <c:axId val="301359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Kg de residuos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371920"/>
        <c:crosses val="autoZero"/>
        <c:crossBetween val="midCat"/>
      </c:valAx>
      <c:valAx>
        <c:axId val="30137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CO2</a:t>
                </a:r>
                <a:r>
                  <a:rPr lang="en-GB" baseline="0"/>
                  <a:t> eq (Kg)</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359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data_waste!$O$1</c:f>
              <c:strCache>
                <c:ptCount val="1"/>
                <c:pt idx="0">
                  <c:v>kg Co2eq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data_waste!$L$2:$L$123</c:f>
              <c:numCache>
                <c:formatCode>General</c:formatCode>
                <c:ptCount val="122"/>
                <c:pt idx="0">
                  <c:v>20517</c:v>
                </c:pt>
                <c:pt idx="1">
                  <c:v>20634</c:v>
                </c:pt>
                <c:pt idx="2">
                  <c:v>1</c:v>
                </c:pt>
                <c:pt idx="3">
                  <c:v>3.5</c:v>
                </c:pt>
                <c:pt idx="4">
                  <c:v>5.3</c:v>
                </c:pt>
                <c:pt idx="5">
                  <c:v>8</c:v>
                </c:pt>
                <c:pt idx="6">
                  <c:v>11</c:v>
                </c:pt>
                <c:pt idx="7">
                  <c:v>14</c:v>
                </c:pt>
                <c:pt idx="8">
                  <c:v>15</c:v>
                </c:pt>
                <c:pt idx="9">
                  <c:v>40</c:v>
                </c:pt>
                <c:pt idx="10">
                  <c:v>42</c:v>
                </c:pt>
                <c:pt idx="11">
                  <c:v>42</c:v>
                </c:pt>
                <c:pt idx="12">
                  <c:v>44</c:v>
                </c:pt>
                <c:pt idx="13">
                  <c:v>47</c:v>
                </c:pt>
                <c:pt idx="14">
                  <c:v>48</c:v>
                </c:pt>
                <c:pt idx="15">
                  <c:v>60</c:v>
                </c:pt>
                <c:pt idx="16">
                  <c:v>63</c:v>
                </c:pt>
                <c:pt idx="17">
                  <c:v>77</c:v>
                </c:pt>
                <c:pt idx="18">
                  <c:v>108</c:v>
                </c:pt>
                <c:pt idx="19">
                  <c:v>170</c:v>
                </c:pt>
                <c:pt idx="20">
                  <c:v>182</c:v>
                </c:pt>
                <c:pt idx="21">
                  <c:v>207</c:v>
                </c:pt>
                <c:pt idx="22">
                  <c:v>208</c:v>
                </c:pt>
                <c:pt idx="23">
                  <c:v>277</c:v>
                </c:pt>
                <c:pt idx="24">
                  <c:v>280</c:v>
                </c:pt>
                <c:pt idx="25">
                  <c:v>334</c:v>
                </c:pt>
                <c:pt idx="26">
                  <c:v>335</c:v>
                </c:pt>
                <c:pt idx="27">
                  <c:v>352</c:v>
                </c:pt>
                <c:pt idx="28">
                  <c:v>365</c:v>
                </c:pt>
                <c:pt idx="29">
                  <c:v>398</c:v>
                </c:pt>
                <c:pt idx="30">
                  <c:v>515</c:v>
                </c:pt>
                <c:pt idx="31">
                  <c:v>645</c:v>
                </c:pt>
                <c:pt idx="32">
                  <c:v>812</c:v>
                </c:pt>
                <c:pt idx="33">
                  <c:v>1496</c:v>
                </c:pt>
                <c:pt idx="34">
                  <c:v>3633</c:v>
                </c:pt>
                <c:pt idx="35">
                  <c:v>17600</c:v>
                </c:pt>
                <c:pt idx="36">
                  <c:v>19</c:v>
                </c:pt>
                <c:pt idx="37">
                  <c:v>35</c:v>
                </c:pt>
                <c:pt idx="38">
                  <c:v>45</c:v>
                </c:pt>
                <c:pt idx="39">
                  <c:v>65</c:v>
                </c:pt>
                <c:pt idx="40">
                  <c:v>75</c:v>
                </c:pt>
                <c:pt idx="41">
                  <c:v>140</c:v>
                </c:pt>
                <c:pt idx="42">
                  <c:v>140</c:v>
                </c:pt>
                <c:pt idx="43">
                  <c:v>150</c:v>
                </c:pt>
                <c:pt idx="44">
                  <c:v>150</c:v>
                </c:pt>
                <c:pt idx="45">
                  <c:v>165</c:v>
                </c:pt>
                <c:pt idx="46">
                  <c:v>195</c:v>
                </c:pt>
                <c:pt idx="47">
                  <c:v>200</c:v>
                </c:pt>
                <c:pt idx="48">
                  <c:v>200</c:v>
                </c:pt>
                <c:pt idx="49">
                  <c:v>560</c:v>
                </c:pt>
                <c:pt idx="50">
                  <c:v>820</c:v>
                </c:pt>
                <c:pt idx="51">
                  <c:v>830</c:v>
                </c:pt>
                <c:pt idx="52">
                  <c:v>970</c:v>
                </c:pt>
                <c:pt idx="53">
                  <c:v>1220</c:v>
                </c:pt>
                <c:pt idx="54">
                  <c:v>1360</c:v>
                </c:pt>
                <c:pt idx="55">
                  <c:v>1840</c:v>
                </c:pt>
                <c:pt idx="56">
                  <c:v>1840</c:v>
                </c:pt>
                <c:pt idx="57">
                  <c:v>1940</c:v>
                </c:pt>
                <c:pt idx="58">
                  <c:v>1950</c:v>
                </c:pt>
                <c:pt idx="59">
                  <c:v>1960</c:v>
                </c:pt>
                <c:pt idx="60">
                  <c:v>2000</c:v>
                </c:pt>
                <c:pt idx="61">
                  <c:v>2000</c:v>
                </c:pt>
                <c:pt idx="62">
                  <c:v>2080</c:v>
                </c:pt>
                <c:pt idx="63">
                  <c:v>2100</c:v>
                </c:pt>
                <c:pt idx="64">
                  <c:v>2100</c:v>
                </c:pt>
                <c:pt idx="65">
                  <c:v>2150</c:v>
                </c:pt>
                <c:pt idx="66">
                  <c:v>2200</c:v>
                </c:pt>
                <c:pt idx="67">
                  <c:v>2220</c:v>
                </c:pt>
                <c:pt idx="68">
                  <c:v>2360</c:v>
                </c:pt>
                <c:pt idx="69">
                  <c:v>2400</c:v>
                </c:pt>
                <c:pt idx="70">
                  <c:v>2440</c:v>
                </c:pt>
                <c:pt idx="71">
                  <c:v>2860</c:v>
                </c:pt>
                <c:pt idx="72">
                  <c:v>2940</c:v>
                </c:pt>
                <c:pt idx="73">
                  <c:v>3020</c:v>
                </c:pt>
                <c:pt idx="74">
                  <c:v>3080</c:v>
                </c:pt>
                <c:pt idx="75">
                  <c:v>3100</c:v>
                </c:pt>
                <c:pt idx="76">
                  <c:v>3200</c:v>
                </c:pt>
                <c:pt idx="77">
                  <c:v>3440</c:v>
                </c:pt>
                <c:pt idx="78">
                  <c:v>3860</c:v>
                </c:pt>
                <c:pt idx="79">
                  <c:v>4480</c:v>
                </c:pt>
                <c:pt idx="80">
                  <c:v>4720</c:v>
                </c:pt>
                <c:pt idx="81">
                  <c:v>5180</c:v>
                </c:pt>
                <c:pt idx="82">
                  <c:v>5340</c:v>
                </c:pt>
                <c:pt idx="83">
                  <c:v>6140</c:v>
                </c:pt>
                <c:pt idx="84">
                  <c:v>6300</c:v>
                </c:pt>
                <c:pt idx="85">
                  <c:v>6320</c:v>
                </c:pt>
                <c:pt idx="86">
                  <c:v>6400</c:v>
                </c:pt>
                <c:pt idx="87">
                  <c:v>7920</c:v>
                </c:pt>
                <c:pt idx="88">
                  <c:v>103</c:v>
                </c:pt>
                <c:pt idx="89">
                  <c:v>138.44999999999999</c:v>
                </c:pt>
                <c:pt idx="90">
                  <c:v>268.60000000000002</c:v>
                </c:pt>
                <c:pt idx="91">
                  <c:v>280</c:v>
                </c:pt>
                <c:pt idx="92">
                  <c:v>3280</c:v>
                </c:pt>
                <c:pt idx="93">
                  <c:v>4160</c:v>
                </c:pt>
                <c:pt idx="94">
                  <c:v>13640</c:v>
                </c:pt>
                <c:pt idx="95">
                  <c:v>14322</c:v>
                </c:pt>
                <c:pt idx="96">
                  <c:v>21000</c:v>
                </c:pt>
                <c:pt idx="97">
                  <c:v>23300</c:v>
                </c:pt>
                <c:pt idx="98">
                  <c:v>25</c:v>
                </c:pt>
                <c:pt idx="99">
                  <c:v>25</c:v>
                </c:pt>
                <c:pt idx="100">
                  <c:v>50</c:v>
                </c:pt>
                <c:pt idx="101">
                  <c:v>56</c:v>
                </c:pt>
                <c:pt idx="102">
                  <c:v>60</c:v>
                </c:pt>
                <c:pt idx="103">
                  <c:v>120</c:v>
                </c:pt>
                <c:pt idx="104">
                  <c:v>340</c:v>
                </c:pt>
                <c:pt idx="105">
                  <c:v>350</c:v>
                </c:pt>
                <c:pt idx="106">
                  <c:v>355</c:v>
                </c:pt>
                <c:pt idx="107">
                  <c:v>380</c:v>
                </c:pt>
                <c:pt idx="108">
                  <c:v>400</c:v>
                </c:pt>
                <c:pt idx="109">
                  <c:v>425</c:v>
                </c:pt>
                <c:pt idx="110">
                  <c:v>440</c:v>
                </c:pt>
                <c:pt idx="111">
                  <c:v>500</c:v>
                </c:pt>
                <c:pt idx="112">
                  <c:v>600</c:v>
                </c:pt>
                <c:pt idx="113">
                  <c:v>780</c:v>
                </c:pt>
                <c:pt idx="114">
                  <c:v>1641</c:v>
                </c:pt>
                <c:pt idx="115">
                  <c:v>4000</c:v>
                </c:pt>
                <c:pt idx="116">
                  <c:v>7290</c:v>
                </c:pt>
                <c:pt idx="117">
                  <c:v>8000</c:v>
                </c:pt>
                <c:pt idx="118">
                  <c:v>8780</c:v>
                </c:pt>
                <c:pt idx="119">
                  <c:v>10350</c:v>
                </c:pt>
                <c:pt idx="120">
                  <c:v>11240</c:v>
                </c:pt>
                <c:pt idx="121">
                  <c:v>13516</c:v>
                </c:pt>
              </c:numCache>
            </c:numRef>
          </c:xVal>
          <c:yVal>
            <c:numRef>
              <c:f>data_waste!$O$2:$O$123</c:f>
              <c:numCache>
                <c:formatCode>General</c:formatCode>
                <c:ptCount val="122"/>
                <c:pt idx="0">
                  <c:v>820.68</c:v>
                </c:pt>
                <c:pt idx="1">
                  <c:v>825.36</c:v>
                </c:pt>
                <c:pt idx="2">
                  <c:v>0.04</c:v>
                </c:pt>
                <c:pt idx="3">
                  <c:v>0.14000000000000001</c:v>
                </c:pt>
                <c:pt idx="4">
                  <c:v>0.21199999999999999</c:v>
                </c:pt>
                <c:pt idx="5">
                  <c:v>0.32</c:v>
                </c:pt>
                <c:pt idx="6">
                  <c:v>0.44</c:v>
                </c:pt>
                <c:pt idx="7">
                  <c:v>0.56000000000000005</c:v>
                </c:pt>
                <c:pt idx="8">
                  <c:v>0.6</c:v>
                </c:pt>
                <c:pt idx="9">
                  <c:v>1.6</c:v>
                </c:pt>
                <c:pt idx="10">
                  <c:v>1.68</c:v>
                </c:pt>
                <c:pt idx="11">
                  <c:v>1.68</c:v>
                </c:pt>
                <c:pt idx="12">
                  <c:v>1.76</c:v>
                </c:pt>
                <c:pt idx="13">
                  <c:v>1.88</c:v>
                </c:pt>
                <c:pt idx="14">
                  <c:v>1.92</c:v>
                </c:pt>
                <c:pt idx="15">
                  <c:v>2.4</c:v>
                </c:pt>
                <c:pt idx="16">
                  <c:v>2.52</c:v>
                </c:pt>
                <c:pt idx="17">
                  <c:v>3.08</c:v>
                </c:pt>
                <c:pt idx="18">
                  <c:v>4.32</c:v>
                </c:pt>
                <c:pt idx="19">
                  <c:v>6.8</c:v>
                </c:pt>
                <c:pt idx="20">
                  <c:v>7.28</c:v>
                </c:pt>
                <c:pt idx="21">
                  <c:v>8.2799999999999994</c:v>
                </c:pt>
                <c:pt idx="22">
                  <c:v>8.32</c:v>
                </c:pt>
                <c:pt idx="23">
                  <c:v>11.08</c:v>
                </c:pt>
                <c:pt idx="24">
                  <c:v>11.2</c:v>
                </c:pt>
                <c:pt idx="25">
                  <c:v>13.36</c:v>
                </c:pt>
                <c:pt idx="26">
                  <c:v>13.4</c:v>
                </c:pt>
                <c:pt idx="27">
                  <c:v>14.08</c:v>
                </c:pt>
                <c:pt idx="28">
                  <c:v>14.6</c:v>
                </c:pt>
                <c:pt idx="29">
                  <c:v>15.92</c:v>
                </c:pt>
                <c:pt idx="30">
                  <c:v>20.6</c:v>
                </c:pt>
                <c:pt idx="31">
                  <c:v>25.8</c:v>
                </c:pt>
                <c:pt idx="32">
                  <c:v>32.479999999999997</c:v>
                </c:pt>
                <c:pt idx="33">
                  <c:v>59.84</c:v>
                </c:pt>
                <c:pt idx="34">
                  <c:v>145.32</c:v>
                </c:pt>
                <c:pt idx="35">
                  <c:v>704</c:v>
                </c:pt>
                <c:pt idx="36">
                  <c:v>0.76</c:v>
                </c:pt>
                <c:pt idx="37">
                  <c:v>1.4</c:v>
                </c:pt>
                <c:pt idx="38">
                  <c:v>1.8</c:v>
                </c:pt>
                <c:pt idx="39">
                  <c:v>2.6</c:v>
                </c:pt>
                <c:pt idx="40">
                  <c:v>3</c:v>
                </c:pt>
                <c:pt idx="41">
                  <c:v>5.6</c:v>
                </c:pt>
                <c:pt idx="42">
                  <c:v>5.6</c:v>
                </c:pt>
                <c:pt idx="43">
                  <c:v>6</c:v>
                </c:pt>
                <c:pt idx="44">
                  <c:v>6</c:v>
                </c:pt>
                <c:pt idx="45">
                  <c:v>6.6</c:v>
                </c:pt>
                <c:pt idx="46">
                  <c:v>7.8</c:v>
                </c:pt>
                <c:pt idx="47">
                  <c:v>8</c:v>
                </c:pt>
                <c:pt idx="48">
                  <c:v>8</c:v>
                </c:pt>
                <c:pt idx="49">
                  <c:v>22.4</c:v>
                </c:pt>
                <c:pt idx="50">
                  <c:v>32.799999999999997</c:v>
                </c:pt>
                <c:pt idx="51">
                  <c:v>33.200000000000003</c:v>
                </c:pt>
                <c:pt idx="52">
                  <c:v>38.799999999999997</c:v>
                </c:pt>
                <c:pt idx="53">
                  <c:v>48.8</c:v>
                </c:pt>
                <c:pt idx="54">
                  <c:v>54.4</c:v>
                </c:pt>
                <c:pt idx="55">
                  <c:v>73.599999999999994</c:v>
                </c:pt>
                <c:pt idx="56">
                  <c:v>73.599999999999994</c:v>
                </c:pt>
                <c:pt idx="57">
                  <c:v>77.599999999999994</c:v>
                </c:pt>
                <c:pt idx="58">
                  <c:v>78</c:v>
                </c:pt>
                <c:pt idx="59">
                  <c:v>78.400000000000006</c:v>
                </c:pt>
                <c:pt idx="60">
                  <c:v>80</c:v>
                </c:pt>
                <c:pt idx="61">
                  <c:v>80</c:v>
                </c:pt>
                <c:pt idx="62">
                  <c:v>83.2</c:v>
                </c:pt>
                <c:pt idx="63">
                  <c:v>84</c:v>
                </c:pt>
                <c:pt idx="64">
                  <c:v>84</c:v>
                </c:pt>
                <c:pt idx="65">
                  <c:v>86</c:v>
                </c:pt>
                <c:pt idx="66">
                  <c:v>88</c:v>
                </c:pt>
                <c:pt idx="67">
                  <c:v>88.8</c:v>
                </c:pt>
                <c:pt idx="68">
                  <c:v>94.4</c:v>
                </c:pt>
                <c:pt idx="69">
                  <c:v>96</c:v>
                </c:pt>
                <c:pt idx="70">
                  <c:v>97.6</c:v>
                </c:pt>
                <c:pt idx="71">
                  <c:v>114.4</c:v>
                </c:pt>
                <c:pt idx="72">
                  <c:v>117.6</c:v>
                </c:pt>
                <c:pt idx="73">
                  <c:v>120.8</c:v>
                </c:pt>
                <c:pt idx="74">
                  <c:v>123.2</c:v>
                </c:pt>
                <c:pt idx="75">
                  <c:v>124</c:v>
                </c:pt>
                <c:pt idx="76">
                  <c:v>128</c:v>
                </c:pt>
                <c:pt idx="77">
                  <c:v>137.6</c:v>
                </c:pt>
                <c:pt idx="78">
                  <c:v>154.4</c:v>
                </c:pt>
                <c:pt idx="79">
                  <c:v>179.2</c:v>
                </c:pt>
                <c:pt idx="80">
                  <c:v>188.8</c:v>
                </c:pt>
                <c:pt idx="81">
                  <c:v>207.2</c:v>
                </c:pt>
                <c:pt idx="82">
                  <c:v>213.6</c:v>
                </c:pt>
                <c:pt idx="83">
                  <c:v>245.6</c:v>
                </c:pt>
                <c:pt idx="84">
                  <c:v>252</c:v>
                </c:pt>
                <c:pt idx="85">
                  <c:v>252.8</c:v>
                </c:pt>
                <c:pt idx="86">
                  <c:v>256</c:v>
                </c:pt>
                <c:pt idx="87">
                  <c:v>316.8</c:v>
                </c:pt>
                <c:pt idx="88">
                  <c:v>4.12</c:v>
                </c:pt>
                <c:pt idx="89">
                  <c:v>5.5380000000000003</c:v>
                </c:pt>
                <c:pt idx="90">
                  <c:v>10.744</c:v>
                </c:pt>
                <c:pt idx="91">
                  <c:v>11.2</c:v>
                </c:pt>
                <c:pt idx="92">
                  <c:v>131.19999999999999</c:v>
                </c:pt>
                <c:pt idx="93">
                  <c:v>166.4</c:v>
                </c:pt>
                <c:pt idx="94">
                  <c:v>545.6</c:v>
                </c:pt>
                <c:pt idx="95">
                  <c:v>572.88</c:v>
                </c:pt>
                <c:pt idx="96">
                  <c:v>840</c:v>
                </c:pt>
                <c:pt idx="97">
                  <c:v>932</c:v>
                </c:pt>
                <c:pt idx="98">
                  <c:v>1</c:v>
                </c:pt>
                <c:pt idx="99">
                  <c:v>1</c:v>
                </c:pt>
                <c:pt idx="100">
                  <c:v>2</c:v>
                </c:pt>
                <c:pt idx="101">
                  <c:v>2.2400000000000002</c:v>
                </c:pt>
                <c:pt idx="102">
                  <c:v>2.4</c:v>
                </c:pt>
                <c:pt idx="103">
                  <c:v>4.8</c:v>
                </c:pt>
                <c:pt idx="104">
                  <c:v>13.6</c:v>
                </c:pt>
                <c:pt idx="105">
                  <c:v>14</c:v>
                </c:pt>
                <c:pt idx="106">
                  <c:v>14.2</c:v>
                </c:pt>
                <c:pt idx="107">
                  <c:v>15.2</c:v>
                </c:pt>
                <c:pt idx="108">
                  <c:v>16</c:v>
                </c:pt>
                <c:pt idx="109">
                  <c:v>17</c:v>
                </c:pt>
                <c:pt idx="110">
                  <c:v>17.600000000000001</c:v>
                </c:pt>
                <c:pt idx="111">
                  <c:v>20</c:v>
                </c:pt>
                <c:pt idx="112">
                  <c:v>24</c:v>
                </c:pt>
                <c:pt idx="113">
                  <c:v>31.2</c:v>
                </c:pt>
                <c:pt idx="114">
                  <c:v>65.64</c:v>
                </c:pt>
                <c:pt idx="115">
                  <c:v>160</c:v>
                </c:pt>
                <c:pt idx="116">
                  <c:v>291.60000000000002</c:v>
                </c:pt>
                <c:pt idx="117">
                  <c:v>320</c:v>
                </c:pt>
                <c:pt idx="118">
                  <c:v>351.2</c:v>
                </c:pt>
                <c:pt idx="119">
                  <c:v>414</c:v>
                </c:pt>
                <c:pt idx="120">
                  <c:v>449.6</c:v>
                </c:pt>
                <c:pt idx="121">
                  <c:v>540.64</c:v>
                </c:pt>
              </c:numCache>
            </c:numRef>
          </c:yVal>
          <c:smooth val="1"/>
          <c:extLst>
            <c:ext xmlns:c16="http://schemas.microsoft.com/office/drawing/2014/chart" uri="{C3380CC4-5D6E-409C-BE32-E72D297353CC}">
              <c16:uniqueId val="{00000000-2857-4B5E-9ED8-6D037F342AA5}"/>
            </c:ext>
          </c:extLst>
        </c:ser>
        <c:dLbls>
          <c:showLegendKey val="0"/>
          <c:showVal val="0"/>
          <c:showCatName val="0"/>
          <c:showSerName val="0"/>
          <c:showPercent val="0"/>
          <c:showBubbleSize val="0"/>
        </c:dLbls>
        <c:axId val="1751053584"/>
        <c:axId val="1751034864"/>
      </c:scatterChart>
      <c:valAx>
        <c:axId val="1751053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034864"/>
        <c:crosses val="autoZero"/>
        <c:crossBetween val="midCat"/>
      </c:valAx>
      <c:valAx>
        <c:axId val="175103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0535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dinamicas!PivotTable2</c:name>
    <c:fmtId val="1"/>
  </c:pivotSource>
  <c:chart>
    <c:title>
      <c:layout>
        <c:manualLayout>
          <c:xMode val="edge"/>
          <c:yMode val="edge"/>
          <c:x val="0.49995822397200351"/>
          <c:y val="0.13786818314377369"/>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s>
    <c:plotArea>
      <c:layout/>
      <c:pieChart>
        <c:varyColors val="1"/>
        <c:ser>
          <c:idx val="0"/>
          <c:order val="0"/>
          <c:tx>
            <c:strRef>
              <c:f>'Tablas dinamicas'!$B$20:$B$21</c:f>
              <c:strCache>
                <c:ptCount val="1"/>
                <c:pt idx="0">
                  <c:v>Dcycle Andina SAS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C72F-419B-96C9-D7834BE8C85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92B-42D4-8494-80B25C6F6FB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92B-42D4-8494-80B25C6F6FB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92B-42D4-8494-80B25C6F6FB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dinamicas'!$B$22:$B$26</c:f>
              <c:numCache>
                <c:formatCode>General</c:formatCode>
                <c:ptCount val="4"/>
                <c:pt idx="0">
                  <c:v>3322.4833875830623</c:v>
                </c:pt>
                <c:pt idx="2">
                  <c:v>228.31199999999993</c:v>
                </c:pt>
                <c:pt idx="3">
                  <c:v>66.665968829942983</c:v>
                </c:pt>
              </c:numCache>
            </c:numRef>
          </c:val>
          <c:extLst>
            <c:ext xmlns:c16="http://schemas.microsoft.com/office/drawing/2014/chart" uri="{C3380CC4-5D6E-409C-BE32-E72D297353CC}">
              <c16:uniqueId val="{00000000-C72F-419B-96C9-D7834BE8C851}"/>
            </c:ext>
          </c:extLst>
        </c:ser>
        <c:ser>
          <c:idx val="1"/>
          <c:order val="1"/>
          <c:tx>
            <c:strRef>
              <c:f>'Tablas dinamicas'!$C$20:$C$21</c:f>
              <c:strCache>
                <c:ptCount val="1"/>
                <c:pt idx="0">
                  <c:v>Dcycle Deutschland  GmbH</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dinamicas'!$C$22:$C$26</c:f>
              <c:numCache>
                <c:formatCode>General</c:formatCode>
                <c:ptCount val="4"/>
                <c:pt idx="3">
                  <c:v>8.7008700870087008</c:v>
                </c:pt>
              </c:numCache>
            </c:numRef>
          </c:val>
          <c:extLst>
            <c:ext xmlns:c16="http://schemas.microsoft.com/office/drawing/2014/chart" uri="{C3380CC4-5D6E-409C-BE32-E72D297353CC}">
              <c16:uniqueId val="{00000051-E9EA-482A-9C39-472D19229750}"/>
            </c:ext>
          </c:extLst>
        </c:ser>
        <c:ser>
          <c:idx val="2"/>
          <c:order val="2"/>
          <c:tx>
            <c:strRef>
              <c:f>'Tablas dinamicas'!$D$20:$D$21</c:f>
              <c:strCache>
                <c:ptCount val="1"/>
                <c:pt idx="0">
                  <c:v>Dcycle Factory SL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dinamicas'!$D$22:$D$26</c:f>
              <c:numCache>
                <c:formatCode>General</c:formatCode>
                <c:ptCount val="4"/>
                <c:pt idx="0">
                  <c:v>17306.313468432658</c:v>
                </c:pt>
                <c:pt idx="2">
                  <c:v>1646.04</c:v>
                </c:pt>
                <c:pt idx="3">
                  <c:v>95.667566756675669</c:v>
                </c:pt>
              </c:numCache>
            </c:numRef>
          </c:val>
          <c:extLst>
            <c:ext xmlns:c16="http://schemas.microsoft.com/office/drawing/2014/chart" uri="{C3380CC4-5D6E-409C-BE32-E72D297353CC}">
              <c16:uniqueId val="{00000052-E9EA-482A-9C39-472D19229750}"/>
            </c:ext>
          </c:extLst>
        </c:ser>
        <c:ser>
          <c:idx val="3"/>
          <c:order val="3"/>
          <c:tx>
            <c:strRef>
              <c:f>'Tablas dinamicas'!$E$20:$E$21</c:f>
              <c:strCache>
                <c:ptCount val="1"/>
                <c:pt idx="0">
                  <c:v>Dcycle France SARL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dinamicas'!$E$22:$E$26</c:f>
              <c:numCache>
                <c:formatCode>General</c:formatCode>
                <c:ptCount val="4"/>
                <c:pt idx="0">
                  <c:v>2974.7056264718681</c:v>
                </c:pt>
              </c:numCache>
            </c:numRef>
          </c:val>
          <c:extLst>
            <c:ext xmlns:c16="http://schemas.microsoft.com/office/drawing/2014/chart" uri="{C3380CC4-5D6E-409C-BE32-E72D297353CC}">
              <c16:uniqueId val="{00000053-E9EA-482A-9C39-472D19229750}"/>
            </c:ext>
          </c:extLst>
        </c:ser>
        <c:ser>
          <c:idx val="4"/>
          <c:order val="4"/>
          <c:tx>
            <c:strRef>
              <c:f>'Tablas dinamicas'!$F$20:$F$21</c:f>
              <c:strCache>
                <c:ptCount val="1"/>
                <c:pt idx="0">
                  <c:v>Dcycle Ltd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dinamicas'!$F$22:$F$26</c:f>
              <c:numCache>
                <c:formatCode>General</c:formatCode>
                <c:ptCount val="4"/>
                <c:pt idx="0">
                  <c:v>22781.556092219544</c:v>
                </c:pt>
                <c:pt idx="1">
                  <c:v>8230.2026517425966</c:v>
                </c:pt>
                <c:pt idx="2">
                  <c:v>1652.8180000000002</c:v>
                </c:pt>
                <c:pt idx="3">
                  <c:v>97.809780978097805</c:v>
                </c:pt>
              </c:numCache>
            </c:numRef>
          </c:val>
          <c:extLst>
            <c:ext xmlns:c16="http://schemas.microsoft.com/office/drawing/2014/chart" uri="{C3380CC4-5D6E-409C-BE32-E72D297353CC}">
              <c16:uniqueId val="{00000054-E9EA-482A-9C39-472D19229750}"/>
            </c:ext>
          </c:extLst>
        </c:ser>
        <c:ser>
          <c:idx val="5"/>
          <c:order val="5"/>
          <c:tx>
            <c:strRef>
              <c:f>'Tablas dinamicas'!$G$20:$G$21</c:f>
              <c:strCache>
                <c:ptCount val="1"/>
                <c:pt idx="0">
                  <c:v>DCYCLE SA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dinamicas'!$G$22:$G$26</c:f>
              <c:numCache>
                <c:formatCode>General</c:formatCode>
                <c:ptCount val="4"/>
                <c:pt idx="0">
                  <c:v>208833.23233383839</c:v>
                </c:pt>
                <c:pt idx="1">
                  <c:v>4142.1517577048271</c:v>
                </c:pt>
                <c:pt idx="2">
                  <c:v>4767.3599999999997</c:v>
                </c:pt>
                <c:pt idx="3">
                  <c:v>519.83528352835287</c:v>
                </c:pt>
              </c:numCache>
            </c:numRef>
          </c:val>
          <c:extLst>
            <c:ext xmlns:c16="http://schemas.microsoft.com/office/drawing/2014/chart" uri="{C3380CC4-5D6E-409C-BE32-E72D297353CC}">
              <c16:uniqueId val="{00000055-E9EA-482A-9C39-472D19229750}"/>
            </c:ext>
          </c:extLst>
        </c:ser>
        <c:ser>
          <c:idx val="6"/>
          <c:order val="6"/>
          <c:tx>
            <c:strRef>
              <c:f>'Tablas dinamicas'!$H$20:$H$21</c:f>
              <c:strCache>
                <c:ptCount val="1"/>
                <c:pt idx="0">
                  <c:v>Dcycle SIA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dinamicas'!$H$22:$H$26</c:f>
              <c:numCache>
                <c:formatCode>General</c:formatCode>
                <c:ptCount val="4"/>
                <c:pt idx="0">
                  <c:v>5214.5739271303646</c:v>
                </c:pt>
                <c:pt idx="1">
                  <c:v>12727.663959819209</c:v>
                </c:pt>
                <c:pt idx="3">
                  <c:v>54.335433543354334</c:v>
                </c:pt>
              </c:numCache>
            </c:numRef>
          </c:val>
          <c:extLst>
            <c:ext xmlns:c16="http://schemas.microsoft.com/office/drawing/2014/chart" uri="{C3380CC4-5D6E-409C-BE32-E72D297353CC}">
              <c16:uniqueId val="{00000056-E9EA-482A-9C39-472D19229750}"/>
            </c:ext>
          </c:extLst>
        </c:ser>
        <c:ser>
          <c:idx val="7"/>
          <c:order val="7"/>
          <c:tx>
            <c:strRef>
              <c:f>'Tablas dinamicas'!$I$20:$I$21</c:f>
              <c:strCache>
                <c:ptCount val="1"/>
                <c:pt idx="0">
                  <c:v>Dcycle SpA Italy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dinamicas'!$I$22:$I$26</c:f>
              <c:numCache>
                <c:formatCode>General</c:formatCode>
                <c:ptCount val="4"/>
                <c:pt idx="0">
                  <c:v>36169.629651851741</c:v>
                </c:pt>
                <c:pt idx="2">
                  <c:v>1378.4399999999998</c:v>
                </c:pt>
                <c:pt idx="3">
                  <c:v>23546.243624362429</c:v>
                </c:pt>
              </c:numCache>
            </c:numRef>
          </c:val>
          <c:extLst>
            <c:ext xmlns:c16="http://schemas.microsoft.com/office/drawing/2014/chart" uri="{C3380CC4-5D6E-409C-BE32-E72D297353CC}">
              <c16:uniqueId val="{00000057-E9EA-482A-9C39-472D19229750}"/>
            </c:ext>
          </c:extLst>
        </c:ser>
        <c:ser>
          <c:idx val="8"/>
          <c:order val="8"/>
          <c:tx>
            <c:strRef>
              <c:f>'Tablas dinamicas'!$J$20:$J$21</c:f>
              <c:strCache>
                <c:ptCount val="1"/>
                <c:pt idx="0">
                  <c:v>Dcycle USA Inc</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dinamicas'!$J$22:$J$26</c:f>
              <c:numCache>
                <c:formatCode>General</c:formatCode>
                <c:ptCount val="4"/>
                <c:pt idx="0">
                  <c:v>3746.5582672086639</c:v>
                </c:pt>
                <c:pt idx="1">
                  <c:v>982.83931357254301</c:v>
                </c:pt>
              </c:numCache>
            </c:numRef>
          </c:val>
          <c:extLst>
            <c:ext xmlns:c16="http://schemas.microsoft.com/office/drawing/2014/chart" uri="{C3380CC4-5D6E-409C-BE32-E72D297353CC}">
              <c16:uniqueId val="{00000058-E9EA-482A-9C39-472D1922975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Emisiones</a:t>
            </a:r>
            <a:r>
              <a:rPr lang="en-GB" baseline="0"/>
              <a:t> CO2 eq por trimestre</a:t>
            </a:r>
            <a:endParaRPr lang="en-GB"/>
          </a:p>
        </c:rich>
      </c:tx>
      <c:layout>
        <c:manualLayout>
          <c:xMode val="edge"/>
          <c:yMode val="edge"/>
          <c:x val="0.16352331606217621"/>
          <c:y val="3.54022326843609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 dinamicas'!$B$34:$B$35</c:f>
              <c:strCache>
                <c:ptCount val="1"/>
                <c:pt idx="0">
                  <c:v>electricity</c:v>
                </c:pt>
              </c:strCache>
            </c:strRef>
          </c:tx>
          <c:spPr>
            <a:solidFill>
              <a:schemeClr val="accent1"/>
            </a:solidFill>
            <a:ln>
              <a:noFill/>
            </a:ln>
            <a:effectLst/>
          </c:spPr>
          <c:invertIfNegative val="0"/>
          <c:cat>
            <c:strRef>
              <c:f>'Tablas dinamicas'!$A$36:$A$40</c:f>
              <c:strCache>
                <c:ptCount val="4"/>
                <c:pt idx="0">
                  <c:v>Qtr1</c:v>
                </c:pt>
                <c:pt idx="1">
                  <c:v>Qtr2</c:v>
                </c:pt>
                <c:pt idx="2">
                  <c:v>Qtr3</c:v>
                </c:pt>
                <c:pt idx="3">
                  <c:v>Qtr4</c:v>
                </c:pt>
              </c:strCache>
            </c:strRef>
          </c:cat>
          <c:val>
            <c:numRef>
              <c:f>'Tablas dinamicas'!$B$36:$B$40</c:f>
              <c:numCache>
                <c:formatCode>General</c:formatCode>
                <c:ptCount val="4"/>
                <c:pt idx="0">
                  <c:v>73574.335128324383</c:v>
                </c:pt>
                <c:pt idx="1">
                  <c:v>75721.619391903063</c:v>
                </c:pt>
                <c:pt idx="2">
                  <c:v>74798.33050834747</c:v>
                </c:pt>
                <c:pt idx="3">
                  <c:v>76254.767726161357</c:v>
                </c:pt>
              </c:numCache>
            </c:numRef>
          </c:val>
          <c:extLst>
            <c:ext xmlns:c16="http://schemas.microsoft.com/office/drawing/2014/chart" uri="{C3380CC4-5D6E-409C-BE32-E72D297353CC}">
              <c16:uniqueId val="{00000000-B78A-4A71-B96D-EE7465DD49C2}"/>
            </c:ext>
          </c:extLst>
        </c:ser>
        <c:ser>
          <c:idx val="1"/>
          <c:order val="1"/>
          <c:tx>
            <c:strRef>
              <c:f>'Tablas dinamicas'!$C$34:$C$35</c:f>
              <c:strCache>
                <c:ptCount val="1"/>
                <c:pt idx="0">
                  <c:v>heat</c:v>
                </c:pt>
              </c:strCache>
            </c:strRef>
          </c:tx>
          <c:spPr>
            <a:solidFill>
              <a:schemeClr val="accent2"/>
            </a:solidFill>
            <a:ln>
              <a:noFill/>
            </a:ln>
            <a:effectLst/>
          </c:spPr>
          <c:invertIfNegative val="0"/>
          <c:cat>
            <c:strRef>
              <c:f>'Tablas dinamicas'!$A$36:$A$40</c:f>
              <c:strCache>
                <c:ptCount val="4"/>
                <c:pt idx="0">
                  <c:v>Qtr1</c:v>
                </c:pt>
                <c:pt idx="1">
                  <c:v>Qtr2</c:v>
                </c:pt>
                <c:pt idx="2">
                  <c:v>Qtr3</c:v>
                </c:pt>
                <c:pt idx="3">
                  <c:v>Qtr4</c:v>
                </c:pt>
              </c:strCache>
            </c:strRef>
          </c:cat>
          <c:val>
            <c:numRef>
              <c:f>'Tablas dinamicas'!$C$36:$C$40</c:f>
              <c:numCache>
                <c:formatCode>General</c:formatCode>
                <c:ptCount val="4"/>
                <c:pt idx="0">
                  <c:v>14649.449073936288</c:v>
                </c:pt>
                <c:pt idx="1">
                  <c:v>2793.981120594121</c:v>
                </c:pt>
                <c:pt idx="2">
                  <c:v>323.06515227057491</c:v>
                </c:pt>
                <c:pt idx="3">
                  <c:v>8316.3623360381862</c:v>
                </c:pt>
              </c:numCache>
            </c:numRef>
          </c:val>
          <c:extLst>
            <c:ext xmlns:c16="http://schemas.microsoft.com/office/drawing/2014/chart" uri="{C3380CC4-5D6E-409C-BE32-E72D297353CC}">
              <c16:uniqueId val="{0000000E-2507-4842-A4DD-A0B476FCE8F8}"/>
            </c:ext>
          </c:extLst>
        </c:ser>
        <c:ser>
          <c:idx val="2"/>
          <c:order val="2"/>
          <c:tx>
            <c:strRef>
              <c:f>'Tablas dinamicas'!$D$34:$D$35</c:f>
              <c:strCache>
                <c:ptCount val="1"/>
                <c:pt idx="0">
                  <c:v>waste</c:v>
                </c:pt>
              </c:strCache>
            </c:strRef>
          </c:tx>
          <c:spPr>
            <a:solidFill>
              <a:schemeClr val="accent3"/>
            </a:solidFill>
            <a:ln>
              <a:noFill/>
            </a:ln>
            <a:effectLst/>
          </c:spPr>
          <c:invertIfNegative val="0"/>
          <c:cat>
            <c:strRef>
              <c:f>'Tablas dinamicas'!$A$36:$A$40</c:f>
              <c:strCache>
                <c:ptCount val="4"/>
                <c:pt idx="0">
                  <c:v>Qtr1</c:v>
                </c:pt>
                <c:pt idx="1">
                  <c:v>Qtr2</c:v>
                </c:pt>
                <c:pt idx="2">
                  <c:v>Qtr3</c:v>
                </c:pt>
                <c:pt idx="3">
                  <c:v>Qtr4</c:v>
                </c:pt>
              </c:strCache>
            </c:strRef>
          </c:cat>
          <c:val>
            <c:numRef>
              <c:f>'Tablas dinamicas'!$D$36:$D$40</c:f>
              <c:numCache>
                <c:formatCode>General</c:formatCode>
                <c:ptCount val="4"/>
                <c:pt idx="0">
                  <c:v>1863.2800000000004</c:v>
                </c:pt>
                <c:pt idx="1">
                  <c:v>989.48</c:v>
                </c:pt>
                <c:pt idx="2">
                  <c:v>1550.84</c:v>
                </c:pt>
                <c:pt idx="3">
                  <c:v>5269.3700000000008</c:v>
                </c:pt>
              </c:numCache>
            </c:numRef>
          </c:val>
          <c:extLst>
            <c:ext xmlns:c16="http://schemas.microsoft.com/office/drawing/2014/chart" uri="{C3380CC4-5D6E-409C-BE32-E72D297353CC}">
              <c16:uniqueId val="{0000000F-2507-4842-A4DD-A0B476FCE8F8}"/>
            </c:ext>
          </c:extLst>
        </c:ser>
        <c:ser>
          <c:idx val="3"/>
          <c:order val="3"/>
          <c:tx>
            <c:strRef>
              <c:f>'Tablas dinamicas'!$E$34:$E$35</c:f>
              <c:strCache>
                <c:ptCount val="1"/>
                <c:pt idx="0">
                  <c:v>water</c:v>
                </c:pt>
              </c:strCache>
            </c:strRef>
          </c:tx>
          <c:spPr>
            <a:solidFill>
              <a:schemeClr val="accent4"/>
            </a:solidFill>
            <a:ln>
              <a:noFill/>
            </a:ln>
            <a:effectLst/>
          </c:spPr>
          <c:invertIfNegative val="0"/>
          <c:cat>
            <c:strRef>
              <c:f>'Tablas dinamicas'!$A$36:$A$40</c:f>
              <c:strCache>
                <c:ptCount val="4"/>
                <c:pt idx="0">
                  <c:v>Qtr1</c:v>
                </c:pt>
                <c:pt idx="1">
                  <c:v>Qtr2</c:v>
                </c:pt>
                <c:pt idx="2">
                  <c:v>Qtr3</c:v>
                </c:pt>
                <c:pt idx="3">
                  <c:v>Qtr4</c:v>
                </c:pt>
              </c:strCache>
            </c:strRef>
          </c:cat>
          <c:val>
            <c:numRef>
              <c:f>'Tablas dinamicas'!$E$36:$E$40</c:f>
              <c:numCache>
                <c:formatCode>General</c:formatCode>
                <c:ptCount val="4"/>
                <c:pt idx="0">
                  <c:v>14709.239423942394</c:v>
                </c:pt>
                <c:pt idx="1">
                  <c:v>982.25622562256217</c:v>
                </c:pt>
                <c:pt idx="2">
                  <c:v>436.57295952901296</c:v>
                </c:pt>
                <c:pt idx="3">
                  <c:v>8261.1899189918986</c:v>
                </c:pt>
              </c:numCache>
            </c:numRef>
          </c:val>
          <c:extLst>
            <c:ext xmlns:c16="http://schemas.microsoft.com/office/drawing/2014/chart" uri="{C3380CC4-5D6E-409C-BE32-E72D297353CC}">
              <c16:uniqueId val="{00000002-BE2E-4FB4-B31B-71DA72A04557}"/>
            </c:ext>
          </c:extLst>
        </c:ser>
        <c:dLbls>
          <c:showLegendKey val="0"/>
          <c:showVal val="0"/>
          <c:showCatName val="0"/>
          <c:showSerName val="0"/>
          <c:showPercent val="0"/>
          <c:showBubbleSize val="0"/>
        </c:dLbls>
        <c:gapWidth val="150"/>
        <c:overlap val="100"/>
        <c:axId val="1016103535"/>
        <c:axId val="1016104495"/>
      </c:barChart>
      <c:catAx>
        <c:axId val="10161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104495"/>
        <c:crosses val="autoZero"/>
        <c:auto val="1"/>
        <c:lblAlgn val="ctr"/>
        <c:lblOffset val="100"/>
        <c:noMultiLvlLbl val="0"/>
      </c:catAx>
      <c:valAx>
        <c:axId val="1016104495"/>
        <c:scaling>
          <c:orientation val="minMax"/>
        </c:scaling>
        <c:delete val="1"/>
        <c:axPos val="l"/>
        <c:numFmt formatCode="General" sourceLinked="1"/>
        <c:majorTickMark val="none"/>
        <c:minorTickMark val="none"/>
        <c:tickLblPos val="nextTo"/>
        <c:crossAx val="101610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dinamicas!PivotTable4</c:name>
    <c:fmtId val="1"/>
  </c:pivotSource>
  <c:chart>
    <c:title>
      <c:layout>
        <c:manualLayout>
          <c:xMode val="edge"/>
          <c:yMode val="edge"/>
          <c:x val="0.24332155477031803"/>
          <c:y val="4.3788167376833505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s>
    <c:plotArea>
      <c:layout/>
      <c:pieChart>
        <c:varyColors val="1"/>
        <c:ser>
          <c:idx val="0"/>
          <c:order val="0"/>
          <c:tx>
            <c:strRef>
              <c:f>'Tablas dinamicas'!$B$47:$B$48</c:f>
              <c:strCache>
                <c:ptCount val="1"/>
                <c:pt idx="0">
                  <c:v>electricity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700-4F01-B400-81536BD12D2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700-4F01-B400-81536BD12D23}"/>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700-4F01-B400-81536BD12D23}"/>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700-4F01-B400-81536BD12D23}"/>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2700-4F01-B400-81536BD12D23}"/>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2700-4F01-B400-81536BD12D23}"/>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2700-4F01-B400-81536BD12D23}"/>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2700-4F01-B400-81536BD12D23}"/>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2700-4F01-B400-81536BD12D2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dinamicas'!$A$49:$A$58</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dinamicas'!$B$49:$B$58</c:f>
              <c:numCache>
                <c:formatCode>General</c:formatCode>
                <c:ptCount val="9"/>
                <c:pt idx="0">
                  <c:v>3322.4833875830623</c:v>
                </c:pt>
                <c:pt idx="2">
                  <c:v>17306.313468432658</c:v>
                </c:pt>
                <c:pt idx="3">
                  <c:v>2974.7056264718681</c:v>
                </c:pt>
                <c:pt idx="4">
                  <c:v>22781.556092219544</c:v>
                </c:pt>
                <c:pt idx="5">
                  <c:v>208833.23233383839</c:v>
                </c:pt>
                <c:pt idx="6">
                  <c:v>5214.5739271303646</c:v>
                </c:pt>
                <c:pt idx="7">
                  <c:v>36169.629651851741</c:v>
                </c:pt>
                <c:pt idx="8">
                  <c:v>3746.5582672086639</c:v>
                </c:pt>
              </c:numCache>
            </c:numRef>
          </c:val>
          <c:extLst>
            <c:ext xmlns:c16="http://schemas.microsoft.com/office/drawing/2014/chart" uri="{C3380CC4-5D6E-409C-BE32-E72D297353CC}">
              <c16:uniqueId val="{00000000-F268-4F60-BCF5-D0B20614E5E4}"/>
            </c:ext>
          </c:extLst>
        </c:ser>
        <c:ser>
          <c:idx val="1"/>
          <c:order val="1"/>
          <c:tx>
            <c:strRef>
              <c:f>'Tablas dinamicas'!$C$47:$C$48</c:f>
              <c:strCache>
                <c:ptCount val="1"/>
                <c:pt idx="0">
                  <c:v>heat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3ABE-4ED9-831B-1665B80DEFD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3ABE-4ED9-831B-1665B80DEFD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3ABE-4ED9-831B-1665B80DEFD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3ABE-4ED9-831B-1665B80DEFD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3ABE-4ED9-831B-1665B80DEFD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3ABE-4ED9-831B-1665B80DEFD6}"/>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3ABE-4ED9-831B-1665B80DEFD6}"/>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3ABE-4ED9-831B-1665B80DEFD6}"/>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3ABE-4ED9-831B-1665B80DEF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dinamicas'!$A$49:$A$58</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dinamicas'!$C$49:$C$58</c:f>
              <c:numCache>
                <c:formatCode>General</c:formatCode>
                <c:ptCount val="9"/>
                <c:pt idx="4">
                  <c:v>8230.2026517425966</c:v>
                </c:pt>
                <c:pt idx="5">
                  <c:v>4142.1517577048271</c:v>
                </c:pt>
                <c:pt idx="6">
                  <c:v>12727.663959819209</c:v>
                </c:pt>
                <c:pt idx="8">
                  <c:v>982.83931357254301</c:v>
                </c:pt>
              </c:numCache>
            </c:numRef>
          </c:val>
          <c:extLst>
            <c:ext xmlns:c16="http://schemas.microsoft.com/office/drawing/2014/chart" uri="{C3380CC4-5D6E-409C-BE32-E72D297353CC}">
              <c16:uniqueId val="{00000061-4DF7-4228-961A-CA33DB60C115}"/>
            </c:ext>
          </c:extLst>
        </c:ser>
        <c:ser>
          <c:idx val="2"/>
          <c:order val="2"/>
          <c:tx>
            <c:strRef>
              <c:f>'Tablas dinamicas'!$D$47:$D$48</c:f>
              <c:strCache>
                <c:ptCount val="1"/>
                <c:pt idx="0">
                  <c:v>waste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3ABE-4ED9-831B-1665B80DEFD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3ABE-4ED9-831B-1665B80DEFD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3ABE-4ED9-831B-1665B80DEFD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3ABE-4ED9-831B-1665B80DEFD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3ABE-4ED9-831B-1665B80DEFD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3ABE-4ED9-831B-1665B80DEFD6}"/>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3ABE-4ED9-831B-1665B80DEFD6}"/>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3ABE-4ED9-831B-1665B80DEFD6}"/>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3ABE-4ED9-831B-1665B80DEF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dinamicas'!$A$49:$A$58</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dinamicas'!$D$49:$D$58</c:f>
              <c:numCache>
                <c:formatCode>General</c:formatCode>
                <c:ptCount val="9"/>
                <c:pt idx="0">
                  <c:v>228.31199999999993</c:v>
                </c:pt>
                <c:pt idx="2">
                  <c:v>1646.04</c:v>
                </c:pt>
                <c:pt idx="4">
                  <c:v>1652.8180000000002</c:v>
                </c:pt>
                <c:pt idx="5">
                  <c:v>4767.3599999999997</c:v>
                </c:pt>
                <c:pt idx="7">
                  <c:v>1378.4399999999998</c:v>
                </c:pt>
              </c:numCache>
            </c:numRef>
          </c:val>
          <c:extLst>
            <c:ext xmlns:c16="http://schemas.microsoft.com/office/drawing/2014/chart" uri="{C3380CC4-5D6E-409C-BE32-E72D297353CC}">
              <c16:uniqueId val="{00000062-4DF7-4228-961A-CA33DB60C115}"/>
            </c:ext>
          </c:extLst>
        </c:ser>
        <c:ser>
          <c:idx val="3"/>
          <c:order val="3"/>
          <c:tx>
            <c:strRef>
              <c:f>'Tablas dinamicas'!$E$47:$E$48</c:f>
              <c:strCache>
                <c:ptCount val="1"/>
                <c:pt idx="0">
                  <c:v>water</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3ABE-4ED9-831B-1665B80DEFD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3ABE-4ED9-831B-1665B80DEFD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3ABE-4ED9-831B-1665B80DEFD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D-3ABE-4ED9-831B-1665B80DEFD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F-3ABE-4ED9-831B-1665B80DEFD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1-3ABE-4ED9-831B-1665B80DEFD6}"/>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3-3ABE-4ED9-831B-1665B80DEFD6}"/>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5-3ABE-4ED9-831B-1665B80DEFD6}"/>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7-3ABE-4ED9-831B-1665B80DEF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dinamicas'!$A$49:$A$58</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dinamicas'!$E$49:$E$58</c:f>
              <c:numCache>
                <c:formatCode>General</c:formatCode>
                <c:ptCount val="9"/>
                <c:pt idx="0">
                  <c:v>66.665968829942983</c:v>
                </c:pt>
                <c:pt idx="1">
                  <c:v>8.7008700870087008</c:v>
                </c:pt>
                <c:pt idx="2">
                  <c:v>95.667566756675669</c:v>
                </c:pt>
                <c:pt idx="4">
                  <c:v>97.809780978097805</c:v>
                </c:pt>
                <c:pt idx="5">
                  <c:v>519.83528352835287</c:v>
                </c:pt>
                <c:pt idx="6">
                  <c:v>54.335433543354334</c:v>
                </c:pt>
                <c:pt idx="7">
                  <c:v>23546.243624362429</c:v>
                </c:pt>
              </c:numCache>
            </c:numRef>
          </c:val>
          <c:extLst>
            <c:ext xmlns:c16="http://schemas.microsoft.com/office/drawing/2014/chart" uri="{C3380CC4-5D6E-409C-BE32-E72D297353CC}">
              <c16:uniqueId val="{00000063-4DF7-4228-961A-CA33DB60C11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3133107036532099"/>
          <c:y val="0.17312663223830185"/>
          <c:w val="0.29860270372621217"/>
          <c:h val="0.783005871148899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Residuos</a:t>
            </a:r>
            <a:r>
              <a:rPr lang="en-GB" baseline="0"/>
              <a:t> por empresa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dinamicas'!$B$64:$B$65</c:f>
              <c:strCache>
                <c:ptCount val="1"/>
                <c:pt idx="0">
                  <c:v>FALSO</c:v>
                </c:pt>
              </c:strCache>
            </c:strRef>
          </c:tx>
          <c:spPr>
            <a:solidFill>
              <a:schemeClr val="accent1"/>
            </a:solidFill>
            <a:ln>
              <a:noFill/>
            </a:ln>
            <a:effectLst/>
          </c:spPr>
          <c:invertIfNegative val="0"/>
          <c:cat>
            <c:strRef>
              <c:f>'Tablas dinamicas'!$A$66:$A$71</c:f>
              <c:strCache>
                <c:ptCount val="5"/>
                <c:pt idx="0">
                  <c:v>Dcycle Andina SAS</c:v>
                </c:pt>
                <c:pt idx="1">
                  <c:v>Dcycle Factory SL</c:v>
                </c:pt>
                <c:pt idx="2">
                  <c:v>Dcycle Ltd</c:v>
                </c:pt>
                <c:pt idx="3">
                  <c:v>DCYCLE SA</c:v>
                </c:pt>
                <c:pt idx="4">
                  <c:v>Dcycle SpA Italy</c:v>
                </c:pt>
              </c:strCache>
            </c:strRef>
          </c:cat>
          <c:val>
            <c:numRef>
              <c:f>'Tablas dinamicas'!$B$66:$B$71</c:f>
              <c:numCache>
                <c:formatCode>General</c:formatCode>
                <c:ptCount val="5"/>
                <c:pt idx="0">
                  <c:v>5677</c:v>
                </c:pt>
                <c:pt idx="1">
                  <c:v>41151</c:v>
                </c:pt>
                <c:pt idx="2">
                  <c:v>40902</c:v>
                </c:pt>
                <c:pt idx="3">
                  <c:v>115905</c:v>
                </c:pt>
                <c:pt idx="4">
                  <c:v>33936</c:v>
                </c:pt>
              </c:numCache>
            </c:numRef>
          </c:val>
          <c:extLst>
            <c:ext xmlns:c16="http://schemas.microsoft.com/office/drawing/2014/chart" uri="{C3380CC4-5D6E-409C-BE32-E72D297353CC}">
              <c16:uniqueId val="{00000000-C4D2-4434-AEB8-245036AE3A90}"/>
            </c:ext>
          </c:extLst>
        </c:ser>
        <c:ser>
          <c:idx val="1"/>
          <c:order val="1"/>
          <c:tx>
            <c:strRef>
              <c:f>'Tablas dinamicas'!$C$64:$C$65</c:f>
              <c:strCache>
                <c:ptCount val="1"/>
                <c:pt idx="0">
                  <c:v>VERDADERO</c:v>
                </c:pt>
              </c:strCache>
            </c:strRef>
          </c:tx>
          <c:spPr>
            <a:solidFill>
              <a:schemeClr val="accent2"/>
            </a:solidFill>
            <a:ln>
              <a:noFill/>
            </a:ln>
            <a:effectLst/>
          </c:spPr>
          <c:invertIfNegative val="0"/>
          <c:cat>
            <c:strRef>
              <c:f>'Tablas dinamicas'!$A$66:$A$71</c:f>
              <c:strCache>
                <c:ptCount val="5"/>
                <c:pt idx="0">
                  <c:v>Dcycle Andina SAS</c:v>
                </c:pt>
                <c:pt idx="1">
                  <c:v>Dcycle Factory SL</c:v>
                </c:pt>
                <c:pt idx="2">
                  <c:v>Dcycle Ltd</c:v>
                </c:pt>
                <c:pt idx="3">
                  <c:v>DCYCLE SA</c:v>
                </c:pt>
                <c:pt idx="4">
                  <c:v>Dcycle SpA Italy</c:v>
                </c:pt>
              </c:strCache>
            </c:strRef>
          </c:cat>
          <c:val>
            <c:numRef>
              <c:f>'Tablas dinamicas'!$C$66:$C$71</c:f>
              <c:numCache>
                <c:formatCode>General</c:formatCode>
                <c:ptCount val="5"/>
                <c:pt idx="0">
                  <c:v>30.8</c:v>
                </c:pt>
                <c:pt idx="2">
                  <c:v>418.45</c:v>
                </c:pt>
                <c:pt idx="3">
                  <c:v>3279</c:v>
                </c:pt>
                <c:pt idx="4">
                  <c:v>525</c:v>
                </c:pt>
              </c:numCache>
            </c:numRef>
          </c:val>
          <c:extLst>
            <c:ext xmlns:c16="http://schemas.microsoft.com/office/drawing/2014/chart" uri="{C3380CC4-5D6E-409C-BE32-E72D297353CC}">
              <c16:uniqueId val="{00000001-C4D2-4434-AEB8-245036AE3A90}"/>
            </c:ext>
          </c:extLst>
        </c:ser>
        <c:dLbls>
          <c:showLegendKey val="0"/>
          <c:showVal val="0"/>
          <c:showCatName val="0"/>
          <c:showSerName val="0"/>
          <c:showPercent val="0"/>
          <c:showBubbleSize val="0"/>
        </c:dLbls>
        <c:gapWidth val="219"/>
        <c:overlap val="-27"/>
        <c:axId val="1111083791"/>
        <c:axId val="1111074191"/>
      </c:barChart>
      <c:catAx>
        <c:axId val="111108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74191"/>
        <c:crosses val="autoZero"/>
        <c:auto val="1"/>
        <c:lblAlgn val="ctr"/>
        <c:lblOffset val="100"/>
        <c:noMultiLvlLbl val="0"/>
      </c:catAx>
      <c:valAx>
        <c:axId val="1111074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Waste (Kg)</a:t>
                </a:r>
              </a:p>
            </c:rich>
          </c:tx>
          <c:layout>
            <c:manualLayout>
              <c:xMode val="edge"/>
              <c:yMode val="edge"/>
              <c:x val="4.4664976579420111E-2"/>
              <c:y val="0.20146131733533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100" b="0" i="0" u="none" strike="noStrike" kern="1200" spc="0" baseline="0">
                <a:solidFill>
                  <a:srgbClr val="000000">
                    <a:lumMod val="65000"/>
                    <a:lumOff val="35000"/>
                  </a:srgbClr>
                </a:solidFill>
              </a:rPr>
              <a:t>CO2 eq(Kg) vs Turnover (€M)</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'Tablas dinamicas'!$F$78</c:f>
              <c:strCache>
                <c:ptCount val="1"/>
                <c:pt idx="0">
                  <c:v>Turnover (M€)</c:v>
                </c:pt>
              </c:strCache>
            </c:strRef>
          </c:tx>
          <c:spPr>
            <a:solidFill>
              <a:schemeClr val="accent2"/>
            </a:solidFill>
            <a:ln>
              <a:noFill/>
            </a:ln>
            <a:effectLst/>
          </c:spPr>
          <c:invertIfNegative val="0"/>
          <c:cat>
            <c:strRef>
              <c:f>'Tablas dinamicas'!$D$79:$D$87</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dinamicas'!$F$79:$F$87</c:f>
              <c:numCache>
                <c:formatCode>General</c:formatCode>
                <c:ptCount val="9"/>
                <c:pt idx="0">
                  <c:v>12.83</c:v>
                </c:pt>
                <c:pt idx="1">
                  <c:v>19.25</c:v>
                </c:pt>
                <c:pt idx="2">
                  <c:v>14.81</c:v>
                </c:pt>
                <c:pt idx="3">
                  <c:v>38.5</c:v>
                </c:pt>
                <c:pt idx="4">
                  <c:v>19.25</c:v>
                </c:pt>
                <c:pt idx="5">
                  <c:v>9.6300000000000008</c:v>
                </c:pt>
                <c:pt idx="6">
                  <c:v>12.83</c:v>
                </c:pt>
                <c:pt idx="7">
                  <c:v>27.5</c:v>
                </c:pt>
                <c:pt idx="8">
                  <c:v>38.5</c:v>
                </c:pt>
              </c:numCache>
            </c:numRef>
          </c:val>
          <c:extLst>
            <c:ext xmlns:c16="http://schemas.microsoft.com/office/drawing/2014/chart" uri="{C3380CC4-5D6E-409C-BE32-E72D297353CC}">
              <c16:uniqueId val="{00000001-B057-4CF3-BF51-F056D8E8B133}"/>
            </c:ext>
          </c:extLst>
        </c:ser>
        <c:dLbls>
          <c:showLegendKey val="0"/>
          <c:showVal val="0"/>
          <c:showCatName val="0"/>
          <c:showSerName val="0"/>
          <c:showPercent val="0"/>
          <c:showBubbleSize val="0"/>
        </c:dLbls>
        <c:gapWidth val="219"/>
        <c:axId val="1111041551"/>
        <c:axId val="1111051151"/>
      </c:barChart>
      <c:lineChart>
        <c:grouping val="standard"/>
        <c:varyColors val="0"/>
        <c:ser>
          <c:idx val="0"/>
          <c:order val="0"/>
          <c:tx>
            <c:strRef>
              <c:f>'Tablas dinamicas'!$E$78</c:f>
              <c:strCache>
                <c:ptCount val="1"/>
                <c:pt idx="0">
                  <c:v>CO2 eq (Kg)</c:v>
                </c:pt>
              </c:strCache>
            </c:strRef>
          </c:tx>
          <c:spPr>
            <a:ln w="28575" cap="rnd">
              <a:solidFill>
                <a:schemeClr val="accent1"/>
              </a:solidFill>
              <a:round/>
            </a:ln>
            <a:effectLst/>
          </c:spPr>
          <c:marker>
            <c:symbol val="none"/>
          </c:marker>
          <c:cat>
            <c:strRef>
              <c:f>'Tablas dinamicas'!$D$79:$D$87</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dinamicas'!$E$79:$E$87</c:f>
              <c:numCache>
                <c:formatCode>0.00</c:formatCode>
                <c:ptCount val="9"/>
                <c:pt idx="0">
                  <c:v>3617.4613564130059</c:v>
                </c:pt>
                <c:pt idx="1">
                  <c:v>8.7008700870087008</c:v>
                </c:pt>
                <c:pt idx="2">
                  <c:v>19048.021035189333</c:v>
                </c:pt>
                <c:pt idx="3">
                  <c:v>2974.7056264718681</c:v>
                </c:pt>
                <c:pt idx="4">
                  <c:v>32762.386524940237</c:v>
                </c:pt>
                <c:pt idx="5">
                  <c:v>218262.57937507163</c:v>
                </c:pt>
                <c:pt idx="6">
                  <c:v>17996.573320492924</c:v>
                </c:pt>
                <c:pt idx="7">
                  <c:v>61094.313276214161</c:v>
                </c:pt>
                <c:pt idx="8">
                  <c:v>4729.3975807812049</c:v>
                </c:pt>
              </c:numCache>
            </c:numRef>
          </c:val>
          <c:smooth val="0"/>
          <c:extLst>
            <c:ext xmlns:c16="http://schemas.microsoft.com/office/drawing/2014/chart" uri="{C3380CC4-5D6E-409C-BE32-E72D297353CC}">
              <c16:uniqueId val="{00000000-B057-4CF3-BF51-F056D8E8B133}"/>
            </c:ext>
          </c:extLst>
        </c:ser>
        <c:dLbls>
          <c:showLegendKey val="0"/>
          <c:showVal val="0"/>
          <c:showCatName val="0"/>
          <c:showSerName val="0"/>
          <c:showPercent val="0"/>
          <c:showBubbleSize val="0"/>
        </c:dLbls>
        <c:marker val="1"/>
        <c:smooth val="0"/>
        <c:axId val="1111067951"/>
        <c:axId val="1111062191"/>
      </c:lineChart>
      <c:catAx>
        <c:axId val="111106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62191"/>
        <c:crosses val="autoZero"/>
        <c:auto val="1"/>
        <c:lblAlgn val="ctr"/>
        <c:lblOffset val="100"/>
        <c:noMultiLvlLbl val="0"/>
      </c:catAx>
      <c:valAx>
        <c:axId val="1111062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CO2 eq (Kg)</a:t>
                </a:r>
              </a:p>
            </c:rich>
          </c:tx>
          <c:layout>
            <c:manualLayout>
              <c:xMode val="edge"/>
              <c:yMode val="edge"/>
              <c:x val="2.5000000000000001E-2"/>
              <c:y val="0.177012248468941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67951"/>
        <c:crosses val="autoZero"/>
        <c:crossBetween val="between"/>
      </c:valAx>
      <c:valAx>
        <c:axId val="111105115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t>
                </a:r>
              </a:p>
            </c:rich>
          </c:tx>
          <c:layout>
            <c:manualLayout>
              <c:xMode val="edge"/>
              <c:yMode val="edge"/>
              <c:x val="0.93194444444444446"/>
              <c:y val="0.2655307669874599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551"/>
        <c:crosses val="max"/>
        <c:crossBetween val="between"/>
      </c:valAx>
      <c:catAx>
        <c:axId val="1111041551"/>
        <c:scaling>
          <c:orientation val="minMax"/>
        </c:scaling>
        <c:delete val="1"/>
        <c:axPos val="b"/>
        <c:numFmt formatCode="General" sourceLinked="1"/>
        <c:majorTickMark val="out"/>
        <c:minorTickMark val="none"/>
        <c:tickLblPos val="nextTo"/>
        <c:crossAx val="11110511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dinamicas!PivotTable7</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dinamicas'!$B$95:$B$96</c:f>
              <c:strCache>
                <c:ptCount val="1"/>
                <c:pt idx="0">
                  <c:v>electricity</c:v>
                </c:pt>
              </c:strCache>
            </c:strRef>
          </c:tx>
          <c:spPr>
            <a:solidFill>
              <a:schemeClr val="accent1"/>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dinamicas'!$B$97:$B$111</c:f>
              <c:numCache>
                <c:formatCode>General</c:formatCode>
                <c:ptCount val="14"/>
                <c:pt idx="0">
                  <c:v>14924.325378373111</c:v>
                </c:pt>
                <c:pt idx="1">
                  <c:v>551.69724151379239</c:v>
                </c:pt>
                <c:pt idx="2">
                  <c:v>2642.8367858160709</c:v>
                </c:pt>
                <c:pt idx="3">
                  <c:v>679.64660176699124</c:v>
                </c:pt>
                <c:pt idx="5">
                  <c:v>17306.313468432658</c:v>
                </c:pt>
                <c:pt idx="6">
                  <c:v>2974.7056264718681</c:v>
                </c:pt>
                <c:pt idx="7">
                  <c:v>22781.556092219544</c:v>
                </c:pt>
                <c:pt idx="8">
                  <c:v>5214.5739271303646</c:v>
                </c:pt>
                <c:pt idx="9">
                  <c:v>35617.932410337955</c:v>
                </c:pt>
                <c:pt idx="10">
                  <c:v>3746.5582672086639</c:v>
                </c:pt>
                <c:pt idx="11">
                  <c:v>118371.7791411043</c:v>
                </c:pt>
                <c:pt idx="12">
                  <c:v>70224.743876280627</c:v>
                </c:pt>
                <c:pt idx="13">
                  <c:v>5312.3839380803111</c:v>
                </c:pt>
              </c:numCache>
            </c:numRef>
          </c:val>
          <c:extLst>
            <c:ext xmlns:c16="http://schemas.microsoft.com/office/drawing/2014/chart" uri="{C3380CC4-5D6E-409C-BE32-E72D297353CC}">
              <c16:uniqueId val="{00000000-4C68-462F-9ECC-31B8E97D2DB8}"/>
            </c:ext>
          </c:extLst>
        </c:ser>
        <c:ser>
          <c:idx val="1"/>
          <c:order val="1"/>
          <c:tx>
            <c:strRef>
              <c:f>'Tablas dinamicas'!$C$95:$C$96</c:f>
              <c:strCache>
                <c:ptCount val="1"/>
                <c:pt idx="0">
                  <c:v>heat</c:v>
                </c:pt>
              </c:strCache>
            </c:strRef>
          </c:tx>
          <c:spPr>
            <a:solidFill>
              <a:schemeClr val="accent2"/>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dinamicas'!$C$97:$C$111</c:f>
              <c:numCache>
                <c:formatCode>General</c:formatCode>
                <c:ptCount val="14"/>
                <c:pt idx="7">
                  <c:v>8230.2026517425966</c:v>
                </c:pt>
                <c:pt idx="8">
                  <c:v>12727.663959819209</c:v>
                </c:pt>
                <c:pt idx="10">
                  <c:v>982.83931357254301</c:v>
                </c:pt>
                <c:pt idx="12">
                  <c:v>4142.1517577048271</c:v>
                </c:pt>
              </c:numCache>
            </c:numRef>
          </c:val>
          <c:extLst>
            <c:ext xmlns:c16="http://schemas.microsoft.com/office/drawing/2014/chart" uri="{C3380CC4-5D6E-409C-BE32-E72D297353CC}">
              <c16:uniqueId val="{0000000E-05F2-4277-89DD-14C066DAA9DF}"/>
            </c:ext>
          </c:extLst>
        </c:ser>
        <c:ser>
          <c:idx val="2"/>
          <c:order val="2"/>
          <c:tx>
            <c:strRef>
              <c:f>'Tablas dinamicas'!$D$95:$D$96</c:f>
              <c:strCache>
                <c:ptCount val="1"/>
                <c:pt idx="0">
                  <c:v>waste</c:v>
                </c:pt>
              </c:strCache>
            </c:strRef>
          </c:tx>
          <c:spPr>
            <a:solidFill>
              <a:schemeClr val="accent3"/>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dinamicas'!$D$97:$D$111</c:f>
              <c:numCache>
                <c:formatCode>General</c:formatCode>
                <c:ptCount val="14"/>
                <c:pt idx="3">
                  <c:v>228.31199999999993</c:v>
                </c:pt>
                <c:pt idx="5">
                  <c:v>1646.04</c:v>
                </c:pt>
                <c:pt idx="7">
                  <c:v>1652.8180000000002</c:v>
                </c:pt>
                <c:pt idx="9">
                  <c:v>1378.4399999999998</c:v>
                </c:pt>
                <c:pt idx="11">
                  <c:v>4767.3599999999997</c:v>
                </c:pt>
              </c:numCache>
            </c:numRef>
          </c:val>
          <c:extLst>
            <c:ext xmlns:c16="http://schemas.microsoft.com/office/drawing/2014/chart" uri="{C3380CC4-5D6E-409C-BE32-E72D297353CC}">
              <c16:uniqueId val="{0000000F-05F2-4277-89DD-14C066DAA9DF}"/>
            </c:ext>
          </c:extLst>
        </c:ser>
        <c:ser>
          <c:idx val="3"/>
          <c:order val="3"/>
          <c:tx>
            <c:strRef>
              <c:f>'Tablas dinamicas'!$E$95:$E$96</c:f>
              <c:strCache>
                <c:ptCount val="1"/>
                <c:pt idx="0">
                  <c:v>water</c:v>
                </c:pt>
              </c:strCache>
            </c:strRef>
          </c:tx>
          <c:spPr>
            <a:solidFill>
              <a:schemeClr val="accent4"/>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dinamicas'!$E$97:$E$111</c:f>
              <c:numCache>
                <c:formatCode>General</c:formatCode>
                <c:ptCount val="14"/>
                <c:pt idx="0">
                  <c:v>43.504350435043499</c:v>
                </c:pt>
                <c:pt idx="1">
                  <c:v>115.70057005700568</c:v>
                </c:pt>
                <c:pt idx="2">
                  <c:v>44.763778610921094</c:v>
                </c:pt>
                <c:pt idx="3">
                  <c:v>21.902190219021904</c:v>
                </c:pt>
                <c:pt idx="4">
                  <c:v>8.7008700870087008</c:v>
                </c:pt>
                <c:pt idx="5">
                  <c:v>95.667566756675669</c:v>
                </c:pt>
                <c:pt idx="7">
                  <c:v>97.809780978097805</c:v>
                </c:pt>
                <c:pt idx="8">
                  <c:v>54.335433543354334</c:v>
                </c:pt>
                <c:pt idx="9">
                  <c:v>23430.543054305428</c:v>
                </c:pt>
                <c:pt idx="11">
                  <c:v>362.44854485448536</c:v>
                </c:pt>
                <c:pt idx="12">
                  <c:v>111.9111911191119</c:v>
                </c:pt>
                <c:pt idx="13">
                  <c:v>1.9711971197119711</c:v>
                </c:pt>
              </c:numCache>
            </c:numRef>
          </c:val>
          <c:extLst>
            <c:ext xmlns:c16="http://schemas.microsoft.com/office/drawing/2014/chart" uri="{C3380CC4-5D6E-409C-BE32-E72D297353CC}">
              <c16:uniqueId val="{00000001-0B6C-436A-B3DC-B16C4863B2DE}"/>
            </c:ext>
          </c:extLst>
        </c:ser>
        <c:dLbls>
          <c:showLegendKey val="0"/>
          <c:showVal val="0"/>
          <c:showCatName val="0"/>
          <c:showSerName val="0"/>
          <c:showPercent val="0"/>
          <c:showBubbleSize val="0"/>
        </c:dLbls>
        <c:gapWidth val="150"/>
        <c:overlap val="100"/>
        <c:axId val="242707583"/>
        <c:axId val="242713823"/>
      </c:barChart>
      <c:catAx>
        <c:axId val="242707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713823"/>
        <c:crosses val="autoZero"/>
        <c:auto val="1"/>
        <c:lblAlgn val="ctr"/>
        <c:lblOffset val="100"/>
        <c:noMultiLvlLbl val="0"/>
      </c:catAx>
      <c:valAx>
        <c:axId val="24271382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24270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dinamicas'!$B$3:$B$4</c:f>
              <c:strCache>
                <c:ptCount val="1"/>
                <c:pt idx="0">
                  <c:v>electricity</c:v>
                </c:pt>
              </c:strCache>
            </c:strRef>
          </c:tx>
          <c:spPr>
            <a:solidFill>
              <a:schemeClr val="accent1"/>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dinamicas'!$B$5:$B$14</c:f>
              <c:numCache>
                <c:formatCode>General</c:formatCode>
                <c:ptCount val="9"/>
                <c:pt idx="0">
                  <c:v>3322.4833875830623</c:v>
                </c:pt>
                <c:pt idx="2">
                  <c:v>17306.313468432658</c:v>
                </c:pt>
                <c:pt idx="3">
                  <c:v>2974.7056264718681</c:v>
                </c:pt>
                <c:pt idx="4">
                  <c:v>22781.556092219544</c:v>
                </c:pt>
                <c:pt idx="5">
                  <c:v>208833.23233383839</c:v>
                </c:pt>
                <c:pt idx="6">
                  <c:v>5214.5739271303646</c:v>
                </c:pt>
                <c:pt idx="7">
                  <c:v>36169.629651851741</c:v>
                </c:pt>
                <c:pt idx="8">
                  <c:v>3746.5582672086639</c:v>
                </c:pt>
              </c:numCache>
            </c:numRef>
          </c:val>
          <c:extLst>
            <c:ext xmlns:c16="http://schemas.microsoft.com/office/drawing/2014/chart" uri="{C3380CC4-5D6E-409C-BE32-E72D297353CC}">
              <c16:uniqueId val="{00000000-6E35-4ABF-B0C9-8F8FCC1D26A4}"/>
            </c:ext>
          </c:extLst>
        </c:ser>
        <c:ser>
          <c:idx val="1"/>
          <c:order val="1"/>
          <c:tx>
            <c:strRef>
              <c:f>'Tablas dinamicas'!$C$3:$C$4</c:f>
              <c:strCache>
                <c:ptCount val="1"/>
                <c:pt idx="0">
                  <c:v>heat</c:v>
                </c:pt>
              </c:strCache>
            </c:strRef>
          </c:tx>
          <c:spPr>
            <a:solidFill>
              <a:schemeClr val="accent2"/>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dinamicas'!$C$5:$C$14</c:f>
              <c:numCache>
                <c:formatCode>General</c:formatCode>
                <c:ptCount val="9"/>
                <c:pt idx="4">
                  <c:v>8230.2026517425966</c:v>
                </c:pt>
                <c:pt idx="5">
                  <c:v>4142.1517577048271</c:v>
                </c:pt>
                <c:pt idx="6">
                  <c:v>12727.663959819209</c:v>
                </c:pt>
                <c:pt idx="8">
                  <c:v>982.83931357254301</c:v>
                </c:pt>
              </c:numCache>
            </c:numRef>
          </c:val>
          <c:extLst>
            <c:ext xmlns:c16="http://schemas.microsoft.com/office/drawing/2014/chart" uri="{C3380CC4-5D6E-409C-BE32-E72D297353CC}">
              <c16:uniqueId val="{0000000E-21F4-4B38-A555-3190B1CD247E}"/>
            </c:ext>
          </c:extLst>
        </c:ser>
        <c:ser>
          <c:idx val="2"/>
          <c:order val="2"/>
          <c:tx>
            <c:strRef>
              <c:f>'Tablas dinamicas'!$D$3:$D$4</c:f>
              <c:strCache>
                <c:ptCount val="1"/>
                <c:pt idx="0">
                  <c:v>waste</c:v>
                </c:pt>
              </c:strCache>
            </c:strRef>
          </c:tx>
          <c:spPr>
            <a:solidFill>
              <a:schemeClr val="accent3"/>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dinamicas'!$D$5:$D$14</c:f>
              <c:numCache>
                <c:formatCode>General</c:formatCode>
                <c:ptCount val="9"/>
                <c:pt idx="0">
                  <c:v>228.31199999999993</c:v>
                </c:pt>
                <c:pt idx="2">
                  <c:v>1646.04</c:v>
                </c:pt>
                <c:pt idx="4">
                  <c:v>1652.8180000000002</c:v>
                </c:pt>
                <c:pt idx="5">
                  <c:v>4767.3599999999997</c:v>
                </c:pt>
                <c:pt idx="7">
                  <c:v>1378.4399999999998</c:v>
                </c:pt>
              </c:numCache>
            </c:numRef>
          </c:val>
          <c:extLst>
            <c:ext xmlns:c16="http://schemas.microsoft.com/office/drawing/2014/chart" uri="{C3380CC4-5D6E-409C-BE32-E72D297353CC}">
              <c16:uniqueId val="{0000000F-21F4-4B38-A555-3190B1CD247E}"/>
            </c:ext>
          </c:extLst>
        </c:ser>
        <c:ser>
          <c:idx val="3"/>
          <c:order val="3"/>
          <c:tx>
            <c:strRef>
              <c:f>'Tablas dinamicas'!$E$3:$E$4</c:f>
              <c:strCache>
                <c:ptCount val="1"/>
                <c:pt idx="0">
                  <c:v>water</c:v>
                </c:pt>
              </c:strCache>
            </c:strRef>
          </c:tx>
          <c:spPr>
            <a:solidFill>
              <a:schemeClr val="accent4"/>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dinamicas'!$E$5:$E$14</c:f>
              <c:numCache>
                <c:formatCode>General</c:formatCode>
                <c:ptCount val="9"/>
                <c:pt idx="0">
                  <c:v>66.665968829942983</c:v>
                </c:pt>
                <c:pt idx="1">
                  <c:v>8.7008700870087008</c:v>
                </c:pt>
                <c:pt idx="2">
                  <c:v>95.667566756675669</c:v>
                </c:pt>
                <c:pt idx="4">
                  <c:v>97.809780978097805</c:v>
                </c:pt>
                <c:pt idx="5">
                  <c:v>519.83528352835287</c:v>
                </c:pt>
                <c:pt idx="6">
                  <c:v>54.335433543354334</c:v>
                </c:pt>
                <c:pt idx="7">
                  <c:v>23546.243624362429</c:v>
                </c:pt>
              </c:numCache>
            </c:numRef>
          </c:val>
          <c:extLst>
            <c:ext xmlns:c16="http://schemas.microsoft.com/office/drawing/2014/chart" uri="{C3380CC4-5D6E-409C-BE32-E72D297353CC}">
              <c16:uniqueId val="{00000002-2E55-43AF-94EC-9BDAC8C30B44}"/>
            </c:ext>
          </c:extLst>
        </c:ser>
        <c:dLbls>
          <c:showLegendKey val="0"/>
          <c:showVal val="0"/>
          <c:showCatName val="0"/>
          <c:showSerName val="0"/>
          <c:showPercent val="0"/>
          <c:showBubbleSize val="0"/>
        </c:dLbls>
        <c:gapWidth val="150"/>
        <c:overlap val="100"/>
        <c:axId val="1880776656"/>
        <c:axId val="1880780016"/>
      </c:barChart>
      <c:catAx>
        <c:axId val="1880776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780016"/>
        <c:crosses val="autoZero"/>
        <c:auto val="1"/>
        <c:lblAlgn val="ctr"/>
        <c:lblOffset val="100"/>
        <c:noMultiLvlLbl val="0"/>
      </c:catAx>
      <c:valAx>
        <c:axId val="1880780016"/>
        <c:scaling>
          <c:orientation val="minMax"/>
          <c:min val="0"/>
        </c:scaling>
        <c:delete val="1"/>
        <c:axPos val="b"/>
        <c:numFmt formatCode="General" sourceLinked="1"/>
        <c:majorTickMark val="none"/>
        <c:minorTickMark val="none"/>
        <c:tickLblPos val="nextTo"/>
        <c:crossAx val="1880776656"/>
        <c:crosses val="autoZero"/>
        <c:crossBetween val="between"/>
      </c:valAx>
      <c:spPr>
        <a:noFill/>
        <a:ln>
          <a:noFill/>
        </a:ln>
        <a:effectLst/>
      </c:spPr>
    </c:plotArea>
    <c:legend>
      <c:legendPos val="b"/>
      <c:layout>
        <c:manualLayout>
          <c:xMode val="edge"/>
          <c:yMode val="edge"/>
          <c:x val="0.54158508311461062"/>
          <c:y val="0.8891225575969669"/>
          <c:w val="0.45571860361299288"/>
          <c:h val="7.38404053659959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dinamicas!PivotTable7</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dinamicas'!$B$95:$B$96</c:f>
              <c:strCache>
                <c:ptCount val="1"/>
                <c:pt idx="0">
                  <c:v>electricity</c:v>
                </c:pt>
              </c:strCache>
            </c:strRef>
          </c:tx>
          <c:spPr>
            <a:solidFill>
              <a:schemeClr val="accent1"/>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dinamicas'!$B$97:$B$111</c:f>
              <c:numCache>
                <c:formatCode>General</c:formatCode>
                <c:ptCount val="14"/>
                <c:pt idx="0">
                  <c:v>14924.325378373111</c:v>
                </c:pt>
                <c:pt idx="1">
                  <c:v>551.69724151379239</c:v>
                </c:pt>
                <c:pt idx="2">
                  <c:v>2642.8367858160709</c:v>
                </c:pt>
                <c:pt idx="3">
                  <c:v>679.64660176699124</c:v>
                </c:pt>
                <c:pt idx="5">
                  <c:v>17306.313468432658</c:v>
                </c:pt>
                <c:pt idx="6">
                  <c:v>2974.7056264718681</c:v>
                </c:pt>
                <c:pt idx="7">
                  <c:v>22781.556092219544</c:v>
                </c:pt>
                <c:pt idx="8">
                  <c:v>5214.5739271303646</c:v>
                </c:pt>
                <c:pt idx="9">
                  <c:v>35617.932410337955</c:v>
                </c:pt>
                <c:pt idx="10">
                  <c:v>3746.5582672086639</c:v>
                </c:pt>
                <c:pt idx="11">
                  <c:v>118371.7791411043</c:v>
                </c:pt>
                <c:pt idx="12">
                  <c:v>70224.743876280627</c:v>
                </c:pt>
                <c:pt idx="13">
                  <c:v>5312.3839380803111</c:v>
                </c:pt>
              </c:numCache>
            </c:numRef>
          </c:val>
          <c:extLst>
            <c:ext xmlns:c16="http://schemas.microsoft.com/office/drawing/2014/chart" uri="{C3380CC4-5D6E-409C-BE32-E72D297353CC}">
              <c16:uniqueId val="{00000000-7AD0-43E8-B5F6-DB86CD22E6D4}"/>
            </c:ext>
          </c:extLst>
        </c:ser>
        <c:ser>
          <c:idx val="1"/>
          <c:order val="1"/>
          <c:tx>
            <c:strRef>
              <c:f>'Tablas dinamicas'!$C$95:$C$96</c:f>
              <c:strCache>
                <c:ptCount val="1"/>
                <c:pt idx="0">
                  <c:v>heat</c:v>
                </c:pt>
              </c:strCache>
            </c:strRef>
          </c:tx>
          <c:spPr>
            <a:solidFill>
              <a:schemeClr val="accent2"/>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dinamicas'!$C$97:$C$111</c:f>
              <c:numCache>
                <c:formatCode>General</c:formatCode>
                <c:ptCount val="14"/>
                <c:pt idx="7">
                  <c:v>8230.2026517425966</c:v>
                </c:pt>
                <c:pt idx="8">
                  <c:v>12727.663959819209</c:v>
                </c:pt>
                <c:pt idx="10">
                  <c:v>982.83931357254301</c:v>
                </c:pt>
                <c:pt idx="12">
                  <c:v>4142.1517577048271</c:v>
                </c:pt>
              </c:numCache>
            </c:numRef>
          </c:val>
          <c:extLst>
            <c:ext xmlns:c16="http://schemas.microsoft.com/office/drawing/2014/chart" uri="{C3380CC4-5D6E-409C-BE32-E72D297353CC}">
              <c16:uniqueId val="{0000000E-267F-4A11-96ED-BCF1D9F9A083}"/>
            </c:ext>
          </c:extLst>
        </c:ser>
        <c:ser>
          <c:idx val="2"/>
          <c:order val="2"/>
          <c:tx>
            <c:strRef>
              <c:f>'Tablas dinamicas'!$D$95:$D$96</c:f>
              <c:strCache>
                <c:ptCount val="1"/>
                <c:pt idx="0">
                  <c:v>waste</c:v>
                </c:pt>
              </c:strCache>
            </c:strRef>
          </c:tx>
          <c:spPr>
            <a:solidFill>
              <a:schemeClr val="accent3"/>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dinamicas'!$D$97:$D$111</c:f>
              <c:numCache>
                <c:formatCode>General</c:formatCode>
                <c:ptCount val="14"/>
                <c:pt idx="3">
                  <c:v>228.31199999999993</c:v>
                </c:pt>
                <c:pt idx="5">
                  <c:v>1646.04</c:v>
                </c:pt>
                <c:pt idx="7">
                  <c:v>1652.8180000000002</c:v>
                </c:pt>
                <c:pt idx="9">
                  <c:v>1378.4399999999998</c:v>
                </c:pt>
                <c:pt idx="11">
                  <c:v>4767.3599999999997</c:v>
                </c:pt>
              </c:numCache>
            </c:numRef>
          </c:val>
          <c:extLst>
            <c:ext xmlns:c16="http://schemas.microsoft.com/office/drawing/2014/chart" uri="{C3380CC4-5D6E-409C-BE32-E72D297353CC}">
              <c16:uniqueId val="{0000000F-267F-4A11-96ED-BCF1D9F9A083}"/>
            </c:ext>
          </c:extLst>
        </c:ser>
        <c:ser>
          <c:idx val="3"/>
          <c:order val="3"/>
          <c:tx>
            <c:strRef>
              <c:f>'Tablas dinamicas'!$E$95:$E$96</c:f>
              <c:strCache>
                <c:ptCount val="1"/>
                <c:pt idx="0">
                  <c:v>water</c:v>
                </c:pt>
              </c:strCache>
            </c:strRef>
          </c:tx>
          <c:spPr>
            <a:solidFill>
              <a:schemeClr val="accent4"/>
            </a:solidFill>
            <a:ln>
              <a:noFill/>
            </a:ln>
            <a:effectLst/>
          </c:spPr>
          <c:invertIfNegative val="0"/>
          <c:cat>
            <c:strRef>
              <c:f>'Tablas dinamicas'!$A$97:$A$111</c:f>
              <c:strCache>
                <c:ptCount val="14"/>
                <c:pt idx="0">
                  <c:v>BCN</c:v>
                </c:pt>
                <c:pt idx="1">
                  <c:v>Coges SpA (Modena)</c:v>
                </c:pt>
                <c:pt idx="2">
                  <c:v>D - Bodega 1</c:v>
                </c:pt>
                <c:pt idx="3">
                  <c:v>D - Bodega 2 (almacén)</c:v>
                </c:pt>
                <c:pt idx="4">
                  <c:v>Dcycle Deutschland GmbH</c:v>
                </c:pt>
                <c:pt idx="5">
                  <c:v>Dcycle Factory SL</c:v>
                </c:pt>
                <c:pt idx="6">
                  <c:v>Dcycle France SARL</c:v>
                </c:pt>
                <c:pt idx="7">
                  <c:v>Dcycle Ltd</c:v>
                </c:pt>
                <c:pt idx="8">
                  <c:v>Dcycle SIA</c:v>
                </c:pt>
                <c:pt idx="9">
                  <c:v>Dcycle SpA Italy</c:v>
                </c:pt>
                <c:pt idx="10">
                  <c:v>Dcycle USA Inc</c:v>
                </c:pt>
                <c:pt idx="11">
                  <c:v>Madrid</c:v>
                </c:pt>
                <c:pt idx="12">
                  <c:v>Madrid (A2)</c:v>
                </c:pt>
                <c:pt idx="13">
                  <c:v>Tajonar</c:v>
                </c:pt>
              </c:strCache>
            </c:strRef>
          </c:cat>
          <c:val>
            <c:numRef>
              <c:f>'Tablas dinamicas'!$E$97:$E$111</c:f>
              <c:numCache>
                <c:formatCode>General</c:formatCode>
                <c:ptCount val="14"/>
                <c:pt idx="0">
                  <c:v>43.504350435043499</c:v>
                </c:pt>
                <c:pt idx="1">
                  <c:v>115.70057005700568</c:v>
                </c:pt>
                <c:pt idx="2">
                  <c:v>44.763778610921094</c:v>
                </c:pt>
                <c:pt idx="3">
                  <c:v>21.902190219021904</c:v>
                </c:pt>
                <c:pt idx="4">
                  <c:v>8.7008700870087008</c:v>
                </c:pt>
                <c:pt idx="5">
                  <c:v>95.667566756675669</c:v>
                </c:pt>
                <c:pt idx="7">
                  <c:v>97.809780978097805</c:v>
                </c:pt>
                <c:pt idx="8">
                  <c:v>54.335433543354334</c:v>
                </c:pt>
                <c:pt idx="9">
                  <c:v>23430.543054305428</c:v>
                </c:pt>
                <c:pt idx="11">
                  <c:v>362.44854485448536</c:v>
                </c:pt>
                <c:pt idx="12">
                  <c:v>111.9111911191119</c:v>
                </c:pt>
                <c:pt idx="13">
                  <c:v>1.9711971197119711</c:v>
                </c:pt>
              </c:numCache>
            </c:numRef>
          </c:val>
          <c:extLst>
            <c:ext xmlns:c16="http://schemas.microsoft.com/office/drawing/2014/chart" uri="{C3380CC4-5D6E-409C-BE32-E72D297353CC}">
              <c16:uniqueId val="{00000002-4185-46B3-BD61-C36AEE4CAEF3}"/>
            </c:ext>
          </c:extLst>
        </c:ser>
        <c:dLbls>
          <c:showLegendKey val="0"/>
          <c:showVal val="0"/>
          <c:showCatName val="0"/>
          <c:showSerName val="0"/>
          <c:showPercent val="0"/>
          <c:showBubbleSize val="0"/>
        </c:dLbls>
        <c:gapWidth val="150"/>
        <c:overlap val="100"/>
        <c:axId val="242707583"/>
        <c:axId val="242713823"/>
      </c:barChart>
      <c:catAx>
        <c:axId val="242707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2713823"/>
        <c:crosses val="autoZero"/>
        <c:auto val="1"/>
        <c:lblAlgn val="ctr"/>
        <c:lblOffset val="100"/>
        <c:noMultiLvlLbl val="0"/>
      </c:catAx>
      <c:valAx>
        <c:axId val="24271382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24270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dinamicas!PivotTable2</c:name>
    <c:fmtId val="5"/>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6"/>
      </c:pivotFmt>
      <c:pivotFmt>
        <c:idx val="47"/>
      </c:pivotFmt>
      <c:pivotFmt>
        <c:idx val="48"/>
      </c:pivotFmt>
      <c:pivotFmt>
        <c:idx val="49"/>
      </c:pivotFmt>
      <c:pivotFmt>
        <c:idx val="5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1"/>
      </c:pivotFmt>
      <c:pivotFmt>
        <c:idx val="52"/>
      </c:pivotFmt>
      <c:pivotFmt>
        <c:idx val="53"/>
      </c:pivotFmt>
      <c:pivotFmt>
        <c:idx val="54"/>
      </c:pivotFmt>
      <c:pivotFmt>
        <c:idx val="5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6"/>
      </c:pivotFmt>
      <c:pivotFmt>
        <c:idx val="57"/>
      </c:pivotFmt>
      <c:pivotFmt>
        <c:idx val="58"/>
      </c:pivotFmt>
      <c:pivotFmt>
        <c:idx val="59"/>
      </c:pivotFmt>
      <c:pivotFmt>
        <c:idx val="6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1"/>
      </c:pivotFmt>
      <c:pivotFmt>
        <c:idx val="62"/>
      </c:pivotFmt>
      <c:pivotFmt>
        <c:idx val="63"/>
      </c:pivotFmt>
      <c:pivotFmt>
        <c:idx val="64"/>
      </c:pivotFmt>
      <c:pivotFmt>
        <c:idx val="6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6"/>
      </c:pivotFmt>
      <c:pivotFmt>
        <c:idx val="67"/>
      </c:pivotFmt>
      <c:pivotFmt>
        <c:idx val="68"/>
      </c:pivotFmt>
      <c:pivotFmt>
        <c:idx val="69"/>
      </c:pivotFmt>
      <c:pivotFmt>
        <c:idx val="7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1"/>
      </c:pivotFmt>
      <c:pivotFmt>
        <c:idx val="72"/>
      </c:pivotFmt>
      <c:pivotFmt>
        <c:idx val="73"/>
      </c:pivotFmt>
      <c:pivotFmt>
        <c:idx val="74"/>
      </c:pivotFmt>
      <c:pivotFmt>
        <c:idx val="7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6"/>
      </c:pivotFmt>
      <c:pivotFmt>
        <c:idx val="77"/>
      </c:pivotFmt>
      <c:pivotFmt>
        <c:idx val="78"/>
      </c:pivotFmt>
      <c:pivotFmt>
        <c:idx val="79"/>
      </c:pivotFmt>
      <c:pivotFmt>
        <c:idx val="8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1"/>
      </c:pivotFmt>
      <c:pivotFmt>
        <c:idx val="82"/>
      </c:pivotFmt>
      <c:pivotFmt>
        <c:idx val="83"/>
      </c:pivotFmt>
      <c:pivotFmt>
        <c:idx val="84"/>
      </c:pivotFmt>
      <c:pivotFmt>
        <c:idx val="8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6"/>
      </c:pivotFmt>
      <c:pivotFmt>
        <c:idx val="87"/>
      </c:pivotFmt>
      <c:pivotFmt>
        <c:idx val="88"/>
      </c:pivotFmt>
      <c:pivotFmt>
        <c:idx val="89"/>
      </c:pivotFmt>
      <c:pivotFmt>
        <c:idx val="9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'Tablas dinamicas'!$B$20:$B$21</c:f>
              <c:strCache>
                <c:ptCount val="1"/>
                <c:pt idx="0">
                  <c:v>Dcycle Andina SAS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527-4937-81E3-A1919F830A9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527-4937-81E3-A1919F830A9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527-4937-81E3-A1919F830A9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527-4937-81E3-A1919F830A9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dinamicas'!$B$22:$B$26</c:f>
              <c:numCache>
                <c:formatCode>General</c:formatCode>
                <c:ptCount val="4"/>
                <c:pt idx="0">
                  <c:v>3322.4833875830623</c:v>
                </c:pt>
                <c:pt idx="2">
                  <c:v>228.31199999999993</c:v>
                </c:pt>
                <c:pt idx="3">
                  <c:v>66.665968829942983</c:v>
                </c:pt>
              </c:numCache>
            </c:numRef>
          </c:val>
          <c:extLst>
            <c:ext xmlns:c16="http://schemas.microsoft.com/office/drawing/2014/chart" uri="{C3380CC4-5D6E-409C-BE32-E72D297353CC}">
              <c16:uniqueId val="{00000008-2527-4937-81E3-A1919F830A94}"/>
            </c:ext>
          </c:extLst>
        </c:ser>
        <c:ser>
          <c:idx val="1"/>
          <c:order val="1"/>
          <c:tx>
            <c:strRef>
              <c:f>'Tablas dinamicas'!$C$20:$C$21</c:f>
              <c:strCache>
                <c:ptCount val="1"/>
                <c:pt idx="0">
                  <c:v>Dcycle Deutschland  GmbH</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dinamicas'!$C$22:$C$26</c:f>
              <c:numCache>
                <c:formatCode>General</c:formatCode>
                <c:ptCount val="4"/>
                <c:pt idx="3">
                  <c:v>8.7008700870087008</c:v>
                </c:pt>
              </c:numCache>
            </c:numRef>
          </c:val>
          <c:extLst>
            <c:ext xmlns:c16="http://schemas.microsoft.com/office/drawing/2014/chart" uri="{C3380CC4-5D6E-409C-BE32-E72D297353CC}">
              <c16:uniqueId val="{00000051-E6EF-4FC1-8939-B55824D2DC28}"/>
            </c:ext>
          </c:extLst>
        </c:ser>
        <c:ser>
          <c:idx val="2"/>
          <c:order val="2"/>
          <c:tx>
            <c:strRef>
              <c:f>'Tablas dinamicas'!$D$20:$D$21</c:f>
              <c:strCache>
                <c:ptCount val="1"/>
                <c:pt idx="0">
                  <c:v>Dcycle Factory SL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dinamicas'!$D$22:$D$26</c:f>
              <c:numCache>
                <c:formatCode>General</c:formatCode>
                <c:ptCount val="4"/>
                <c:pt idx="0">
                  <c:v>17306.313468432658</c:v>
                </c:pt>
                <c:pt idx="2">
                  <c:v>1646.04</c:v>
                </c:pt>
                <c:pt idx="3">
                  <c:v>95.667566756675669</c:v>
                </c:pt>
              </c:numCache>
            </c:numRef>
          </c:val>
          <c:extLst>
            <c:ext xmlns:c16="http://schemas.microsoft.com/office/drawing/2014/chart" uri="{C3380CC4-5D6E-409C-BE32-E72D297353CC}">
              <c16:uniqueId val="{00000052-E6EF-4FC1-8939-B55824D2DC28}"/>
            </c:ext>
          </c:extLst>
        </c:ser>
        <c:ser>
          <c:idx val="3"/>
          <c:order val="3"/>
          <c:tx>
            <c:strRef>
              <c:f>'Tablas dinamicas'!$E$20:$E$21</c:f>
              <c:strCache>
                <c:ptCount val="1"/>
                <c:pt idx="0">
                  <c:v>Dcycle France SARL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dinamicas'!$E$22:$E$26</c:f>
              <c:numCache>
                <c:formatCode>General</c:formatCode>
                <c:ptCount val="4"/>
                <c:pt idx="0">
                  <c:v>2974.7056264718681</c:v>
                </c:pt>
              </c:numCache>
            </c:numRef>
          </c:val>
          <c:extLst>
            <c:ext xmlns:c16="http://schemas.microsoft.com/office/drawing/2014/chart" uri="{C3380CC4-5D6E-409C-BE32-E72D297353CC}">
              <c16:uniqueId val="{00000053-E6EF-4FC1-8939-B55824D2DC28}"/>
            </c:ext>
          </c:extLst>
        </c:ser>
        <c:ser>
          <c:idx val="4"/>
          <c:order val="4"/>
          <c:tx>
            <c:strRef>
              <c:f>'Tablas dinamicas'!$F$20:$F$21</c:f>
              <c:strCache>
                <c:ptCount val="1"/>
                <c:pt idx="0">
                  <c:v>Dcycle Ltd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dinamicas'!$F$22:$F$26</c:f>
              <c:numCache>
                <c:formatCode>General</c:formatCode>
                <c:ptCount val="4"/>
                <c:pt idx="0">
                  <c:v>22781.556092219544</c:v>
                </c:pt>
                <c:pt idx="1">
                  <c:v>8230.2026517425966</c:v>
                </c:pt>
                <c:pt idx="2">
                  <c:v>1652.8180000000002</c:v>
                </c:pt>
                <c:pt idx="3">
                  <c:v>97.809780978097805</c:v>
                </c:pt>
              </c:numCache>
            </c:numRef>
          </c:val>
          <c:extLst>
            <c:ext xmlns:c16="http://schemas.microsoft.com/office/drawing/2014/chart" uri="{C3380CC4-5D6E-409C-BE32-E72D297353CC}">
              <c16:uniqueId val="{00000054-E6EF-4FC1-8939-B55824D2DC28}"/>
            </c:ext>
          </c:extLst>
        </c:ser>
        <c:ser>
          <c:idx val="5"/>
          <c:order val="5"/>
          <c:tx>
            <c:strRef>
              <c:f>'Tablas dinamicas'!$G$20:$G$21</c:f>
              <c:strCache>
                <c:ptCount val="1"/>
                <c:pt idx="0">
                  <c:v>DCYCLE SA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dinamicas'!$G$22:$G$26</c:f>
              <c:numCache>
                <c:formatCode>General</c:formatCode>
                <c:ptCount val="4"/>
                <c:pt idx="0">
                  <c:v>208833.23233383839</c:v>
                </c:pt>
                <c:pt idx="1">
                  <c:v>4142.1517577048271</c:v>
                </c:pt>
                <c:pt idx="2">
                  <c:v>4767.3599999999997</c:v>
                </c:pt>
                <c:pt idx="3">
                  <c:v>519.83528352835287</c:v>
                </c:pt>
              </c:numCache>
            </c:numRef>
          </c:val>
          <c:extLst>
            <c:ext xmlns:c16="http://schemas.microsoft.com/office/drawing/2014/chart" uri="{C3380CC4-5D6E-409C-BE32-E72D297353CC}">
              <c16:uniqueId val="{00000055-E6EF-4FC1-8939-B55824D2DC28}"/>
            </c:ext>
          </c:extLst>
        </c:ser>
        <c:ser>
          <c:idx val="6"/>
          <c:order val="6"/>
          <c:tx>
            <c:strRef>
              <c:f>'Tablas dinamicas'!$H$20:$H$21</c:f>
              <c:strCache>
                <c:ptCount val="1"/>
                <c:pt idx="0">
                  <c:v>Dcycle SIA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dinamicas'!$H$22:$H$26</c:f>
              <c:numCache>
                <c:formatCode>General</c:formatCode>
                <c:ptCount val="4"/>
                <c:pt idx="0">
                  <c:v>5214.5739271303646</c:v>
                </c:pt>
                <c:pt idx="1">
                  <c:v>12727.663959819209</c:v>
                </c:pt>
                <c:pt idx="3">
                  <c:v>54.335433543354334</c:v>
                </c:pt>
              </c:numCache>
            </c:numRef>
          </c:val>
          <c:extLst>
            <c:ext xmlns:c16="http://schemas.microsoft.com/office/drawing/2014/chart" uri="{C3380CC4-5D6E-409C-BE32-E72D297353CC}">
              <c16:uniqueId val="{00000056-E6EF-4FC1-8939-B55824D2DC28}"/>
            </c:ext>
          </c:extLst>
        </c:ser>
        <c:ser>
          <c:idx val="7"/>
          <c:order val="7"/>
          <c:tx>
            <c:strRef>
              <c:f>'Tablas dinamicas'!$I$20:$I$21</c:f>
              <c:strCache>
                <c:ptCount val="1"/>
                <c:pt idx="0">
                  <c:v>Dcycle SpA Italy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dinamicas'!$I$22:$I$26</c:f>
              <c:numCache>
                <c:formatCode>General</c:formatCode>
                <c:ptCount val="4"/>
                <c:pt idx="0">
                  <c:v>36169.629651851741</c:v>
                </c:pt>
                <c:pt idx="2">
                  <c:v>1378.4399999999998</c:v>
                </c:pt>
                <c:pt idx="3">
                  <c:v>23546.243624362429</c:v>
                </c:pt>
              </c:numCache>
            </c:numRef>
          </c:val>
          <c:extLst>
            <c:ext xmlns:c16="http://schemas.microsoft.com/office/drawing/2014/chart" uri="{C3380CC4-5D6E-409C-BE32-E72D297353CC}">
              <c16:uniqueId val="{00000057-E6EF-4FC1-8939-B55824D2DC28}"/>
            </c:ext>
          </c:extLst>
        </c:ser>
        <c:ser>
          <c:idx val="8"/>
          <c:order val="8"/>
          <c:tx>
            <c:strRef>
              <c:f>'Tablas dinamicas'!$J$20:$J$21</c:f>
              <c:strCache>
                <c:ptCount val="1"/>
                <c:pt idx="0">
                  <c:v>Dcycle USA Inc</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'Tablas dinamicas'!$A$22:$A$26</c:f>
              <c:strCache>
                <c:ptCount val="4"/>
                <c:pt idx="0">
                  <c:v>electricity</c:v>
                </c:pt>
                <c:pt idx="1">
                  <c:v>heat</c:v>
                </c:pt>
                <c:pt idx="2">
                  <c:v>waste</c:v>
                </c:pt>
                <c:pt idx="3">
                  <c:v>water</c:v>
                </c:pt>
              </c:strCache>
            </c:strRef>
          </c:cat>
          <c:val>
            <c:numRef>
              <c:f>'Tablas dinamicas'!$J$22:$J$26</c:f>
              <c:numCache>
                <c:formatCode>General</c:formatCode>
                <c:ptCount val="4"/>
                <c:pt idx="0">
                  <c:v>3746.5582672086639</c:v>
                </c:pt>
                <c:pt idx="1">
                  <c:v>982.83931357254301</c:v>
                </c:pt>
              </c:numCache>
            </c:numRef>
          </c:val>
          <c:extLst>
            <c:ext xmlns:c16="http://schemas.microsoft.com/office/drawing/2014/chart" uri="{C3380CC4-5D6E-409C-BE32-E72D297353CC}">
              <c16:uniqueId val="{00000058-E6EF-4FC1-8939-B55824D2DC2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dinamicas!PivotTable3</c:name>
    <c:fmtId val="7"/>
  </c:pivotSource>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GB" sz="1800">
                <a:solidFill>
                  <a:schemeClr val="accent6"/>
                </a:solidFill>
              </a:rPr>
              <a:t>Emisiones</a:t>
            </a:r>
            <a:r>
              <a:rPr lang="en-GB" sz="1800" baseline="0">
                <a:solidFill>
                  <a:schemeClr val="accent6"/>
                </a:solidFill>
              </a:rPr>
              <a:t> CO2 eq por trimestre</a:t>
            </a:r>
            <a:endParaRPr lang="en-GB" sz="1800">
              <a:solidFill>
                <a:schemeClr val="accent6"/>
              </a:solidFill>
            </a:endParaRPr>
          </a:p>
        </c:rich>
      </c:tx>
      <c:layout>
        <c:manualLayout>
          <c:xMode val="edge"/>
          <c:yMode val="edge"/>
          <c:x val="0.21918873018389529"/>
          <c:y val="3.07780151501681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 dinamicas'!$B$34:$B$35</c:f>
              <c:strCache>
                <c:ptCount val="1"/>
                <c:pt idx="0">
                  <c:v>electricity</c:v>
                </c:pt>
              </c:strCache>
            </c:strRef>
          </c:tx>
          <c:spPr>
            <a:solidFill>
              <a:schemeClr val="accent1"/>
            </a:solidFill>
            <a:ln>
              <a:noFill/>
            </a:ln>
            <a:effectLst/>
          </c:spPr>
          <c:invertIfNegative val="0"/>
          <c:cat>
            <c:strRef>
              <c:f>'Tablas dinamicas'!$A$36:$A$40</c:f>
              <c:strCache>
                <c:ptCount val="4"/>
                <c:pt idx="0">
                  <c:v>Qtr1</c:v>
                </c:pt>
                <c:pt idx="1">
                  <c:v>Qtr2</c:v>
                </c:pt>
                <c:pt idx="2">
                  <c:v>Qtr3</c:v>
                </c:pt>
                <c:pt idx="3">
                  <c:v>Qtr4</c:v>
                </c:pt>
              </c:strCache>
            </c:strRef>
          </c:cat>
          <c:val>
            <c:numRef>
              <c:f>'Tablas dinamicas'!$B$36:$B$40</c:f>
              <c:numCache>
                <c:formatCode>General</c:formatCode>
                <c:ptCount val="4"/>
                <c:pt idx="0">
                  <c:v>73574.335128324383</c:v>
                </c:pt>
                <c:pt idx="1">
                  <c:v>75721.619391903063</c:v>
                </c:pt>
                <c:pt idx="2">
                  <c:v>74798.33050834747</c:v>
                </c:pt>
                <c:pt idx="3">
                  <c:v>76254.767726161357</c:v>
                </c:pt>
              </c:numCache>
            </c:numRef>
          </c:val>
          <c:extLst>
            <c:ext xmlns:c16="http://schemas.microsoft.com/office/drawing/2014/chart" uri="{C3380CC4-5D6E-409C-BE32-E72D297353CC}">
              <c16:uniqueId val="{00000000-59BE-4776-AB10-D3FD5371DCB5}"/>
            </c:ext>
          </c:extLst>
        </c:ser>
        <c:ser>
          <c:idx val="1"/>
          <c:order val="1"/>
          <c:tx>
            <c:strRef>
              <c:f>'Tablas dinamicas'!$C$34:$C$35</c:f>
              <c:strCache>
                <c:ptCount val="1"/>
                <c:pt idx="0">
                  <c:v>heat</c:v>
                </c:pt>
              </c:strCache>
            </c:strRef>
          </c:tx>
          <c:spPr>
            <a:solidFill>
              <a:schemeClr val="accent2"/>
            </a:solidFill>
            <a:ln>
              <a:noFill/>
            </a:ln>
            <a:effectLst/>
          </c:spPr>
          <c:invertIfNegative val="0"/>
          <c:cat>
            <c:strRef>
              <c:f>'Tablas dinamicas'!$A$36:$A$40</c:f>
              <c:strCache>
                <c:ptCount val="4"/>
                <c:pt idx="0">
                  <c:v>Qtr1</c:v>
                </c:pt>
                <c:pt idx="1">
                  <c:v>Qtr2</c:v>
                </c:pt>
                <c:pt idx="2">
                  <c:v>Qtr3</c:v>
                </c:pt>
                <c:pt idx="3">
                  <c:v>Qtr4</c:v>
                </c:pt>
              </c:strCache>
            </c:strRef>
          </c:cat>
          <c:val>
            <c:numRef>
              <c:f>'Tablas dinamicas'!$C$36:$C$40</c:f>
              <c:numCache>
                <c:formatCode>General</c:formatCode>
                <c:ptCount val="4"/>
                <c:pt idx="0">
                  <c:v>14649.449073936288</c:v>
                </c:pt>
                <c:pt idx="1">
                  <c:v>2793.981120594121</c:v>
                </c:pt>
                <c:pt idx="2">
                  <c:v>323.06515227057491</c:v>
                </c:pt>
                <c:pt idx="3">
                  <c:v>8316.3623360381862</c:v>
                </c:pt>
              </c:numCache>
            </c:numRef>
          </c:val>
          <c:extLst>
            <c:ext xmlns:c16="http://schemas.microsoft.com/office/drawing/2014/chart" uri="{C3380CC4-5D6E-409C-BE32-E72D297353CC}">
              <c16:uniqueId val="{0000000E-1C8D-4028-A9AE-8F885E8F81DA}"/>
            </c:ext>
          </c:extLst>
        </c:ser>
        <c:ser>
          <c:idx val="2"/>
          <c:order val="2"/>
          <c:tx>
            <c:strRef>
              <c:f>'Tablas dinamicas'!$D$34:$D$35</c:f>
              <c:strCache>
                <c:ptCount val="1"/>
                <c:pt idx="0">
                  <c:v>waste</c:v>
                </c:pt>
              </c:strCache>
            </c:strRef>
          </c:tx>
          <c:spPr>
            <a:solidFill>
              <a:schemeClr val="accent3"/>
            </a:solidFill>
            <a:ln>
              <a:noFill/>
            </a:ln>
            <a:effectLst/>
          </c:spPr>
          <c:invertIfNegative val="0"/>
          <c:cat>
            <c:strRef>
              <c:f>'Tablas dinamicas'!$A$36:$A$40</c:f>
              <c:strCache>
                <c:ptCount val="4"/>
                <c:pt idx="0">
                  <c:v>Qtr1</c:v>
                </c:pt>
                <c:pt idx="1">
                  <c:v>Qtr2</c:v>
                </c:pt>
                <c:pt idx="2">
                  <c:v>Qtr3</c:v>
                </c:pt>
                <c:pt idx="3">
                  <c:v>Qtr4</c:v>
                </c:pt>
              </c:strCache>
            </c:strRef>
          </c:cat>
          <c:val>
            <c:numRef>
              <c:f>'Tablas dinamicas'!$D$36:$D$40</c:f>
              <c:numCache>
                <c:formatCode>General</c:formatCode>
                <c:ptCount val="4"/>
                <c:pt idx="0">
                  <c:v>1863.2800000000004</c:v>
                </c:pt>
                <c:pt idx="1">
                  <c:v>989.48</c:v>
                </c:pt>
                <c:pt idx="2">
                  <c:v>1550.84</c:v>
                </c:pt>
                <c:pt idx="3">
                  <c:v>5269.3700000000008</c:v>
                </c:pt>
              </c:numCache>
            </c:numRef>
          </c:val>
          <c:extLst>
            <c:ext xmlns:c16="http://schemas.microsoft.com/office/drawing/2014/chart" uri="{C3380CC4-5D6E-409C-BE32-E72D297353CC}">
              <c16:uniqueId val="{0000000F-1C8D-4028-A9AE-8F885E8F81DA}"/>
            </c:ext>
          </c:extLst>
        </c:ser>
        <c:ser>
          <c:idx val="3"/>
          <c:order val="3"/>
          <c:tx>
            <c:strRef>
              <c:f>'Tablas dinamicas'!$E$34:$E$35</c:f>
              <c:strCache>
                <c:ptCount val="1"/>
                <c:pt idx="0">
                  <c:v>water</c:v>
                </c:pt>
              </c:strCache>
            </c:strRef>
          </c:tx>
          <c:spPr>
            <a:solidFill>
              <a:schemeClr val="accent4"/>
            </a:solidFill>
            <a:ln>
              <a:noFill/>
            </a:ln>
            <a:effectLst/>
          </c:spPr>
          <c:invertIfNegative val="0"/>
          <c:cat>
            <c:strRef>
              <c:f>'Tablas dinamicas'!$A$36:$A$40</c:f>
              <c:strCache>
                <c:ptCount val="4"/>
                <c:pt idx="0">
                  <c:v>Qtr1</c:v>
                </c:pt>
                <c:pt idx="1">
                  <c:v>Qtr2</c:v>
                </c:pt>
                <c:pt idx="2">
                  <c:v>Qtr3</c:v>
                </c:pt>
                <c:pt idx="3">
                  <c:v>Qtr4</c:v>
                </c:pt>
              </c:strCache>
            </c:strRef>
          </c:cat>
          <c:val>
            <c:numRef>
              <c:f>'Tablas dinamicas'!$E$36:$E$40</c:f>
              <c:numCache>
                <c:formatCode>General</c:formatCode>
                <c:ptCount val="4"/>
                <c:pt idx="0">
                  <c:v>14709.239423942394</c:v>
                </c:pt>
                <c:pt idx="1">
                  <c:v>982.25622562256217</c:v>
                </c:pt>
                <c:pt idx="2">
                  <c:v>436.57295952901296</c:v>
                </c:pt>
                <c:pt idx="3">
                  <c:v>8261.1899189918986</c:v>
                </c:pt>
              </c:numCache>
            </c:numRef>
          </c:val>
          <c:extLst>
            <c:ext xmlns:c16="http://schemas.microsoft.com/office/drawing/2014/chart" uri="{C3380CC4-5D6E-409C-BE32-E72D297353CC}">
              <c16:uniqueId val="{00000002-E7E9-4F1C-B234-5A1B55F9E27E}"/>
            </c:ext>
          </c:extLst>
        </c:ser>
        <c:dLbls>
          <c:showLegendKey val="0"/>
          <c:showVal val="0"/>
          <c:showCatName val="0"/>
          <c:showSerName val="0"/>
          <c:showPercent val="0"/>
          <c:showBubbleSize val="0"/>
        </c:dLbls>
        <c:gapWidth val="150"/>
        <c:overlap val="100"/>
        <c:axId val="1016103535"/>
        <c:axId val="1016104495"/>
      </c:barChart>
      <c:catAx>
        <c:axId val="10161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6104495"/>
        <c:crosses val="autoZero"/>
        <c:auto val="1"/>
        <c:lblAlgn val="ctr"/>
        <c:lblOffset val="100"/>
        <c:noMultiLvlLbl val="0"/>
      </c:catAx>
      <c:valAx>
        <c:axId val="1016104495"/>
        <c:scaling>
          <c:orientation val="minMax"/>
        </c:scaling>
        <c:delete val="1"/>
        <c:axPos val="l"/>
        <c:numFmt formatCode="General" sourceLinked="1"/>
        <c:majorTickMark val="none"/>
        <c:minorTickMark val="none"/>
        <c:tickLblPos val="nextTo"/>
        <c:crossAx val="101610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6"/>
                </a:solidFill>
                <a:latin typeface="+mn-lt"/>
                <a:ea typeface="+mn-ea"/>
                <a:cs typeface="+mn-cs"/>
              </a:defRPr>
            </a:pPr>
            <a:r>
              <a:rPr lang="en-GB" sz="1800" b="0" i="0" u="none" strike="noStrike" kern="1200" spc="0" baseline="0">
                <a:solidFill>
                  <a:schemeClr val="accent6"/>
                </a:solidFill>
              </a:rPr>
              <a:t>CO2 eq(Kg) vs Turnover (€M)</a:t>
            </a:r>
            <a:endParaRPr lang="en-GB" sz="1800">
              <a:solidFill>
                <a:schemeClr val="accent6"/>
              </a:solidFill>
            </a:endParaRPr>
          </a:p>
        </c:rich>
      </c:tx>
      <c:layout>
        <c:manualLayout>
          <c:xMode val="edge"/>
          <c:yMode val="edge"/>
          <c:x val="0.33891935633216941"/>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n-lt"/>
              <a:ea typeface="+mn-ea"/>
              <a:cs typeface="+mn-cs"/>
            </a:defRPr>
          </a:pPr>
          <a:endParaRPr lang="en-US"/>
        </a:p>
      </c:txPr>
    </c:title>
    <c:autoTitleDeleted val="0"/>
    <c:plotArea>
      <c:layout/>
      <c:barChart>
        <c:barDir val="col"/>
        <c:grouping val="clustered"/>
        <c:varyColors val="0"/>
        <c:ser>
          <c:idx val="1"/>
          <c:order val="1"/>
          <c:tx>
            <c:strRef>
              <c:f>'Tablas dinamicas'!$F$78</c:f>
              <c:strCache>
                <c:ptCount val="1"/>
                <c:pt idx="0">
                  <c:v>Turnover (M€)</c:v>
                </c:pt>
              </c:strCache>
            </c:strRef>
          </c:tx>
          <c:spPr>
            <a:solidFill>
              <a:srgbClr val="92D050"/>
            </a:solidFill>
            <a:ln>
              <a:noFill/>
            </a:ln>
            <a:effectLst/>
          </c:spPr>
          <c:invertIfNegative val="0"/>
          <c:cat>
            <c:strRef>
              <c:f>'Tablas dinamicas'!$D$79:$D$87</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dinamicas'!$F$79:$F$87</c:f>
              <c:numCache>
                <c:formatCode>General</c:formatCode>
                <c:ptCount val="9"/>
                <c:pt idx="0">
                  <c:v>12.83</c:v>
                </c:pt>
                <c:pt idx="1">
                  <c:v>19.25</c:v>
                </c:pt>
                <c:pt idx="2">
                  <c:v>14.81</c:v>
                </c:pt>
                <c:pt idx="3">
                  <c:v>38.5</c:v>
                </c:pt>
                <c:pt idx="4">
                  <c:v>19.25</c:v>
                </c:pt>
                <c:pt idx="5">
                  <c:v>9.6300000000000008</c:v>
                </c:pt>
                <c:pt idx="6">
                  <c:v>12.83</c:v>
                </c:pt>
                <c:pt idx="7">
                  <c:v>27.5</c:v>
                </c:pt>
                <c:pt idx="8">
                  <c:v>38.5</c:v>
                </c:pt>
              </c:numCache>
            </c:numRef>
          </c:val>
          <c:extLst>
            <c:ext xmlns:c16="http://schemas.microsoft.com/office/drawing/2014/chart" uri="{C3380CC4-5D6E-409C-BE32-E72D297353CC}">
              <c16:uniqueId val="{00000000-CF2B-4CFB-8778-7F68D5D226B3}"/>
            </c:ext>
          </c:extLst>
        </c:ser>
        <c:dLbls>
          <c:showLegendKey val="0"/>
          <c:showVal val="0"/>
          <c:showCatName val="0"/>
          <c:showSerName val="0"/>
          <c:showPercent val="0"/>
          <c:showBubbleSize val="0"/>
        </c:dLbls>
        <c:gapWidth val="219"/>
        <c:axId val="1111041551"/>
        <c:axId val="1111051151"/>
      </c:barChart>
      <c:lineChart>
        <c:grouping val="standard"/>
        <c:varyColors val="0"/>
        <c:ser>
          <c:idx val="0"/>
          <c:order val="0"/>
          <c:tx>
            <c:strRef>
              <c:f>'Tablas dinamicas'!$E$78</c:f>
              <c:strCache>
                <c:ptCount val="1"/>
                <c:pt idx="0">
                  <c:v>CO2 eq (Kg)</c:v>
                </c:pt>
              </c:strCache>
            </c:strRef>
          </c:tx>
          <c:spPr>
            <a:ln w="28575" cap="rnd">
              <a:solidFill>
                <a:schemeClr val="accent1"/>
              </a:solidFill>
              <a:round/>
            </a:ln>
            <a:effectLst/>
          </c:spPr>
          <c:marker>
            <c:symbol val="none"/>
          </c:marker>
          <c:cat>
            <c:strRef>
              <c:f>'Tablas dinamicas'!$D$79:$D$87</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dinamicas'!$E$79:$E$87</c:f>
              <c:numCache>
                <c:formatCode>0.00</c:formatCode>
                <c:ptCount val="9"/>
                <c:pt idx="0">
                  <c:v>3617.4613564130059</c:v>
                </c:pt>
                <c:pt idx="1">
                  <c:v>8.7008700870087008</c:v>
                </c:pt>
                <c:pt idx="2">
                  <c:v>19048.021035189333</c:v>
                </c:pt>
                <c:pt idx="3">
                  <c:v>2974.7056264718681</c:v>
                </c:pt>
                <c:pt idx="4">
                  <c:v>32762.386524940237</c:v>
                </c:pt>
                <c:pt idx="5">
                  <c:v>218262.57937507163</c:v>
                </c:pt>
                <c:pt idx="6">
                  <c:v>17996.573320492924</c:v>
                </c:pt>
                <c:pt idx="7">
                  <c:v>61094.313276214161</c:v>
                </c:pt>
                <c:pt idx="8">
                  <c:v>4729.3975807812049</c:v>
                </c:pt>
              </c:numCache>
            </c:numRef>
          </c:val>
          <c:smooth val="0"/>
          <c:extLst>
            <c:ext xmlns:c16="http://schemas.microsoft.com/office/drawing/2014/chart" uri="{C3380CC4-5D6E-409C-BE32-E72D297353CC}">
              <c16:uniqueId val="{00000001-CF2B-4CFB-8778-7F68D5D226B3}"/>
            </c:ext>
          </c:extLst>
        </c:ser>
        <c:dLbls>
          <c:showLegendKey val="0"/>
          <c:showVal val="0"/>
          <c:showCatName val="0"/>
          <c:showSerName val="0"/>
          <c:showPercent val="0"/>
          <c:showBubbleSize val="0"/>
        </c:dLbls>
        <c:marker val="1"/>
        <c:smooth val="0"/>
        <c:axId val="1111067951"/>
        <c:axId val="1111062191"/>
      </c:lineChart>
      <c:catAx>
        <c:axId val="111106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1062191"/>
        <c:crosses val="autoZero"/>
        <c:auto val="1"/>
        <c:lblAlgn val="ctr"/>
        <c:lblOffset val="100"/>
        <c:noMultiLvlLbl val="0"/>
      </c:catAx>
      <c:valAx>
        <c:axId val="1111062191"/>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r>
                  <a:rPr lang="en-GB" sz="800">
                    <a:solidFill>
                      <a:schemeClr val="bg1"/>
                    </a:solidFill>
                  </a:rPr>
                  <a:t>CO2 eq (Kg)</a:t>
                </a:r>
              </a:p>
            </c:rich>
          </c:tx>
          <c:layout>
            <c:manualLayout>
              <c:xMode val="edge"/>
              <c:yMode val="edge"/>
              <c:x val="4.6496230333324682E-3"/>
              <c:y val="0.33316181435561926"/>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1067951"/>
        <c:crosses val="autoZero"/>
        <c:crossBetween val="between"/>
      </c:valAx>
      <c:valAx>
        <c:axId val="1111051151"/>
        <c:scaling>
          <c:orientation val="minMax"/>
        </c:scaling>
        <c:delete val="0"/>
        <c:axPos val="r"/>
        <c:title>
          <c:tx>
            <c:rich>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r>
                  <a:rPr lang="en-GB" sz="800">
                    <a:solidFill>
                      <a:schemeClr val="bg1"/>
                    </a:solidFill>
                  </a:rPr>
                  <a:t>M€</a:t>
                </a:r>
              </a:p>
            </c:rich>
          </c:tx>
          <c:layout>
            <c:manualLayout>
              <c:xMode val="edge"/>
              <c:yMode val="edge"/>
              <c:x val="0.97909945384202135"/>
              <c:y val="0.40087865446777787"/>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1041551"/>
        <c:crosses val="max"/>
        <c:crossBetween val="between"/>
      </c:valAx>
      <c:catAx>
        <c:axId val="1111041551"/>
        <c:scaling>
          <c:orientation val="minMax"/>
        </c:scaling>
        <c:delete val="1"/>
        <c:axPos val="b"/>
        <c:numFmt formatCode="General" sourceLinked="1"/>
        <c:majorTickMark val="out"/>
        <c:minorTickMark val="none"/>
        <c:tickLblPos val="nextTo"/>
        <c:crossAx val="11110511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dinamicas!PivotTable5</c:name>
    <c:fmtId val="5"/>
  </c:pivotSource>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GB" sz="1800">
                <a:solidFill>
                  <a:schemeClr val="accent6"/>
                </a:solidFill>
              </a:rPr>
              <a:t>Residuos</a:t>
            </a:r>
            <a:r>
              <a:rPr lang="en-GB" sz="1800" baseline="0">
                <a:solidFill>
                  <a:schemeClr val="accent6"/>
                </a:solidFill>
              </a:rPr>
              <a:t> por empresa (Kg)</a:t>
            </a:r>
            <a:endParaRPr lang="en-GB" sz="1800">
              <a:solidFill>
                <a:schemeClr val="accent6"/>
              </a:solidFill>
            </a:endParaRPr>
          </a:p>
        </c:rich>
      </c:tx>
      <c:layout>
        <c:manualLayout>
          <c:xMode val="edge"/>
          <c:yMode val="edge"/>
          <c:x val="0.2830493556843676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516306810796703E-2"/>
          <c:y val="3.8089571075440088E-4"/>
          <c:w val="0.75492671683474422"/>
          <c:h val="0.73937166003948118"/>
        </c:manualLayout>
      </c:layout>
      <c:barChart>
        <c:barDir val="col"/>
        <c:grouping val="clustered"/>
        <c:varyColors val="0"/>
        <c:ser>
          <c:idx val="0"/>
          <c:order val="0"/>
          <c:tx>
            <c:strRef>
              <c:f>'Tablas dinamicas'!$B$64:$B$65</c:f>
              <c:strCache>
                <c:ptCount val="1"/>
                <c:pt idx="0">
                  <c:v>FALSO</c:v>
                </c:pt>
              </c:strCache>
            </c:strRef>
          </c:tx>
          <c:spPr>
            <a:solidFill>
              <a:schemeClr val="accent4">
                <a:lumMod val="75000"/>
              </a:schemeClr>
            </a:solidFill>
            <a:ln>
              <a:noFill/>
            </a:ln>
            <a:effectLst/>
          </c:spPr>
          <c:invertIfNegative val="0"/>
          <c:cat>
            <c:strRef>
              <c:f>'Tablas dinamicas'!$A$66:$A$71</c:f>
              <c:strCache>
                <c:ptCount val="5"/>
                <c:pt idx="0">
                  <c:v>Dcycle Andina SAS</c:v>
                </c:pt>
                <c:pt idx="1">
                  <c:v>Dcycle Factory SL</c:v>
                </c:pt>
                <c:pt idx="2">
                  <c:v>Dcycle Ltd</c:v>
                </c:pt>
                <c:pt idx="3">
                  <c:v>DCYCLE SA</c:v>
                </c:pt>
                <c:pt idx="4">
                  <c:v>Dcycle SpA Italy</c:v>
                </c:pt>
              </c:strCache>
            </c:strRef>
          </c:cat>
          <c:val>
            <c:numRef>
              <c:f>'Tablas dinamicas'!$B$66:$B$71</c:f>
              <c:numCache>
                <c:formatCode>General</c:formatCode>
                <c:ptCount val="5"/>
                <c:pt idx="0">
                  <c:v>5677</c:v>
                </c:pt>
                <c:pt idx="1">
                  <c:v>41151</c:v>
                </c:pt>
                <c:pt idx="2">
                  <c:v>40902</c:v>
                </c:pt>
                <c:pt idx="3">
                  <c:v>115905</c:v>
                </c:pt>
                <c:pt idx="4">
                  <c:v>33936</c:v>
                </c:pt>
              </c:numCache>
            </c:numRef>
          </c:val>
          <c:extLst>
            <c:ext xmlns:c16="http://schemas.microsoft.com/office/drawing/2014/chart" uri="{C3380CC4-5D6E-409C-BE32-E72D297353CC}">
              <c16:uniqueId val="{00000000-6239-4D02-9975-9F84C4D86C9F}"/>
            </c:ext>
          </c:extLst>
        </c:ser>
        <c:ser>
          <c:idx val="1"/>
          <c:order val="1"/>
          <c:tx>
            <c:strRef>
              <c:f>'Tablas dinamicas'!$C$64:$C$65</c:f>
              <c:strCache>
                <c:ptCount val="1"/>
                <c:pt idx="0">
                  <c:v>VERDADERO</c:v>
                </c:pt>
              </c:strCache>
            </c:strRef>
          </c:tx>
          <c:spPr>
            <a:solidFill>
              <a:schemeClr val="accent2"/>
            </a:solidFill>
            <a:ln>
              <a:noFill/>
            </a:ln>
            <a:effectLst/>
          </c:spPr>
          <c:invertIfNegative val="0"/>
          <c:cat>
            <c:strRef>
              <c:f>'Tablas dinamicas'!$A$66:$A$71</c:f>
              <c:strCache>
                <c:ptCount val="5"/>
                <c:pt idx="0">
                  <c:v>Dcycle Andina SAS</c:v>
                </c:pt>
                <c:pt idx="1">
                  <c:v>Dcycle Factory SL</c:v>
                </c:pt>
                <c:pt idx="2">
                  <c:v>Dcycle Ltd</c:v>
                </c:pt>
                <c:pt idx="3">
                  <c:v>DCYCLE SA</c:v>
                </c:pt>
                <c:pt idx="4">
                  <c:v>Dcycle SpA Italy</c:v>
                </c:pt>
              </c:strCache>
            </c:strRef>
          </c:cat>
          <c:val>
            <c:numRef>
              <c:f>'Tablas dinamicas'!$C$66:$C$71</c:f>
              <c:numCache>
                <c:formatCode>General</c:formatCode>
                <c:ptCount val="5"/>
                <c:pt idx="0">
                  <c:v>30.8</c:v>
                </c:pt>
                <c:pt idx="2">
                  <c:v>418.45</c:v>
                </c:pt>
                <c:pt idx="3">
                  <c:v>3279</c:v>
                </c:pt>
                <c:pt idx="4">
                  <c:v>525</c:v>
                </c:pt>
              </c:numCache>
            </c:numRef>
          </c:val>
          <c:extLst>
            <c:ext xmlns:c16="http://schemas.microsoft.com/office/drawing/2014/chart" uri="{C3380CC4-5D6E-409C-BE32-E72D297353CC}">
              <c16:uniqueId val="{00000001-6239-4D02-9975-9F84C4D86C9F}"/>
            </c:ext>
          </c:extLst>
        </c:ser>
        <c:dLbls>
          <c:showLegendKey val="0"/>
          <c:showVal val="0"/>
          <c:showCatName val="0"/>
          <c:showSerName val="0"/>
          <c:showPercent val="0"/>
          <c:showBubbleSize val="0"/>
        </c:dLbls>
        <c:gapWidth val="219"/>
        <c:overlap val="-27"/>
        <c:axId val="1111083791"/>
        <c:axId val="1111074191"/>
      </c:barChart>
      <c:catAx>
        <c:axId val="111108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1074191"/>
        <c:crosses val="autoZero"/>
        <c:auto val="1"/>
        <c:lblAlgn val="ctr"/>
        <c:lblOffset val="100"/>
        <c:noMultiLvlLbl val="0"/>
      </c:catAx>
      <c:valAx>
        <c:axId val="1111074191"/>
        <c:scaling>
          <c:orientation val="minMax"/>
        </c:scaling>
        <c:delete val="1"/>
        <c:axPos val="l"/>
        <c:numFmt formatCode="General" sourceLinked="1"/>
        <c:majorTickMark val="none"/>
        <c:minorTickMark val="none"/>
        <c:tickLblPos val="nextTo"/>
        <c:crossAx val="1111083791"/>
        <c:crosses val="autoZero"/>
        <c:crossBetween val="between"/>
      </c:valAx>
      <c:spPr>
        <a:noFill/>
        <a:ln>
          <a:noFill/>
        </a:ln>
        <a:effectLst/>
      </c:spPr>
    </c:plotArea>
    <c:legend>
      <c:legendPos val="r"/>
      <c:layout>
        <c:manualLayout>
          <c:xMode val="edge"/>
          <c:yMode val="edge"/>
          <c:x val="0.26509950242040209"/>
          <c:y val="0.87556497031112879"/>
          <c:w val="0.42630935249856233"/>
          <c:h val="0.121502132716062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
          <c:y val="0"/>
          <c:w val="0.93845528944186618"/>
          <c:h val="0.89658696262880822"/>
        </c:manualLayout>
      </c:layout>
      <c:scatterChart>
        <c:scatterStyle val="smoothMarker"/>
        <c:varyColors val="0"/>
        <c:ser>
          <c:idx val="0"/>
          <c:order val="0"/>
          <c:tx>
            <c:strRef>
              <c:f>data_waste!$O$1</c:f>
              <c:strCache>
                <c:ptCount val="1"/>
                <c:pt idx="0">
                  <c:v>kg Co2eq</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data_waste!$L$2:$L$123</c:f>
              <c:numCache>
                <c:formatCode>General</c:formatCode>
                <c:ptCount val="122"/>
                <c:pt idx="0">
                  <c:v>20517</c:v>
                </c:pt>
                <c:pt idx="1">
                  <c:v>20634</c:v>
                </c:pt>
                <c:pt idx="2">
                  <c:v>1</c:v>
                </c:pt>
                <c:pt idx="3">
                  <c:v>3.5</c:v>
                </c:pt>
                <c:pt idx="4">
                  <c:v>5.3</c:v>
                </c:pt>
                <c:pt idx="5">
                  <c:v>8</c:v>
                </c:pt>
                <c:pt idx="6">
                  <c:v>11</c:v>
                </c:pt>
                <c:pt idx="7">
                  <c:v>14</c:v>
                </c:pt>
                <c:pt idx="8">
                  <c:v>15</c:v>
                </c:pt>
                <c:pt idx="9">
                  <c:v>40</c:v>
                </c:pt>
                <c:pt idx="10">
                  <c:v>42</c:v>
                </c:pt>
                <c:pt idx="11">
                  <c:v>42</c:v>
                </c:pt>
                <c:pt idx="12">
                  <c:v>44</c:v>
                </c:pt>
                <c:pt idx="13">
                  <c:v>47</c:v>
                </c:pt>
                <c:pt idx="14">
                  <c:v>48</c:v>
                </c:pt>
                <c:pt idx="15">
                  <c:v>60</c:v>
                </c:pt>
                <c:pt idx="16">
                  <c:v>63</c:v>
                </c:pt>
                <c:pt idx="17">
                  <c:v>77</c:v>
                </c:pt>
                <c:pt idx="18">
                  <c:v>108</c:v>
                </c:pt>
                <c:pt idx="19">
                  <c:v>170</c:v>
                </c:pt>
                <c:pt idx="20">
                  <c:v>182</c:v>
                </c:pt>
                <c:pt idx="21">
                  <c:v>207</c:v>
                </c:pt>
                <c:pt idx="22">
                  <c:v>208</c:v>
                </c:pt>
                <c:pt idx="23">
                  <c:v>277</c:v>
                </c:pt>
                <c:pt idx="24">
                  <c:v>280</c:v>
                </c:pt>
                <c:pt idx="25">
                  <c:v>334</c:v>
                </c:pt>
                <c:pt idx="26">
                  <c:v>335</c:v>
                </c:pt>
                <c:pt idx="27">
                  <c:v>352</c:v>
                </c:pt>
                <c:pt idx="28">
                  <c:v>365</c:v>
                </c:pt>
                <c:pt idx="29">
                  <c:v>398</c:v>
                </c:pt>
                <c:pt idx="30">
                  <c:v>515</c:v>
                </c:pt>
                <c:pt idx="31">
                  <c:v>645</c:v>
                </c:pt>
                <c:pt idx="32">
                  <c:v>812</c:v>
                </c:pt>
                <c:pt idx="33">
                  <c:v>1496</c:v>
                </c:pt>
                <c:pt idx="34">
                  <c:v>3633</c:v>
                </c:pt>
                <c:pt idx="35">
                  <c:v>17600</c:v>
                </c:pt>
                <c:pt idx="36">
                  <c:v>19</c:v>
                </c:pt>
                <c:pt idx="37">
                  <c:v>35</c:v>
                </c:pt>
                <c:pt idx="38">
                  <c:v>45</c:v>
                </c:pt>
                <c:pt idx="39">
                  <c:v>65</c:v>
                </c:pt>
                <c:pt idx="40">
                  <c:v>75</c:v>
                </c:pt>
                <c:pt idx="41">
                  <c:v>140</c:v>
                </c:pt>
                <c:pt idx="42">
                  <c:v>140</c:v>
                </c:pt>
                <c:pt idx="43">
                  <c:v>150</c:v>
                </c:pt>
                <c:pt idx="44">
                  <c:v>150</c:v>
                </c:pt>
                <c:pt idx="45">
                  <c:v>165</c:v>
                </c:pt>
                <c:pt idx="46">
                  <c:v>195</c:v>
                </c:pt>
                <c:pt idx="47">
                  <c:v>200</c:v>
                </c:pt>
                <c:pt idx="48">
                  <c:v>200</c:v>
                </c:pt>
                <c:pt idx="49">
                  <c:v>560</c:v>
                </c:pt>
                <c:pt idx="50">
                  <c:v>820</c:v>
                </c:pt>
                <c:pt idx="51">
                  <c:v>830</c:v>
                </c:pt>
                <c:pt idx="52">
                  <c:v>970</c:v>
                </c:pt>
                <c:pt idx="53">
                  <c:v>1220</c:v>
                </c:pt>
                <c:pt idx="54">
                  <c:v>1360</c:v>
                </c:pt>
                <c:pt idx="55">
                  <c:v>1840</c:v>
                </c:pt>
                <c:pt idx="56">
                  <c:v>1840</c:v>
                </c:pt>
                <c:pt idx="57">
                  <c:v>1940</c:v>
                </c:pt>
                <c:pt idx="58">
                  <c:v>1950</c:v>
                </c:pt>
                <c:pt idx="59">
                  <c:v>1960</c:v>
                </c:pt>
                <c:pt idx="60">
                  <c:v>2000</c:v>
                </c:pt>
                <c:pt idx="61">
                  <c:v>2000</c:v>
                </c:pt>
                <c:pt idx="62">
                  <c:v>2080</c:v>
                </c:pt>
                <c:pt idx="63">
                  <c:v>2100</c:v>
                </c:pt>
                <c:pt idx="64">
                  <c:v>2100</c:v>
                </c:pt>
                <c:pt idx="65">
                  <c:v>2150</c:v>
                </c:pt>
                <c:pt idx="66">
                  <c:v>2200</c:v>
                </c:pt>
                <c:pt idx="67">
                  <c:v>2220</c:v>
                </c:pt>
                <c:pt idx="68">
                  <c:v>2360</c:v>
                </c:pt>
                <c:pt idx="69">
                  <c:v>2400</c:v>
                </c:pt>
                <c:pt idx="70">
                  <c:v>2440</c:v>
                </c:pt>
                <c:pt idx="71">
                  <c:v>2860</c:v>
                </c:pt>
                <c:pt idx="72">
                  <c:v>2940</c:v>
                </c:pt>
                <c:pt idx="73">
                  <c:v>3020</c:v>
                </c:pt>
                <c:pt idx="74">
                  <c:v>3080</c:v>
                </c:pt>
                <c:pt idx="75">
                  <c:v>3100</c:v>
                </c:pt>
                <c:pt idx="76">
                  <c:v>3200</c:v>
                </c:pt>
                <c:pt idx="77">
                  <c:v>3440</c:v>
                </c:pt>
                <c:pt idx="78">
                  <c:v>3860</c:v>
                </c:pt>
                <c:pt idx="79">
                  <c:v>4480</c:v>
                </c:pt>
                <c:pt idx="80">
                  <c:v>4720</c:v>
                </c:pt>
                <c:pt idx="81">
                  <c:v>5180</c:v>
                </c:pt>
                <c:pt idx="82">
                  <c:v>5340</c:v>
                </c:pt>
                <c:pt idx="83">
                  <c:v>6140</c:v>
                </c:pt>
                <c:pt idx="84">
                  <c:v>6300</c:v>
                </c:pt>
                <c:pt idx="85">
                  <c:v>6320</c:v>
                </c:pt>
                <c:pt idx="86">
                  <c:v>6400</c:v>
                </c:pt>
                <c:pt idx="87">
                  <c:v>7920</c:v>
                </c:pt>
                <c:pt idx="88">
                  <c:v>103</c:v>
                </c:pt>
                <c:pt idx="89">
                  <c:v>138.44999999999999</c:v>
                </c:pt>
                <c:pt idx="90">
                  <c:v>268.60000000000002</c:v>
                </c:pt>
                <c:pt idx="91">
                  <c:v>280</c:v>
                </c:pt>
                <c:pt idx="92">
                  <c:v>3280</c:v>
                </c:pt>
                <c:pt idx="93">
                  <c:v>4160</c:v>
                </c:pt>
                <c:pt idx="94">
                  <c:v>13640</c:v>
                </c:pt>
                <c:pt idx="95">
                  <c:v>14322</c:v>
                </c:pt>
                <c:pt idx="96">
                  <c:v>21000</c:v>
                </c:pt>
                <c:pt idx="97">
                  <c:v>23300</c:v>
                </c:pt>
                <c:pt idx="98">
                  <c:v>25</c:v>
                </c:pt>
                <c:pt idx="99">
                  <c:v>25</c:v>
                </c:pt>
                <c:pt idx="100">
                  <c:v>50</c:v>
                </c:pt>
                <c:pt idx="101">
                  <c:v>56</c:v>
                </c:pt>
                <c:pt idx="102">
                  <c:v>60</c:v>
                </c:pt>
                <c:pt idx="103">
                  <c:v>120</c:v>
                </c:pt>
                <c:pt idx="104">
                  <c:v>340</c:v>
                </c:pt>
                <c:pt idx="105">
                  <c:v>350</c:v>
                </c:pt>
                <c:pt idx="106">
                  <c:v>355</c:v>
                </c:pt>
                <c:pt idx="107">
                  <c:v>380</c:v>
                </c:pt>
                <c:pt idx="108">
                  <c:v>400</c:v>
                </c:pt>
                <c:pt idx="109">
                  <c:v>425</c:v>
                </c:pt>
                <c:pt idx="110">
                  <c:v>440</c:v>
                </c:pt>
                <c:pt idx="111">
                  <c:v>500</c:v>
                </c:pt>
                <c:pt idx="112">
                  <c:v>600</c:v>
                </c:pt>
                <c:pt idx="113">
                  <c:v>780</c:v>
                </c:pt>
                <c:pt idx="114">
                  <c:v>1641</c:v>
                </c:pt>
                <c:pt idx="115">
                  <c:v>4000</c:v>
                </c:pt>
                <c:pt idx="116">
                  <c:v>7290</c:v>
                </c:pt>
                <c:pt idx="117">
                  <c:v>8000</c:v>
                </c:pt>
                <c:pt idx="118">
                  <c:v>8780</c:v>
                </c:pt>
                <c:pt idx="119">
                  <c:v>10350</c:v>
                </c:pt>
                <c:pt idx="120">
                  <c:v>11240</c:v>
                </c:pt>
                <c:pt idx="121">
                  <c:v>13516</c:v>
                </c:pt>
              </c:numCache>
            </c:numRef>
          </c:xVal>
          <c:yVal>
            <c:numRef>
              <c:f>data_waste!$O$2:$O$123</c:f>
              <c:numCache>
                <c:formatCode>General</c:formatCode>
                <c:ptCount val="122"/>
                <c:pt idx="0">
                  <c:v>820.68</c:v>
                </c:pt>
                <c:pt idx="1">
                  <c:v>825.36</c:v>
                </c:pt>
                <c:pt idx="2">
                  <c:v>0.04</c:v>
                </c:pt>
                <c:pt idx="3">
                  <c:v>0.14000000000000001</c:v>
                </c:pt>
                <c:pt idx="4">
                  <c:v>0.21199999999999999</c:v>
                </c:pt>
                <c:pt idx="5">
                  <c:v>0.32</c:v>
                </c:pt>
                <c:pt idx="6">
                  <c:v>0.44</c:v>
                </c:pt>
                <c:pt idx="7">
                  <c:v>0.56000000000000005</c:v>
                </c:pt>
                <c:pt idx="8">
                  <c:v>0.6</c:v>
                </c:pt>
                <c:pt idx="9">
                  <c:v>1.6</c:v>
                </c:pt>
                <c:pt idx="10">
                  <c:v>1.68</c:v>
                </c:pt>
                <c:pt idx="11">
                  <c:v>1.68</c:v>
                </c:pt>
                <c:pt idx="12">
                  <c:v>1.76</c:v>
                </c:pt>
                <c:pt idx="13">
                  <c:v>1.88</c:v>
                </c:pt>
                <c:pt idx="14">
                  <c:v>1.92</c:v>
                </c:pt>
                <c:pt idx="15">
                  <c:v>2.4</c:v>
                </c:pt>
                <c:pt idx="16">
                  <c:v>2.52</c:v>
                </c:pt>
                <c:pt idx="17">
                  <c:v>3.08</c:v>
                </c:pt>
                <c:pt idx="18">
                  <c:v>4.32</c:v>
                </c:pt>
                <c:pt idx="19">
                  <c:v>6.8</c:v>
                </c:pt>
                <c:pt idx="20">
                  <c:v>7.28</c:v>
                </c:pt>
                <c:pt idx="21">
                  <c:v>8.2799999999999994</c:v>
                </c:pt>
                <c:pt idx="22">
                  <c:v>8.32</c:v>
                </c:pt>
                <c:pt idx="23">
                  <c:v>11.08</c:v>
                </c:pt>
                <c:pt idx="24">
                  <c:v>11.2</c:v>
                </c:pt>
                <c:pt idx="25">
                  <c:v>13.36</c:v>
                </c:pt>
                <c:pt idx="26">
                  <c:v>13.4</c:v>
                </c:pt>
                <c:pt idx="27">
                  <c:v>14.08</c:v>
                </c:pt>
                <c:pt idx="28">
                  <c:v>14.6</c:v>
                </c:pt>
                <c:pt idx="29">
                  <c:v>15.92</c:v>
                </c:pt>
                <c:pt idx="30">
                  <c:v>20.6</c:v>
                </c:pt>
                <c:pt idx="31">
                  <c:v>25.8</c:v>
                </c:pt>
                <c:pt idx="32">
                  <c:v>32.479999999999997</c:v>
                </c:pt>
                <c:pt idx="33">
                  <c:v>59.84</c:v>
                </c:pt>
                <c:pt idx="34">
                  <c:v>145.32</c:v>
                </c:pt>
                <c:pt idx="35">
                  <c:v>704</c:v>
                </c:pt>
                <c:pt idx="36">
                  <c:v>0.76</c:v>
                </c:pt>
                <c:pt idx="37">
                  <c:v>1.4</c:v>
                </c:pt>
                <c:pt idx="38">
                  <c:v>1.8</c:v>
                </c:pt>
                <c:pt idx="39">
                  <c:v>2.6</c:v>
                </c:pt>
                <c:pt idx="40">
                  <c:v>3</c:v>
                </c:pt>
                <c:pt idx="41">
                  <c:v>5.6</c:v>
                </c:pt>
                <c:pt idx="42">
                  <c:v>5.6</c:v>
                </c:pt>
                <c:pt idx="43">
                  <c:v>6</c:v>
                </c:pt>
                <c:pt idx="44">
                  <c:v>6</c:v>
                </c:pt>
                <c:pt idx="45">
                  <c:v>6.6</c:v>
                </c:pt>
                <c:pt idx="46">
                  <c:v>7.8</c:v>
                </c:pt>
                <c:pt idx="47">
                  <c:v>8</c:v>
                </c:pt>
                <c:pt idx="48">
                  <c:v>8</c:v>
                </c:pt>
                <c:pt idx="49">
                  <c:v>22.4</c:v>
                </c:pt>
                <c:pt idx="50">
                  <c:v>32.799999999999997</c:v>
                </c:pt>
                <c:pt idx="51">
                  <c:v>33.200000000000003</c:v>
                </c:pt>
                <c:pt idx="52">
                  <c:v>38.799999999999997</c:v>
                </c:pt>
                <c:pt idx="53">
                  <c:v>48.8</c:v>
                </c:pt>
                <c:pt idx="54">
                  <c:v>54.4</c:v>
                </c:pt>
                <c:pt idx="55">
                  <c:v>73.599999999999994</c:v>
                </c:pt>
                <c:pt idx="56">
                  <c:v>73.599999999999994</c:v>
                </c:pt>
                <c:pt idx="57">
                  <c:v>77.599999999999994</c:v>
                </c:pt>
                <c:pt idx="58">
                  <c:v>78</c:v>
                </c:pt>
                <c:pt idx="59">
                  <c:v>78.400000000000006</c:v>
                </c:pt>
                <c:pt idx="60">
                  <c:v>80</c:v>
                </c:pt>
                <c:pt idx="61">
                  <c:v>80</c:v>
                </c:pt>
                <c:pt idx="62">
                  <c:v>83.2</c:v>
                </c:pt>
                <c:pt idx="63">
                  <c:v>84</c:v>
                </c:pt>
                <c:pt idx="64">
                  <c:v>84</c:v>
                </c:pt>
                <c:pt idx="65">
                  <c:v>86</c:v>
                </c:pt>
                <c:pt idx="66">
                  <c:v>88</c:v>
                </c:pt>
                <c:pt idx="67">
                  <c:v>88.8</c:v>
                </c:pt>
                <c:pt idx="68">
                  <c:v>94.4</c:v>
                </c:pt>
                <c:pt idx="69">
                  <c:v>96</c:v>
                </c:pt>
                <c:pt idx="70">
                  <c:v>97.6</c:v>
                </c:pt>
                <c:pt idx="71">
                  <c:v>114.4</c:v>
                </c:pt>
                <c:pt idx="72">
                  <c:v>117.6</c:v>
                </c:pt>
                <c:pt idx="73">
                  <c:v>120.8</c:v>
                </c:pt>
                <c:pt idx="74">
                  <c:v>123.2</c:v>
                </c:pt>
                <c:pt idx="75">
                  <c:v>124</c:v>
                </c:pt>
                <c:pt idx="76">
                  <c:v>128</c:v>
                </c:pt>
                <c:pt idx="77">
                  <c:v>137.6</c:v>
                </c:pt>
                <c:pt idx="78">
                  <c:v>154.4</c:v>
                </c:pt>
                <c:pt idx="79">
                  <c:v>179.2</c:v>
                </c:pt>
                <c:pt idx="80">
                  <c:v>188.8</c:v>
                </c:pt>
                <c:pt idx="81">
                  <c:v>207.2</c:v>
                </c:pt>
                <c:pt idx="82">
                  <c:v>213.6</c:v>
                </c:pt>
                <c:pt idx="83">
                  <c:v>245.6</c:v>
                </c:pt>
                <c:pt idx="84">
                  <c:v>252</c:v>
                </c:pt>
                <c:pt idx="85">
                  <c:v>252.8</c:v>
                </c:pt>
                <c:pt idx="86">
                  <c:v>256</c:v>
                </c:pt>
                <c:pt idx="87">
                  <c:v>316.8</c:v>
                </c:pt>
                <c:pt idx="88">
                  <c:v>4.12</c:v>
                </c:pt>
                <c:pt idx="89">
                  <c:v>5.5380000000000003</c:v>
                </c:pt>
                <c:pt idx="90">
                  <c:v>10.744</c:v>
                </c:pt>
                <c:pt idx="91">
                  <c:v>11.2</c:v>
                </c:pt>
                <c:pt idx="92">
                  <c:v>131.19999999999999</c:v>
                </c:pt>
                <c:pt idx="93">
                  <c:v>166.4</c:v>
                </c:pt>
                <c:pt idx="94">
                  <c:v>545.6</c:v>
                </c:pt>
                <c:pt idx="95">
                  <c:v>572.88</c:v>
                </c:pt>
                <c:pt idx="96">
                  <c:v>840</c:v>
                </c:pt>
                <c:pt idx="97">
                  <c:v>932</c:v>
                </c:pt>
                <c:pt idx="98">
                  <c:v>1</c:v>
                </c:pt>
                <c:pt idx="99">
                  <c:v>1</c:v>
                </c:pt>
                <c:pt idx="100">
                  <c:v>2</c:v>
                </c:pt>
                <c:pt idx="101">
                  <c:v>2.2400000000000002</c:v>
                </c:pt>
                <c:pt idx="102">
                  <c:v>2.4</c:v>
                </c:pt>
                <c:pt idx="103">
                  <c:v>4.8</c:v>
                </c:pt>
                <c:pt idx="104">
                  <c:v>13.6</c:v>
                </c:pt>
                <c:pt idx="105">
                  <c:v>14</c:v>
                </c:pt>
                <c:pt idx="106">
                  <c:v>14.2</c:v>
                </c:pt>
                <c:pt idx="107">
                  <c:v>15.2</c:v>
                </c:pt>
                <c:pt idx="108">
                  <c:v>16</c:v>
                </c:pt>
                <c:pt idx="109">
                  <c:v>17</c:v>
                </c:pt>
                <c:pt idx="110">
                  <c:v>17.600000000000001</c:v>
                </c:pt>
                <c:pt idx="111">
                  <c:v>20</c:v>
                </c:pt>
                <c:pt idx="112">
                  <c:v>24</c:v>
                </c:pt>
                <c:pt idx="113">
                  <c:v>31.2</c:v>
                </c:pt>
                <c:pt idx="114">
                  <c:v>65.64</c:v>
                </c:pt>
                <c:pt idx="115">
                  <c:v>160</c:v>
                </c:pt>
                <c:pt idx="116">
                  <c:v>291.60000000000002</c:v>
                </c:pt>
                <c:pt idx="117">
                  <c:v>320</c:v>
                </c:pt>
                <c:pt idx="118">
                  <c:v>351.2</c:v>
                </c:pt>
                <c:pt idx="119">
                  <c:v>414</c:v>
                </c:pt>
                <c:pt idx="120">
                  <c:v>449.6</c:v>
                </c:pt>
                <c:pt idx="121">
                  <c:v>540.64</c:v>
                </c:pt>
              </c:numCache>
            </c:numRef>
          </c:yVal>
          <c:smooth val="1"/>
          <c:extLst>
            <c:ext xmlns:c16="http://schemas.microsoft.com/office/drawing/2014/chart" uri="{C3380CC4-5D6E-409C-BE32-E72D297353CC}">
              <c16:uniqueId val="{00000000-EC3A-4D7A-B5D9-4CE21C98C568}"/>
            </c:ext>
          </c:extLst>
        </c:ser>
        <c:dLbls>
          <c:showLegendKey val="0"/>
          <c:showVal val="0"/>
          <c:showCatName val="0"/>
          <c:showSerName val="0"/>
          <c:showPercent val="0"/>
          <c:showBubbleSize val="0"/>
        </c:dLbls>
        <c:axId val="1751053584"/>
        <c:axId val="1751034864"/>
      </c:scatterChart>
      <c:valAx>
        <c:axId val="1751053584"/>
        <c:scaling>
          <c:orientation val="minMax"/>
        </c:scaling>
        <c:delete val="1"/>
        <c:axPos val="b"/>
        <c:numFmt formatCode="General" sourceLinked="1"/>
        <c:majorTickMark val="none"/>
        <c:minorTickMark val="none"/>
        <c:tickLblPos val="nextTo"/>
        <c:crossAx val="1751034864"/>
        <c:crosses val="autoZero"/>
        <c:crossBetween val="midCat"/>
      </c:valAx>
      <c:valAx>
        <c:axId val="1751034864"/>
        <c:scaling>
          <c:orientation val="minMax"/>
        </c:scaling>
        <c:delete val="1"/>
        <c:axPos val="l"/>
        <c:numFmt formatCode="General" sourceLinked="1"/>
        <c:majorTickMark val="none"/>
        <c:minorTickMark val="none"/>
        <c:tickLblPos val="nextTo"/>
        <c:crossAx val="175105358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Dcycle - Electricidad.xlsx]Tablas dinamicas!PivotTable1</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dinamicas'!$B$3:$B$4</c:f>
              <c:strCache>
                <c:ptCount val="1"/>
                <c:pt idx="0">
                  <c:v>electricity</c:v>
                </c:pt>
              </c:strCache>
            </c:strRef>
          </c:tx>
          <c:spPr>
            <a:solidFill>
              <a:schemeClr val="accent1"/>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dinamicas'!$B$5:$B$14</c:f>
              <c:numCache>
                <c:formatCode>General</c:formatCode>
                <c:ptCount val="9"/>
                <c:pt idx="0">
                  <c:v>3322.4833875830623</c:v>
                </c:pt>
                <c:pt idx="2">
                  <c:v>17306.313468432658</c:v>
                </c:pt>
                <c:pt idx="3">
                  <c:v>2974.7056264718681</c:v>
                </c:pt>
                <c:pt idx="4">
                  <c:v>22781.556092219544</c:v>
                </c:pt>
                <c:pt idx="5">
                  <c:v>208833.23233383839</c:v>
                </c:pt>
                <c:pt idx="6">
                  <c:v>5214.5739271303646</c:v>
                </c:pt>
                <c:pt idx="7">
                  <c:v>36169.629651851741</c:v>
                </c:pt>
                <c:pt idx="8">
                  <c:v>3746.5582672086639</c:v>
                </c:pt>
              </c:numCache>
            </c:numRef>
          </c:val>
          <c:extLst>
            <c:ext xmlns:c16="http://schemas.microsoft.com/office/drawing/2014/chart" uri="{C3380CC4-5D6E-409C-BE32-E72D297353CC}">
              <c16:uniqueId val="{00000000-1FC9-49BB-9CB9-B20DDF638D26}"/>
            </c:ext>
          </c:extLst>
        </c:ser>
        <c:ser>
          <c:idx val="1"/>
          <c:order val="1"/>
          <c:tx>
            <c:strRef>
              <c:f>'Tablas dinamicas'!$C$3:$C$4</c:f>
              <c:strCache>
                <c:ptCount val="1"/>
                <c:pt idx="0">
                  <c:v>heat</c:v>
                </c:pt>
              </c:strCache>
            </c:strRef>
          </c:tx>
          <c:spPr>
            <a:solidFill>
              <a:schemeClr val="accent2"/>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dinamicas'!$C$5:$C$14</c:f>
              <c:numCache>
                <c:formatCode>General</c:formatCode>
                <c:ptCount val="9"/>
                <c:pt idx="4">
                  <c:v>8230.2026517425966</c:v>
                </c:pt>
                <c:pt idx="5">
                  <c:v>4142.1517577048271</c:v>
                </c:pt>
                <c:pt idx="6">
                  <c:v>12727.663959819209</c:v>
                </c:pt>
                <c:pt idx="8">
                  <c:v>982.83931357254301</c:v>
                </c:pt>
              </c:numCache>
            </c:numRef>
          </c:val>
          <c:extLst>
            <c:ext xmlns:c16="http://schemas.microsoft.com/office/drawing/2014/chart" uri="{C3380CC4-5D6E-409C-BE32-E72D297353CC}">
              <c16:uniqueId val="{0000000E-16E2-47ED-B1D5-3BF483CA4731}"/>
            </c:ext>
          </c:extLst>
        </c:ser>
        <c:ser>
          <c:idx val="2"/>
          <c:order val="2"/>
          <c:tx>
            <c:strRef>
              <c:f>'Tablas dinamicas'!$D$3:$D$4</c:f>
              <c:strCache>
                <c:ptCount val="1"/>
                <c:pt idx="0">
                  <c:v>waste</c:v>
                </c:pt>
              </c:strCache>
            </c:strRef>
          </c:tx>
          <c:spPr>
            <a:solidFill>
              <a:schemeClr val="accent3"/>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dinamicas'!$D$5:$D$14</c:f>
              <c:numCache>
                <c:formatCode>General</c:formatCode>
                <c:ptCount val="9"/>
                <c:pt idx="0">
                  <c:v>228.31199999999993</c:v>
                </c:pt>
                <c:pt idx="2">
                  <c:v>1646.04</c:v>
                </c:pt>
                <c:pt idx="4">
                  <c:v>1652.8180000000002</c:v>
                </c:pt>
                <c:pt idx="5">
                  <c:v>4767.3599999999997</c:v>
                </c:pt>
                <c:pt idx="7">
                  <c:v>1378.4399999999998</c:v>
                </c:pt>
              </c:numCache>
            </c:numRef>
          </c:val>
          <c:extLst>
            <c:ext xmlns:c16="http://schemas.microsoft.com/office/drawing/2014/chart" uri="{C3380CC4-5D6E-409C-BE32-E72D297353CC}">
              <c16:uniqueId val="{0000000F-16E2-47ED-B1D5-3BF483CA4731}"/>
            </c:ext>
          </c:extLst>
        </c:ser>
        <c:ser>
          <c:idx val="3"/>
          <c:order val="3"/>
          <c:tx>
            <c:strRef>
              <c:f>'Tablas dinamicas'!$E$3:$E$4</c:f>
              <c:strCache>
                <c:ptCount val="1"/>
                <c:pt idx="0">
                  <c:v>water</c:v>
                </c:pt>
              </c:strCache>
            </c:strRef>
          </c:tx>
          <c:spPr>
            <a:solidFill>
              <a:schemeClr val="accent4"/>
            </a:solidFill>
            <a:ln>
              <a:noFill/>
            </a:ln>
            <a:effectLst/>
          </c:spPr>
          <c:invertIfNegative val="0"/>
          <c:cat>
            <c:strRef>
              <c:f>'Tablas dinamicas'!$A$5:$A$14</c:f>
              <c:strCache>
                <c:ptCount val="9"/>
                <c:pt idx="0">
                  <c:v>Dcycle Andina SAS</c:v>
                </c:pt>
                <c:pt idx="1">
                  <c:v>Dcycle Deutschland  GmbH</c:v>
                </c:pt>
                <c:pt idx="2">
                  <c:v>Dcycle Factory SL</c:v>
                </c:pt>
                <c:pt idx="3">
                  <c:v>Dcycle France SARL</c:v>
                </c:pt>
                <c:pt idx="4">
                  <c:v>Dcycle Ltd</c:v>
                </c:pt>
                <c:pt idx="5">
                  <c:v>DCYCLE SA</c:v>
                </c:pt>
                <c:pt idx="6">
                  <c:v>Dcycle SIA</c:v>
                </c:pt>
                <c:pt idx="7">
                  <c:v>Dcycle SpA Italy</c:v>
                </c:pt>
                <c:pt idx="8">
                  <c:v>Dcycle USA Inc</c:v>
                </c:pt>
              </c:strCache>
            </c:strRef>
          </c:cat>
          <c:val>
            <c:numRef>
              <c:f>'Tablas dinamicas'!$E$5:$E$14</c:f>
              <c:numCache>
                <c:formatCode>General</c:formatCode>
                <c:ptCount val="9"/>
                <c:pt idx="0">
                  <c:v>66.665968829942983</c:v>
                </c:pt>
                <c:pt idx="1">
                  <c:v>8.7008700870087008</c:v>
                </c:pt>
                <c:pt idx="2">
                  <c:v>95.667566756675669</c:v>
                </c:pt>
                <c:pt idx="4">
                  <c:v>97.809780978097805</c:v>
                </c:pt>
                <c:pt idx="5">
                  <c:v>519.83528352835287</c:v>
                </c:pt>
                <c:pt idx="6">
                  <c:v>54.335433543354334</c:v>
                </c:pt>
                <c:pt idx="7">
                  <c:v>23546.243624362429</c:v>
                </c:pt>
              </c:numCache>
            </c:numRef>
          </c:val>
          <c:extLst>
            <c:ext xmlns:c16="http://schemas.microsoft.com/office/drawing/2014/chart" uri="{C3380CC4-5D6E-409C-BE32-E72D297353CC}">
              <c16:uniqueId val="{00000002-A7BD-4B11-AA8E-6F465BF98766}"/>
            </c:ext>
          </c:extLst>
        </c:ser>
        <c:dLbls>
          <c:showLegendKey val="0"/>
          <c:showVal val="0"/>
          <c:showCatName val="0"/>
          <c:showSerName val="0"/>
          <c:showPercent val="0"/>
          <c:showBubbleSize val="0"/>
        </c:dLbls>
        <c:gapWidth val="150"/>
        <c:overlap val="100"/>
        <c:axId val="1880776656"/>
        <c:axId val="1880780016"/>
      </c:barChart>
      <c:catAx>
        <c:axId val="1880776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80780016"/>
        <c:crosses val="autoZero"/>
        <c:auto val="1"/>
        <c:lblAlgn val="ctr"/>
        <c:lblOffset val="100"/>
        <c:noMultiLvlLbl val="0"/>
      </c:catAx>
      <c:valAx>
        <c:axId val="1880780016"/>
        <c:scaling>
          <c:orientation val="minMax"/>
          <c:min val="0"/>
        </c:scaling>
        <c:delete val="1"/>
        <c:axPos val="b"/>
        <c:numFmt formatCode="General" sourceLinked="1"/>
        <c:majorTickMark val="none"/>
        <c:minorTickMark val="none"/>
        <c:tickLblPos val="nextTo"/>
        <c:crossAx val="1880776656"/>
        <c:crosses val="autoZero"/>
        <c:crossBetween val="between"/>
      </c:valAx>
      <c:spPr>
        <a:noFill/>
        <a:ln>
          <a:noFill/>
        </a:ln>
        <a:effectLst/>
      </c:spPr>
    </c:plotArea>
    <c:legend>
      <c:legendPos val="b"/>
      <c:layout>
        <c:manualLayout>
          <c:xMode val="edge"/>
          <c:yMode val="edge"/>
          <c:x val="0.52491841644794401"/>
          <c:y val="0.92615959463400388"/>
          <c:w val="0.42746495878596413"/>
          <c:h val="5.42018407738143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6">
  <a:schemeClr val="accent3"/>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17.xml"/><Relationship Id="rId3" Type="http://schemas.openxmlformats.org/officeDocument/2006/relationships/chart" Target="../charts/chart13.xml"/><Relationship Id="rId7" Type="http://schemas.openxmlformats.org/officeDocument/2006/relationships/image" Target="../media/image3.png"/><Relationship Id="rId12" Type="http://schemas.openxmlformats.org/officeDocument/2006/relationships/chart" Target="../charts/chart16.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2.png"/><Relationship Id="rId11" Type="http://schemas.openxmlformats.org/officeDocument/2006/relationships/chart" Target="../charts/chart15.xml"/><Relationship Id="rId5" Type="http://schemas.openxmlformats.org/officeDocument/2006/relationships/image" Target="../media/image1.png"/><Relationship Id="rId10" Type="http://schemas.openxmlformats.org/officeDocument/2006/relationships/image" Target="../media/image6.png"/><Relationship Id="rId4" Type="http://schemas.openxmlformats.org/officeDocument/2006/relationships/chart" Target="../charts/chart14.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20</xdr:col>
      <xdr:colOff>194199</xdr:colOff>
      <xdr:row>23</xdr:row>
      <xdr:rowOff>161293</xdr:rowOff>
    </xdr:from>
    <xdr:to>
      <xdr:col>25</xdr:col>
      <xdr:colOff>370047</xdr:colOff>
      <xdr:row>37</xdr:row>
      <xdr:rowOff>71416</xdr:rowOff>
    </xdr:to>
    <xdr:graphicFrame macro="">
      <xdr:nvGraphicFramePr>
        <xdr:cNvPr id="2" name="Chart 1">
          <a:extLst>
            <a:ext uri="{FF2B5EF4-FFF2-40B4-BE49-F238E27FC236}">
              <a16:creationId xmlns:a16="http://schemas.microsoft.com/office/drawing/2014/main" id="{A73405B5-E369-5AA8-E9A0-D7D57A642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664243</xdr:colOff>
      <xdr:row>2</xdr:row>
      <xdr:rowOff>126403</xdr:rowOff>
    </xdr:from>
    <xdr:to>
      <xdr:col>26</xdr:col>
      <xdr:colOff>840090</xdr:colOff>
      <xdr:row>16</xdr:row>
      <xdr:rowOff>134218</xdr:rowOff>
    </xdr:to>
    <xdr:graphicFrame macro="">
      <xdr:nvGraphicFramePr>
        <xdr:cNvPr id="4" name="Chart 3">
          <a:extLst>
            <a:ext uri="{FF2B5EF4-FFF2-40B4-BE49-F238E27FC236}">
              <a16:creationId xmlns:a16="http://schemas.microsoft.com/office/drawing/2014/main" id="{F07D13A7-7ECB-1C87-2461-76EF4FDAB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242925</xdr:colOff>
      <xdr:row>3</xdr:row>
      <xdr:rowOff>125532</xdr:rowOff>
    </xdr:from>
    <xdr:to>
      <xdr:col>21</xdr:col>
      <xdr:colOff>384693</xdr:colOff>
      <xdr:row>17</xdr:row>
      <xdr:rowOff>77685</xdr:rowOff>
    </xdr:to>
    <xdr:graphicFrame macro="">
      <xdr:nvGraphicFramePr>
        <xdr:cNvPr id="3" name="Chart 2">
          <a:extLst>
            <a:ext uri="{FF2B5EF4-FFF2-40B4-BE49-F238E27FC236}">
              <a16:creationId xmlns:a16="http://schemas.microsoft.com/office/drawing/2014/main" id="{B82C1275-EC07-1E10-0465-B953DEA7A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723900</xdr:colOff>
      <xdr:row>17</xdr:row>
      <xdr:rowOff>120650</xdr:rowOff>
    </xdr:from>
    <xdr:to>
      <xdr:col>17</xdr:col>
      <xdr:colOff>158750</xdr:colOff>
      <xdr:row>35</xdr:row>
      <xdr:rowOff>6350</xdr:rowOff>
    </xdr:to>
    <xdr:graphicFrame macro="">
      <xdr:nvGraphicFramePr>
        <xdr:cNvPr id="3" name="Chart 2">
          <a:extLst>
            <a:ext uri="{FF2B5EF4-FFF2-40B4-BE49-F238E27FC236}">
              <a16:creationId xmlns:a16="http://schemas.microsoft.com/office/drawing/2014/main" id="{82880D44-A22D-3BA9-313B-AE401BD69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27</xdr:row>
      <xdr:rowOff>88900</xdr:rowOff>
    </xdr:from>
    <xdr:to>
      <xdr:col>10</xdr:col>
      <xdr:colOff>412750</xdr:colOff>
      <xdr:row>42</xdr:row>
      <xdr:rowOff>139700</xdr:rowOff>
    </xdr:to>
    <xdr:graphicFrame macro="">
      <xdr:nvGraphicFramePr>
        <xdr:cNvPr id="4" name="Chart 3">
          <a:extLst>
            <a:ext uri="{FF2B5EF4-FFF2-40B4-BE49-F238E27FC236}">
              <a16:creationId xmlns:a16="http://schemas.microsoft.com/office/drawing/2014/main" id="{1BF05705-D9A2-7C77-C962-4B8098281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169333</xdr:colOff>
      <xdr:row>44</xdr:row>
      <xdr:rowOff>21167</xdr:rowOff>
    </xdr:from>
    <xdr:to>
      <xdr:col>11</xdr:col>
      <xdr:colOff>1035049</xdr:colOff>
      <xdr:row>60</xdr:row>
      <xdr:rowOff>27517</xdr:rowOff>
    </xdr:to>
    <xdr:graphicFrame macro="">
      <xdr:nvGraphicFramePr>
        <xdr:cNvPr id="5" name="Chart 4">
          <a:extLst>
            <a:ext uri="{FF2B5EF4-FFF2-40B4-BE49-F238E27FC236}">
              <a16:creationId xmlns:a16="http://schemas.microsoft.com/office/drawing/2014/main" id="{87807E90-725C-DB60-9CB5-7D86C801B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393700</xdr:colOff>
      <xdr:row>61</xdr:row>
      <xdr:rowOff>44450</xdr:rowOff>
    </xdr:from>
    <xdr:to>
      <xdr:col>8</xdr:col>
      <xdr:colOff>69850</xdr:colOff>
      <xdr:row>73</xdr:row>
      <xdr:rowOff>139700</xdr:rowOff>
    </xdr:to>
    <xdr:graphicFrame macro="">
      <xdr:nvGraphicFramePr>
        <xdr:cNvPr id="6" name="Chart 5">
          <a:extLst>
            <a:ext uri="{FF2B5EF4-FFF2-40B4-BE49-F238E27FC236}">
              <a16:creationId xmlns:a16="http://schemas.microsoft.com/office/drawing/2014/main" id="{B7A8AE40-1A43-2BF4-13E0-E768E86A8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142875</xdr:colOff>
      <xdr:row>73</xdr:row>
      <xdr:rowOff>19050</xdr:rowOff>
    </xdr:from>
    <xdr:to>
      <xdr:col>14</xdr:col>
      <xdr:colOff>796925</xdr:colOff>
      <xdr:row>90</xdr:row>
      <xdr:rowOff>57150</xdr:rowOff>
    </xdr:to>
    <xdr:graphicFrame macro="">
      <xdr:nvGraphicFramePr>
        <xdr:cNvPr id="7" name="Chart 6">
          <a:extLst>
            <a:ext uri="{FF2B5EF4-FFF2-40B4-BE49-F238E27FC236}">
              <a16:creationId xmlns:a16="http://schemas.microsoft.com/office/drawing/2014/main" id="{DFAD4EB0-41CC-A4A0-B1B9-1B2A0D39F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647700</xdr:colOff>
      <xdr:row>92</xdr:row>
      <xdr:rowOff>82550</xdr:rowOff>
    </xdr:from>
    <xdr:to>
      <xdr:col>11</xdr:col>
      <xdr:colOff>742950</xdr:colOff>
      <xdr:row>109</xdr:row>
      <xdr:rowOff>127000</xdr:rowOff>
    </xdr:to>
    <xdr:graphicFrame macro="">
      <xdr:nvGraphicFramePr>
        <xdr:cNvPr id="8" name="Chart 7">
          <a:extLst>
            <a:ext uri="{FF2B5EF4-FFF2-40B4-BE49-F238E27FC236}">
              <a16:creationId xmlns:a16="http://schemas.microsoft.com/office/drawing/2014/main" id="{7DB0F21D-3D73-0CCA-A9AD-42A144DAD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820209</xdr:colOff>
      <xdr:row>1</xdr:row>
      <xdr:rowOff>62442</xdr:rowOff>
    </xdr:from>
    <xdr:to>
      <xdr:col>11</xdr:col>
      <xdr:colOff>746125</xdr:colOff>
      <xdr:row>18</xdr:row>
      <xdr:rowOff>106892</xdr:rowOff>
    </xdr:to>
    <xdr:graphicFrame macro="">
      <xdr:nvGraphicFramePr>
        <xdr:cNvPr id="19" name="Chart 18">
          <a:extLst>
            <a:ext uri="{FF2B5EF4-FFF2-40B4-BE49-F238E27FC236}">
              <a16:creationId xmlns:a16="http://schemas.microsoft.com/office/drawing/2014/main" id="{4D0F1726-8D5A-143A-7756-794482313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0.35278</cdr:x>
      <cdr:y>0.02546</cdr:y>
    </cdr:from>
    <cdr:to>
      <cdr:x>1</cdr:x>
      <cdr:y>0.10648</cdr:y>
    </cdr:to>
    <cdr:sp macro="" textlink="">
      <cdr:nvSpPr>
        <cdr:cNvPr id="2" name="TextBox 1">
          <a:extLst xmlns:a="http://schemas.openxmlformats.org/drawingml/2006/main">
            <a:ext uri="{FF2B5EF4-FFF2-40B4-BE49-F238E27FC236}">
              <a16:creationId xmlns:a16="http://schemas.microsoft.com/office/drawing/2014/main" id="{BB657731-6AEE-8111-0760-2BE0938AAF3D}"/>
            </a:ext>
          </a:extLst>
        </cdr:cNvPr>
        <cdr:cNvSpPr txBox="1"/>
      </cdr:nvSpPr>
      <cdr:spPr>
        <a:xfrm xmlns:a="http://schemas.openxmlformats.org/drawingml/2006/main">
          <a:off x="1612900" y="69850"/>
          <a:ext cx="2959100" cy="222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0" i="0" u="none" strike="noStrike" kern="1200" spc="0" baseline="0">
              <a:solidFill>
                <a:srgbClr val="000000">
                  <a:lumMod val="65000"/>
                  <a:lumOff val="35000"/>
                </a:srgbClr>
              </a:solidFill>
              <a:latin typeface="+mn-lt"/>
              <a:ea typeface="+mn-ea"/>
              <a:cs typeface="+mn-cs"/>
            </a:rPr>
            <a:t>Tipo de emisiones por empresa</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23</xdr:col>
      <xdr:colOff>304470</xdr:colOff>
      <xdr:row>2</xdr:row>
      <xdr:rowOff>125974</xdr:rowOff>
    </xdr:from>
    <xdr:to>
      <xdr:col>25</xdr:col>
      <xdr:colOff>922497</xdr:colOff>
      <xdr:row>9</xdr:row>
      <xdr:rowOff>16214</xdr:rowOff>
    </xdr:to>
    <mc:AlternateContent xmlns:mc="http://schemas.openxmlformats.org/markup-compatibility/2006" xmlns:a14="http://schemas.microsoft.com/office/drawing/2010/main">
      <mc:Choice Requires="a14">
        <xdr:graphicFrame macro="">
          <xdr:nvGraphicFramePr>
            <xdr:cNvPr id="3" name="company_name 2">
              <a:extLst>
                <a:ext uri="{FF2B5EF4-FFF2-40B4-BE49-F238E27FC236}">
                  <a16:creationId xmlns:a16="http://schemas.microsoft.com/office/drawing/2014/main" id="{38B4A035-279F-4880-BD84-BE187915869F}"/>
                </a:ext>
              </a:extLst>
            </xdr:cNvPr>
            <xdr:cNvGraphicFramePr/>
          </xdr:nvGraphicFramePr>
          <xdr:xfrm>
            <a:off x="0" y="0"/>
            <a:ext cx="0" cy="0"/>
          </xdr:xfrm>
          <a:graphic>
            <a:graphicData uri="http://schemas.microsoft.com/office/drawing/2010/slicer">
              <sle:slicer xmlns:sle="http://schemas.microsoft.com/office/drawing/2010/slicer" name="company_name 2"/>
            </a:graphicData>
          </a:graphic>
        </xdr:graphicFrame>
      </mc:Choice>
      <mc:Fallback xmlns="">
        <xdr:sp macro="" textlink="">
          <xdr:nvSpPr>
            <xdr:cNvPr id="0" name=""/>
            <xdr:cNvSpPr>
              <a:spLocks noTextEdit="1"/>
            </xdr:cNvSpPr>
          </xdr:nvSpPr>
          <xdr:spPr>
            <a:xfrm>
              <a:off x="19369237" y="450858"/>
              <a:ext cx="3394307" cy="1027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903158</xdr:colOff>
      <xdr:row>2</xdr:row>
      <xdr:rowOff>155668</xdr:rowOff>
    </xdr:from>
    <xdr:to>
      <xdr:col>31</xdr:col>
      <xdr:colOff>490194</xdr:colOff>
      <xdr:row>9</xdr:row>
      <xdr:rowOff>31752</xdr:rowOff>
    </xdr:to>
    <mc:AlternateContent xmlns:mc="http://schemas.openxmlformats.org/markup-compatibility/2006" xmlns:a14="http://schemas.microsoft.com/office/drawing/2010/main">
      <mc:Choice Requires="a14">
        <xdr:graphicFrame macro="">
          <xdr:nvGraphicFramePr>
            <xdr:cNvPr id="6" name="Type 2">
              <a:extLst>
                <a:ext uri="{FF2B5EF4-FFF2-40B4-BE49-F238E27FC236}">
                  <a16:creationId xmlns:a16="http://schemas.microsoft.com/office/drawing/2014/main" id="{E9CD6890-A707-46A6-9F2B-B90CEEED666C}"/>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25269437" y="480552"/>
              <a:ext cx="1905524" cy="10131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161335</xdr:colOff>
      <xdr:row>2</xdr:row>
      <xdr:rowOff>149229</xdr:rowOff>
    </xdr:from>
    <xdr:to>
      <xdr:col>28</xdr:col>
      <xdr:colOff>579164</xdr:colOff>
      <xdr:row>9</xdr:row>
      <xdr:rowOff>33334</xdr:rowOff>
    </xdr:to>
    <mc:AlternateContent xmlns:mc="http://schemas.openxmlformats.org/markup-compatibility/2006" xmlns:a14="http://schemas.microsoft.com/office/drawing/2010/main">
      <mc:Choice Requires="a14">
        <xdr:graphicFrame macro="">
          <xdr:nvGraphicFramePr>
            <xdr:cNvPr id="7" name="Quarters (End) 2">
              <a:extLst>
                <a:ext uri="{FF2B5EF4-FFF2-40B4-BE49-F238E27FC236}">
                  <a16:creationId xmlns:a16="http://schemas.microsoft.com/office/drawing/2014/main" id="{E8BCA54A-33BC-4D15-B0BD-D1D13082A87F}"/>
                </a:ext>
              </a:extLst>
            </xdr:cNvPr>
            <xdr:cNvGraphicFramePr/>
          </xdr:nvGraphicFramePr>
          <xdr:xfrm>
            <a:off x="0" y="0"/>
            <a:ext cx="0" cy="0"/>
          </xdr:xfrm>
          <a:graphic>
            <a:graphicData uri="http://schemas.microsoft.com/office/drawing/2010/slicer">
              <sle:slicer xmlns:sle="http://schemas.microsoft.com/office/drawing/2010/slicer" name="Quarters (End) 2"/>
            </a:graphicData>
          </a:graphic>
        </xdr:graphicFrame>
      </mc:Choice>
      <mc:Fallback xmlns="">
        <xdr:sp macro="" textlink="">
          <xdr:nvSpPr>
            <xdr:cNvPr id="0" name=""/>
            <xdr:cNvSpPr>
              <a:spLocks noTextEdit="1"/>
            </xdr:cNvSpPr>
          </xdr:nvSpPr>
          <xdr:spPr>
            <a:xfrm>
              <a:off x="23065637" y="474113"/>
              <a:ext cx="1879806" cy="10211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249610</xdr:colOff>
      <xdr:row>2</xdr:row>
      <xdr:rowOff>102580</xdr:rowOff>
    </xdr:from>
    <xdr:to>
      <xdr:col>22</xdr:col>
      <xdr:colOff>844266</xdr:colOff>
      <xdr:row>11</xdr:row>
      <xdr:rowOff>46663</xdr:rowOff>
    </xdr:to>
    <mc:AlternateContent xmlns:mc="http://schemas.openxmlformats.org/markup-compatibility/2006" xmlns:tsle="http://schemas.microsoft.com/office/drawing/2012/timeslicer">
      <mc:Choice Requires="tsle">
        <xdr:graphicFrame macro="">
          <xdr:nvGraphicFramePr>
            <xdr:cNvPr id="8" name="Start 2">
              <a:extLst>
                <a:ext uri="{FF2B5EF4-FFF2-40B4-BE49-F238E27FC236}">
                  <a16:creationId xmlns:a16="http://schemas.microsoft.com/office/drawing/2014/main" id="{338F9DBE-7CA2-4BA4-92C5-F7CD9A322772}"/>
                </a:ext>
              </a:extLst>
            </xdr:cNvPr>
            <xdr:cNvGraphicFramePr/>
          </xdr:nvGraphicFramePr>
          <xdr:xfrm>
            <a:off x="0" y="0"/>
            <a:ext cx="0" cy="0"/>
          </xdr:xfrm>
          <a:graphic>
            <a:graphicData uri="http://schemas.microsoft.com/office/drawing/2012/timeslicer">
              <tsle:timeslicer name="Start 2"/>
            </a:graphicData>
          </a:graphic>
        </xdr:graphicFrame>
      </mc:Choice>
      <mc:Fallback xmlns="">
        <xdr:sp macro="" textlink="">
          <xdr:nvSpPr>
            <xdr:cNvPr id="0" name=""/>
            <xdr:cNvSpPr>
              <a:spLocks noTextEdit="1"/>
            </xdr:cNvSpPr>
          </xdr:nvSpPr>
          <xdr:spPr>
            <a:xfrm>
              <a:off x="15548680" y="427464"/>
              <a:ext cx="3297098" cy="140605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267386</xdr:colOff>
      <xdr:row>2</xdr:row>
      <xdr:rowOff>118036</xdr:rowOff>
    </xdr:from>
    <xdr:to>
      <xdr:col>19</xdr:col>
      <xdr:colOff>821273</xdr:colOff>
      <xdr:row>11</xdr:row>
      <xdr:rowOff>29986</xdr:rowOff>
    </xdr:to>
    <mc:AlternateContent xmlns:mc="http://schemas.openxmlformats.org/markup-compatibility/2006" xmlns:tsle="http://schemas.microsoft.com/office/drawing/2012/timeslicer">
      <mc:Choice Requires="tsle">
        <xdr:graphicFrame macro="">
          <xdr:nvGraphicFramePr>
            <xdr:cNvPr id="9" name="End 2">
              <a:extLst>
                <a:ext uri="{FF2B5EF4-FFF2-40B4-BE49-F238E27FC236}">
                  <a16:creationId xmlns:a16="http://schemas.microsoft.com/office/drawing/2014/main" id="{079B2652-7093-4BB9-BF70-03CADE0D6C4C}"/>
                </a:ext>
              </a:extLst>
            </xdr:cNvPr>
            <xdr:cNvGraphicFramePr/>
          </xdr:nvGraphicFramePr>
          <xdr:xfrm>
            <a:off x="0" y="0"/>
            <a:ext cx="0" cy="0"/>
          </xdr:xfrm>
          <a:graphic>
            <a:graphicData uri="http://schemas.microsoft.com/office/drawing/2012/timeslicer">
              <tsle:timeslicer name="End 2"/>
            </a:graphicData>
          </a:graphic>
        </xdr:graphicFrame>
      </mc:Choice>
      <mc:Fallback xmlns="">
        <xdr:sp macro="" textlink="">
          <xdr:nvSpPr>
            <xdr:cNvPr id="0" name=""/>
            <xdr:cNvSpPr>
              <a:spLocks noTextEdit="1"/>
            </xdr:cNvSpPr>
          </xdr:nvSpPr>
          <xdr:spPr>
            <a:xfrm>
              <a:off x="11608781" y="442920"/>
              <a:ext cx="3241562" cy="137392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9</xdr:col>
      <xdr:colOff>246223</xdr:colOff>
      <xdr:row>14</xdr:row>
      <xdr:rowOff>103372</xdr:rowOff>
    </xdr:from>
    <xdr:to>
      <xdr:col>17</xdr:col>
      <xdr:colOff>720508</xdr:colOff>
      <xdr:row>37</xdr:row>
      <xdr:rowOff>18340</xdr:rowOff>
    </xdr:to>
    <xdr:graphicFrame macro="">
      <xdr:nvGraphicFramePr>
        <xdr:cNvPr id="11" name="Chart 10">
          <a:extLst>
            <a:ext uri="{FF2B5EF4-FFF2-40B4-BE49-F238E27FC236}">
              <a16:creationId xmlns:a16="http://schemas.microsoft.com/office/drawing/2014/main" id="{6BD0C0E9-64B5-43AE-9E2D-5C6A67731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78704</xdr:colOff>
      <xdr:row>17</xdr:row>
      <xdr:rowOff>15479</xdr:rowOff>
    </xdr:from>
    <xdr:to>
      <xdr:col>19</xdr:col>
      <xdr:colOff>907824</xdr:colOff>
      <xdr:row>38</xdr:row>
      <xdr:rowOff>92918</xdr:rowOff>
    </xdr:to>
    <xdr:graphicFrame macro="">
      <xdr:nvGraphicFramePr>
        <xdr:cNvPr id="12" name="Chart 11">
          <a:extLst>
            <a:ext uri="{FF2B5EF4-FFF2-40B4-BE49-F238E27FC236}">
              <a16:creationId xmlns:a16="http://schemas.microsoft.com/office/drawing/2014/main" id="{4922BA52-B31A-47F5-B7E4-33562610B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162821</xdr:colOff>
      <xdr:row>14</xdr:row>
      <xdr:rowOff>142522</xdr:rowOff>
    </xdr:from>
    <xdr:to>
      <xdr:col>24</xdr:col>
      <xdr:colOff>107036</xdr:colOff>
      <xdr:row>35</xdr:row>
      <xdr:rowOff>139390</xdr:rowOff>
    </xdr:to>
    <xdr:graphicFrame macro="">
      <xdr:nvGraphicFramePr>
        <xdr:cNvPr id="13" name="Chart 12">
          <a:extLst>
            <a:ext uri="{FF2B5EF4-FFF2-40B4-BE49-F238E27FC236}">
              <a16:creationId xmlns:a16="http://schemas.microsoft.com/office/drawing/2014/main" id="{D8DDFE44-54E2-4CF1-92B3-A5C0A1CDC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191957</xdr:colOff>
      <xdr:row>42</xdr:row>
      <xdr:rowOff>70555</xdr:rowOff>
    </xdr:from>
    <xdr:to>
      <xdr:col>17</xdr:col>
      <xdr:colOff>214924</xdr:colOff>
      <xdr:row>62</xdr:row>
      <xdr:rowOff>141111</xdr:rowOff>
    </xdr:to>
    <xdr:graphicFrame macro="">
      <xdr:nvGraphicFramePr>
        <xdr:cNvPr id="14" name="Chart 13">
          <a:extLst>
            <a:ext uri="{FF2B5EF4-FFF2-40B4-BE49-F238E27FC236}">
              <a16:creationId xmlns:a16="http://schemas.microsoft.com/office/drawing/2014/main" id="{35FD401D-BA9C-45CF-B905-04216C171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810455</xdr:colOff>
      <xdr:row>13</xdr:row>
      <xdr:rowOff>140189</xdr:rowOff>
    </xdr:from>
    <xdr:to>
      <xdr:col>19</xdr:col>
      <xdr:colOff>911795</xdr:colOff>
      <xdr:row>38</xdr:row>
      <xdr:rowOff>139390</xdr:rowOff>
    </xdr:to>
    <xdr:sp macro="" textlink="">
      <xdr:nvSpPr>
        <xdr:cNvPr id="16" name="Rectangle: Rounded Corners 15">
          <a:extLst>
            <a:ext uri="{FF2B5EF4-FFF2-40B4-BE49-F238E27FC236}">
              <a16:creationId xmlns:a16="http://schemas.microsoft.com/office/drawing/2014/main" id="{FDF44F61-62FF-494D-BA48-BCE4A1D5EA52}"/>
            </a:ext>
          </a:extLst>
        </xdr:cNvPr>
        <xdr:cNvSpPr/>
      </xdr:nvSpPr>
      <xdr:spPr>
        <a:xfrm>
          <a:off x="11078870" y="1843848"/>
          <a:ext cx="3818413" cy="3871152"/>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20</xdr:col>
      <xdr:colOff>1</xdr:colOff>
      <xdr:row>14</xdr:row>
      <xdr:rowOff>-1</xdr:rowOff>
    </xdr:from>
    <xdr:to>
      <xdr:col>24</xdr:col>
      <xdr:colOff>195385</xdr:colOff>
      <xdr:row>39</xdr:row>
      <xdr:rowOff>-1</xdr:rowOff>
    </xdr:to>
    <xdr:sp macro="" textlink="">
      <xdr:nvSpPr>
        <xdr:cNvPr id="17" name="Rectangle: Rounded Corners 16">
          <a:extLst>
            <a:ext uri="{FF2B5EF4-FFF2-40B4-BE49-F238E27FC236}">
              <a16:creationId xmlns:a16="http://schemas.microsoft.com/office/drawing/2014/main" id="{06DA61CE-06D6-411D-B166-9ECCF89C35CA}"/>
            </a:ext>
          </a:extLst>
        </xdr:cNvPr>
        <xdr:cNvSpPr/>
      </xdr:nvSpPr>
      <xdr:spPr>
        <a:xfrm>
          <a:off x="15255489" y="1858536"/>
          <a:ext cx="5523189" cy="3871951"/>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xdr:col>
      <xdr:colOff>472180</xdr:colOff>
      <xdr:row>41</xdr:row>
      <xdr:rowOff>28863</xdr:rowOff>
    </xdr:from>
    <xdr:to>
      <xdr:col>17</xdr:col>
      <xdr:colOff>390917</xdr:colOff>
      <xdr:row>63</xdr:row>
      <xdr:rowOff>70554</xdr:rowOff>
    </xdr:to>
    <xdr:sp macro="" textlink="">
      <xdr:nvSpPr>
        <xdr:cNvPr id="25" name="Rectangle: Rounded Corners 24">
          <a:extLst>
            <a:ext uri="{FF2B5EF4-FFF2-40B4-BE49-F238E27FC236}">
              <a16:creationId xmlns:a16="http://schemas.microsoft.com/office/drawing/2014/main" id="{6D4A140E-EA30-476B-893C-82E50A5E8FD6}"/>
            </a:ext>
          </a:extLst>
        </xdr:cNvPr>
        <xdr:cNvSpPr/>
      </xdr:nvSpPr>
      <xdr:spPr>
        <a:xfrm>
          <a:off x="1078316" y="6220113"/>
          <a:ext cx="9616919" cy="4833055"/>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GB" sz="1100">
            <a:solidFill>
              <a:schemeClr val="dk1"/>
            </a:solidFill>
            <a:latin typeface="+mn-lt"/>
            <a:ea typeface="+mn-ea"/>
            <a:cs typeface="+mn-cs"/>
          </a:endParaRPr>
        </a:p>
      </xdr:txBody>
    </xdr:sp>
    <xdr:clientData/>
  </xdr:twoCellAnchor>
  <xdr:twoCellAnchor editAs="oneCell">
    <xdr:from>
      <xdr:col>3</xdr:col>
      <xdr:colOff>49635</xdr:colOff>
      <xdr:row>3</xdr:row>
      <xdr:rowOff>29533</xdr:rowOff>
    </xdr:from>
    <xdr:to>
      <xdr:col>7</xdr:col>
      <xdr:colOff>531627</xdr:colOff>
      <xdr:row>9</xdr:row>
      <xdr:rowOff>50110</xdr:rowOff>
    </xdr:to>
    <xdr:pic>
      <xdr:nvPicPr>
        <xdr:cNvPr id="31" name="Picture 30">
          <a:extLst>
            <a:ext uri="{FF2B5EF4-FFF2-40B4-BE49-F238E27FC236}">
              <a16:creationId xmlns:a16="http://schemas.microsoft.com/office/drawing/2014/main" id="{1034B1D8-D78F-AB73-E658-266B90D6978B}"/>
            </a:ext>
          </a:extLst>
        </xdr:cNvPr>
        <xdr:cNvPicPr>
          <a:picLocks noChangeAspect="1"/>
        </xdr:cNvPicPr>
      </xdr:nvPicPr>
      <xdr:blipFill>
        <a:blip xmlns:r="http://schemas.openxmlformats.org/officeDocument/2006/relationships" r:embed="rId5"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866030" y="516859"/>
          <a:ext cx="2903853" cy="995228"/>
        </a:xfrm>
        <a:prstGeom prst="rect">
          <a:avLst/>
        </a:prstGeom>
      </xdr:spPr>
    </xdr:pic>
    <xdr:clientData/>
  </xdr:twoCellAnchor>
  <xdr:twoCellAnchor>
    <xdr:from>
      <xdr:col>24</xdr:col>
      <xdr:colOff>625379</xdr:colOff>
      <xdr:row>14</xdr:row>
      <xdr:rowOff>81781</xdr:rowOff>
    </xdr:from>
    <xdr:to>
      <xdr:col>32</xdr:col>
      <xdr:colOff>33674</xdr:colOff>
      <xdr:row>20</xdr:row>
      <xdr:rowOff>81782</xdr:rowOff>
    </xdr:to>
    <xdr:sp macro="" textlink="'Tablas dinamicas'!A134">
      <xdr:nvSpPr>
        <xdr:cNvPr id="34" name="Rectangle: Single Corner Rounded 33">
          <a:extLst>
            <a:ext uri="{FF2B5EF4-FFF2-40B4-BE49-F238E27FC236}">
              <a16:creationId xmlns:a16="http://schemas.microsoft.com/office/drawing/2014/main" id="{06183A44-E111-4657-AB78-082CFFB4DE05}"/>
            </a:ext>
          </a:extLst>
        </xdr:cNvPr>
        <xdr:cNvSpPr/>
      </xdr:nvSpPr>
      <xdr:spPr>
        <a:xfrm>
          <a:off x="21262879" y="2371629"/>
          <a:ext cx="6075795" cy="981365"/>
        </a:xfrm>
        <a:prstGeom prst="round1Rect">
          <a:avLst/>
        </a:prstGeom>
        <a:noFill/>
        <a:ln w="19050"/>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6B48D698-A92A-4CEF-A159-2989CED09246}" type="TxLink">
            <a:rPr lang="en-US" sz="2400" b="0" i="0" u="none" strike="noStrike">
              <a:solidFill>
                <a:schemeClr val="bg1"/>
              </a:solidFill>
              <a:latin typeface="Arial"/>
              <a:cs typeface="Arial"/>
            </a:rPr>
            <a:pPr algn="ctr"/>
            <a:t>360494.14</a:t>
          </a:fld>
          <a:endParaRPr lang="en-GB" sz="2400">
            <a:solidFill>
              <a:schemeClr val="bg1"/>
            </a:solidFill>
          </a:endParaRPr>
        </a:p>
      </xdr:txBody>
    </xdr:sp>
    <xdr:clientData/>
  </xdr:twoCellAnchor>
  <xdr:twoCellAnchor editAs="oneCell">
    <xdr:from>
      <xdr:col>30</xdr:col>
      <xdr:colOff>46182</xdr:colOff>
      <xdr:row>15</xdr:row>
      <xdr:rowOff>33673</xdr:rowOff>
    </xdr:from>
    <xdr:to>
      <xdr:col>31</xdr:col>
      <xdr:colOff>331932</xdr:colOff>
      <xdr:row>20</xdr:row>
      <xdr:rowOff>21032</xdr:rowOff>
    </xdr:to>
    <xdr:pic>
      <xdr:nvPicPr>
        <xdr:cNvPr id="35" name="Picture 34">
          <a:extLst>
            <a:ext uri="{FF2B5EF4-FFF2-40B4-BE49-F238E27FC236}">
              <a16:creationId xmlns:a16="http://schemas.microsoft.com/office/drawing/2014/main" id="{34A76364-4D4E-47D7-B7DC-694CB0B09C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138909" y="2487082"/>
          <a:ext cx="891887" cy="805162"/>
        </a:xfrm>
        <a:prstGeom prst="rect">
          <a:avLst/>
        </a:prstGeom>
      </xdr:spPr>
    </xdr:pic>
    <xdr:clientData/>
  </xdr:twoCellAnchor>
  <xdr:twoCellAnchor>
    <xdr:from>
      <xdr:col>24</xdr:col>
      <xdr:colOff>1096819</xdr:colOff>
      <xdr:row>15</xdr:row>
      <xdr:rowOff>43295</xdr:rowOff>
    </xdr:from>
    <xdr:to>
      <xdr:col>30</xdr:col>
      <xdr:colOff>519545</xdr:colOff>
      <xdr:row>18</xdr:row>
      <xdr:rowOff>57726</xdr:rowOff>
    </xdr:to>
    <xdr:sp macro="" textlink="">
      <xdr:nvSpPr>
        <xdr:cNvPr id="36" name="TextBox 35">
          <a:extLst>
            <a:ext uri="{FF2B5EF4-FFF2-40B4-BE49-F238E27FC236}">
              <a16:creationId xmlns:a16="http://schemas.microsoft.com/office/drawing/2014/main" id="{FB6D082C-C457-70F5-92CD-3A3A21ABC6E4}"/>
            </a:ext>
          </a:extLst>
        </xdr:cNvPr>
        <xdr:cNvSpPr txBox="1"/>
      </xdr:nvSpPr>
      <xdr:spPr>
        <a:xfrm>
          <a:off x="21734319" y="2496704"/>
          <a:ext cx="4877953" cy="505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200">
              <a:solidFill>
                <a:schemeClr val="bg1"/>
              </a:solidFill>
            </a:rPr>
            <a:t>Emisiones totales CO2 eq (Kg)</a:t>
          </a:r>
        </a:p>
      </xdr:txBody>
    </xdr:sp>
    <xdr:clientData/>
  </xdr:twoCellAnchor>
  <xdr:twoCellAnchor>
    <xdr:from>
      <xdr:col>24</xdr:col>
      <xdr:colOff>647251</xdr:colOff>
      <xdr:row>22</xdr:row>
      <xdr:rowOff>56530</xdr:rowOff>
    </xdr:from>
    <xdr:to>
      <xdr:col>27</xdr:col>
      <xdr:colOff>440544</xdr:colOff>
      <xdr:row>29</xdr:row>
      <xdr:rowOff>101848</xdr:rowOff>
    </xdr:to>
    <xdr:sp macro="" textlink="'Tablas dinamicas'!A121">
      <xdr:nvSpPr>
        <xdr:cNvPr id="37" name="Rectangle: Single Corner Rounded 36">
          <a:extLst>
            <a:ext uri="{FF2B5EF4-FFF2-40B4-BE49-F238E27FC236}">
              <a16:creationId xmlns:a16="http://schemas.microsoft.com/office/drawing/2014/main" id="{FE78C2C5-AED2-4591-99CE-74115875E466}"/>
            </a:ext>
          </a:extLst>
        </xdr:cNvPr>
        <xdr:cNvSpPr/>
      </xdr:nvSpPr>
      <xdr:spPr>
        <a:xfrm>
          <a:off x="21352484" y="3595597"/>
          <a:ext cx="2947127" cy="1171384"/>
        </a:xfrm>
        <a:prstGeom prst="round1Rect">
          <a:avLst/>
        </a:prstGeom>
        <a:noFill/>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fld id="{71AB852A-41D4-47EF-A0F9-609F5D1E203C}" type="TxLink">
            <a:rPr lang="en-US" sz="3000" b="0" i="0" u="none" strike="noStrike">
              <a:solidFill>
                <a:schemeClr val="bg2"/>
              </a:solidFill>
              <a:latin typeface="Arial"/>
              <a:cs typeface="Arial"/>
            </a:rPr>
            <a:pPr algn="l"/>
            <a:t>2002337.03</a:t>
          </a:fld>
          <a:endParaRPr lang="en-GB" sz="3000">
            <a:solidFill>
              <a:schemeClr val="bg2"/>
            </a:solidFill>
          </a:endParaRPr>
        </a:p>
      </xdr:txBody>
    </xdr:sp>
    <xdr:clientData/>
  </xdr:twoCellAnchor>
  <xdr:twoCellAnchor>
    <xdr:from>
      <xdr:col>24</xdr:col>
      <xdr:colOff>615894</xdr:colOff>
      <xdr:row>23</xdr:row>
      <xdr:rowOff>13844</xdr:rowOff>
    </xdr:from>
    <xdr:to>
      <xdr:col>27</xdr:col>
      <xdr:colOff>69794</xdr:colOff>
      <xdr:row>25</xdr:row>
      <xdr:rowOff>140313</xdr:rowOff>
    </xdr:to>
    <xdr:sp macro="" textlink="">
      <xdr:nvSpPr>
        <xdr:cNvPr id="43" name="TextBox 42">
          <a:extLst>
            <a:ext uri="{FF2B5EF4-FFF2-40B4-BE49-F238E27FC236}">
              <a16:creationId xmlns:a16="http://schemas.microsoft.com/office/drawing/2014/main" id="{6C5EF2E0-A3A1-5EB1-7F63-029C8B8B7577}"/>
            </a:ext>
          </a:extLst>
        </xdr:cNvPr>
        <xdr:cNvSpPr txBox="1"/>
      </xdr:nvSpPr>
      <xdr:spPr>
        <a:xfrm>
          <a:off x="21321127" y="3713777"/>
          <a:ext cx="2607734" cy="448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Electricidad</a:t>
          </a:r>
          <a:r>
            <a:rPr lang="en-GB" sz="2000" baseline="0">
              <a:solidFill>
                <a:schemeClr val="bg1"/>
              </a:solidFill>
            </a:rPr>
            <a:t> (KwH)</a:t>
          </a:r>
          <a:endParaRPr lang="en-GB" sz="2000">
            <a:solidFill>
              <a:schemeClr val="bg1"/>
            </a:solidFill>
          </a:endParaRPr>
        </a:p>
      </xdr:txBody>
    </xdr:sp>
    <xdr:clientData/>
  </xdr:twoCellAnchor>
  <xdr:twoCellAnchor editAs="oneCell">
    <xdr:from>
      <xdr:col>26</xdr:col>
      <xdr:colOff>529167</xdr:colOff>
      <xdr:row>24</xdr:row>
      <xdr:rowOff>95543</xdr:rowOff>
    </xdr:from>
    <xdr:to>
      <xdr:col>27</xdr:col>
      <xdr:colOff>313265</xdr:colOff>
      <xdr:row>28</xdr:row>
      <xdr:rowOff>127632</xdr:rowOff>
    </xdr:to>
    <xdr:pic>
      <xdr:nvPicPr>
        <xdr:cNvPr id="45" name="Picture 44">
          <a:extLst>
            <a:ext uri="{FF2B5EF4-FFF2-40B4-BE49-F238E27FC236}">
              <a16:creationId xmlns:a16="http://schemas.microsoft.com/office/drawing/2014/main" id="{43F859A8-FFC7-41B4-B56F-F5D461CD82B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516167" y="3956343"/>
          <a:ext cx="656165" cy="675556"/>
        </a:xfrm>
        <a:prstGeom prst="rect">
          <a:avLst/>
        </a:prstGeom>
      </xdr:spPr>
    </xdr:pic>
    <xdr:clientData/>
  </xdr:twoCellAnchor>
  <xdr:twoCellAnchor>
    <xdr:from>
      <xdr:col>28</xdr:col>
      <xdr:colOff>10823</xdr:colOff>
      <xdr:row>22</xdr:row>
      <xdr:rowOff>84416</xdr:rowOff>
    </xdr:from>
    <xdr:to>
      <xdr:col>32</xdr:col>
      <xdr:colOff>15783</xdr:colOff>
      <xdr:row>29</xdr:row>
      <xdr:rowOff>105833</xdr:rowOff>
    </xdr:to>
    <xdr:sp macro="" textlink="'Tablas dinamicas'!A126">
      <xdr:nvSpPr>
        <xdr:cNvPr id="48" name="Rectangle: Single Corner Rounded 47">
          <a:extLst>
            <a:ext uri="{FF2B5EF4-FFF2-40B4-BE49-F238E27FC236}">
              <a16:creationId xmlns:a16="http://schemas.microsoft.com/office/drawing/2014/main" id="{356A11E0-A670-44D8-921A-B42101C6E31F}"/>
            </a:ext>
          </a:extLst>
        </xdr:cNvPr>
        <xdr:cNvSpPr/>
      </xdr:nvSpPr>
      <xdr:spPr>
        <a:xfrm>
          <a:off x="24381353" y="3682749"/>
          <a:ext cx="2939430" cy="1166342"/>
        </a:xfrm>
        <a:prstGeom prst="round1Rect">
          <a:avLst/>
        </a:prstGeom>
        <a:noFill/>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fld id="{930CB73B-E1B2-4715-B50A-AB5FF7736F4E}" type="TxLink">
            <a:rPr lang="en-US" sz="3000" b="0" i="0" u="none" strike="noStrike">
              <a:solidFill>
                <a:schemeClr val="bg2"/>
              </a:solidFill>
              <a:latin typeface="Arial"/>
              <a:cs typeface="Arial"/>
            </a:rPr>
            <a:pPr algn="l"/>
            <a:t>15314.09</a:t>
          </a:fld>
          <a:endParaRPr lang="en-GB" sz="3000">
            <a:solidFill>
              <a:schemeClr val="bg2"/>
            </a:solidFill>
          </a:endParaRPr>
        </a:p>
      </xdr:txBody>
    </xdr:sp>
    <xdr:clientData/>
  </xdr:twoCellAnchor>
  <xdr:twoCellAnchor>
    <xdr:from>
      <xdr:col>28</xdr:col>
      <xdr:colOff>14432</xdr:colOff>
      <xdr:row>22</xdr:row>
      <xdr:rowOff>158750</xdr:rowOff>
    </xdr:from>
    <xdr:to>
      <xdr:col>31</xdr:col>
      <xdr:colOff>276514</xdr:colOff>
      <xdr:row>25</xdr:row>
      <xdr:rowOff>123473</xdr:rowOff>
    </xdr:to>
    <xdr:sp macro="" textlink="">
      <xdr:nvSpPr>
        <xdr:cNvPr id="49" name="TextBox 48">
          <a:extLst>
            <a:ext uri="{FF2B5EF4-FFF2-40B4-BE49-F238E27FC236}">
              <a16:creationId xmlns:a16="http://schemas.microsoft.com/office/drawing/2014/main" id="{0C69CA24-A62A-4A30-9673-4A7BFD25BAD2}"/>
            </a:ext>
          </a:extLst>
        </xdr:cNvPr>
        <xdr:cNvSpPr txBox="1"/>
      </xdr:nvSpPr>
      <xdr:spPr>
        <a:xfrm>
          <a:off x="24384962" y="3757083"/>
          <a:ext cx="2590416" cy="455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Calor (Therms)</a:t>
          </a:r>
        </a:p>
      </xdr:txBody>
    </xdr:sp>
    <xdr:clientData/>
  </xdr:twoCellAnchor>
  <xdr:twoCellAnchor editAs="oneCell">
    <xdr:from>
      <xdr:col>30</xdr:col>
      <xdr:colOff>310392</xdr:colOff>
      <xdr:row>24</xdr:row>
      <xdr:rowOff>43492</xdr:rowOff>
    </xdr:from>
    <xdr:to>
      <xdr:col>31</xdr:col>
      <xdr:colOff>333709</xdr:colOff>
      <xdr:row>28</xdr:row>
      <xdr:rowOff>48846</xdr:rowOff>
    </xdr:to>
    <xdr:pic>
      <xdr:nvPicPr>
        <xdr:cNvPr id="53" name="Picture 52">
          <a:extLst>
            <a:ext uri="{FF2B5EF4-FFF2-40B4-BE49-F238E27FC236}">
              <a16:creationId xmlns:a16="http://schemas.microsoft.com/office/drawing/2014/main" id="{B25EF820-3260-8104-4554-925878DC5C2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6403119" y="3968947"/>
          <a:ext cx="629454" cy="659596"/>
        </a:xfrm>
        <a:prstGeom prst="rect">
          <a:avLst/>
        </a:prstGeom>
      </xdr:spPr>
    </xdr:pic>
    <xdr:clientData/>
  </xdr:twoCellAnchor>
  <xdr:twoCellAnchor>
    <xdr:from>
      <xdr:col>24</xdr:col>
      <xdr:colOff>650481</xdr:colOff>
      <xdr:row>31</xdr:row>
      <xdr:rowOff>77327</xdr:rowOff>
    </xdr:from>
    <xdr:to>
      <xdr:col>27</xdr:col>
      <xdr:colOff>443774</xdr:colOff>
      <xdr:row>38</xdr:row>
      <xdr:rowOff>117436</xdr:rowOff>
    </xdr:to>
    <xdr:sp macro="" textlink="'Tablas dinamicas'!E121">
      <xdr:nvSpPr>
        <xdr:cNvPr id="54" name="Rectangle: Single Corner Rounded 53">
          <a:extLst>
            <a:ext uri="{FF2B5EF4-FFF2-40B4-BE49-F238E27FC236}">
              <a16:creationId xmlns:a16="http://schemas.microsoft.com/office/drawing/2014/main" id="{137E4CAD-AE44-4B47-BA0B-6D5F658556E8}"/>
            </a:ext>
          </a:extLst>
        </xdr:cNvPr>
        <xdr:cNvSpPr/>
      </xdr:nvSpPr>
      <xdr:spPr>
        <a:xfrm>
          <a:off x="21358879" y="4725774"/>
          <a:ext cx="2943633" cy="1162147"/>
        </a:xfrm>
        <a:prstGeom prst="round1Rect">
          <a:avLst/>
        </a:prstGeom>
        <a:noFill/>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fld id="{C8150F00-ECF8-464F-9C4C-6189FB1C939C}" type="TxLink">
            <a:rPr lang="en-US" sz="3000" b="0" i="0" u="none" strike="noStrike">
              <a:solidFill>
                <a:schemeClr val="bg2"/>
              </a:solidFill>
              <a:latin typeface="Arial"/>
              <a:cs typeface="Arial"/>
            </a:rPr>
            <a:pPr algn="l"/>
            <a:t>241824.25</a:t>
          </a:fld>
          <a:endParaRPr lang="en-GB" sz="3000">
            <a:solidFill>
              <a:schemeClr val="bg2"/>
            </a:solidFill>
          </a:endParaRPr>
        </a:p>
      </xdr:txBody>
    </xdr:sp>
    <xdr:clientData/>
  </xdr:twoCellAnchor>
  <xdr:twoCellAnchor>
    <xdr:from>
      <xdr:col>24</xdr:col>
      <xdr:colOff>651282</xdr:colOff>
      <xdr:row>32</xdr:row>
      <xdr:rowOff>34946</xdr:rowOff>
    </xdr:from>
    <xdr:to>
      <xdr:col>27</xdr:col>
      <xdr:colOff>105182</xdr:colOff>
      <xdr:row>34</xdr:row>
      <xdr:rowOff>154546</xdr:rowOff>
    </xdr:to>
    <xdr:sp macro="" textlink="">
      <xdr:nvSpPr>
        <xdr:cNvPr id="55" name="TextBox 54">
          <a:extLst>
            <a:ext uri="{FF2B5EF4-FFF2-40B4-BE49-F238E27FC236}">
              <a16:creationId xmlns:a16="http://schemas.microsoft.com/office/drawing/2014/main" id="{B32D82C3-C23C-48A4-A473-3BCAD6D600BE}"/>
            </a:ext>
          </a:extLst>
        </xdr:cNvPr>
        <xdr:cNvSpPr txBox="1"/>
      </xdr:nvSpPr>
      <xdr:spPr>
        <a:xfrm>
          <a:off x="21234575" y="4681287"/>
          <a:ext cx="2597924" cy="42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Residuos</a:t>
          </a:r>
          <a:r>
            <a:rPr lang="en-GB" sz="2000" baseline="0">
              <a:solidFill>
                <a:schemeClr val="bg1"/>
              </a:solidFill>
            </a:rPr>
            <a:t> (Kg)</a:t>
          </a:r>
          <a:endParaRPr lang="en-GB" sz="2000">
            <a:solidFill>
              <a:schemeClr val="bg1"/>
            </a:solidFill>
          </a:endParaRPr>
        </a:p>
      </xdr:txBody>
    </xdr:sp>
    <xdr:clientData/>
  </xdr:twoCellAnchor>
  <xdr:twoCellAnchor editAs="oneCell">
    <xdr:from>
      <xdr:col>26</xdr:col>
      <xdr:colOff>425177</xdr:colOff>
      <xdr:row>32</xdr:row>
      <xdr:rowOff>146946</xdr:rowOff>
    </xdr:from>
    <xdr:to>
      <xdr:col>27</xdr:col>
      <xdr:colOff>314858</xdr:colOff>
      <xdr:row>37</xdr:row>
      <xdr:rowOff>98641</xdr:rowOff>
    </xdr:to>
    <xdr:pic>
      <xdr:nvPicPr>
        <xdr:cNvPr id="65" name="Picture 64">
          <a:extLst>
            <a:ext uri="{FF2B5EF4-FFF2-40B4-BE49-F238E27FC236}">
              <a16:creationId xmlns:a16="http://schemas.microsoft.com/office/drawing/2014/main" id="{132EB334-A092-284C-6314-C865521EC5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329479" y="5345086"/>
          <a:ext cx="760960" cy="763904"/>
        </a:xfrm>
        <a:prstGeom prst="rect">
          <a:avLst/>
        </a:prstGeom>
      </xdr:spPr>
    </xdr:pic>
    <xdr:clientData/>
  </xdr:twoCellAnchor>
  <xdr:twoCellAnchor>
    <xdr:from>
      <xdr:col>28</xdr:col>
      <xdr:colOff>21231</xdr:colOff>
      <xdr:row>31</xdr:row>
      <xdr:rowOff>104807</xdr:rowOff>
    </xdr:from>
    <xdr:to>
      <xdr:col>32</xdr:col>
      <xdr:colOff>26191</xdr:colOff>
      <xdr:row>38</xdr:row>
      <xdr:rowOff>104807</xdr:rowOff>
    </xdr:to>
    <xdr:sp macro="" textlink="'Tablas dinamicas'!E126">
      <xdr:nvSpPr>
        <xdr:cNvPr id="66" name="Rectangle: Single Corner Rounded 65">
          <a:extLst>
            <a:ext uri="{FF2B5EF4-FFF2-40B4-BE49-F238E27FC236}">
              <a16:creationId xmlns:a16="http://schemas.microsoft.com/office/drawing/2014/main" id="{E7273469-DA77-4D42-8965-E2073EF71890}"/>
            </a:ext>
          </a:extLst>
        </xdr:cNvPr>
        <xdr:cNvSpPr/>
      </xdr:nvSpPr>
      <xdr:spPr>
        <a:xfrm>
          <a:off x="24464498" y="5091674"/>
          <a:ext cx="2947126" cy="1126066"/>
        </a:xfrm>
        <a:prstGeom prst="round1Rect">
          <a:avLst/>
        </a:prstGeom>
        <a:noFill/>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fld id="{B2EB49FE-51E2-4B86-8F2E-4E38B0102FF8}" type="TxLink">
            <a:rPr lang="en-US" sz="3000" b="0" i="0" u="none" strike="noStrike">
              <a:solidFill>
                <a:schemeClr val="bg2"/>
              </a:solidFill>
              <a:latin typeface="Arial"/>
              <a:cs typeface="Arial"/>
            </a:rPr>
            <a:pPr algn="l"/>
            <a:t>81289.40</a:t>
          </a:fld>
          <a:endParaRPr lang="en-GB" sz="3000">
            <a:solidFill>
              <a:schemeClr val="bg2"/>
            </a:solidFill>
          </a:endParaRPr>
        </a:p>
      </xdr:txBody>
    </xdr:sp>
    <xdr:clientData/>
  </xdr:twoCellAnchor>
  <xdr:twoCellAnchor>
    <xdr:from>
      <xdr:col>28</xdr:col>
      <xdr:colOff>22792</xdr:colOff>
      <xdr:row>32</xdr:row>
      <xdr:rowOff>31648</xdr:rowOff>
    </xdr:from>
    <xdr:to>
      <xdr:col>31</xdr:col>
      <xdr:colOff>295751</xdr:colOff>
      <xdr:row>34</xdr:row>
      <xdr:rowOff>152822</xdr:rowOff>
    </xdr:to>
    <xdr:sp macro="" textlink="">
      <xdr:nvSpPr>
        <xdr:cNvPr id="67" name="TextBox 66">
          <a:extLst>
            <a:ext uri="{FF2B5EF4-FFF2-40B4-BE49-F238E27FC236}">
              <a16:creationId xmlns:a16="http://schemas.microsoft.com/office/drawing/2014/main" id="{66CF6E0D-6F8A-4B2C-AB8C-CA0ABCD75004}"/>
            </a:ext>
          </a:extLst>
        </xdr:cNvPr>
        <xdr:cNvSpPr txBox="1"/>
      </xdr:nvSpPr>
      <xdr:spPr>
        <a:xfrm>
          <a:off x="24466059" y="5179381"/>
          <a:ext cx="2605525" cy="442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Agua (m3)</a:t>
          </a:r>
        </a:p>
      </xdr:txBody>
    </xdr:sp>
    <xdr:clientData/>
  </xdr:twoCellAnchor>
  <xdr:twoCellAnchor editAs="oneCell">
    <xdr:from>
      <xdr:col>30</xdr:col>
      <xdr:colOff>197097</xdr:colOff>
      <xdr:row>32</xdr:row>
      <xdr:rowOff>70495</xdr:rowOff>
    </xdr:from>
    <xdr:to>
      <xdr:col>31</xdr:col>
      <xdr:colOff>388642</xdr:colOff>
      <xdr:row>37</xdr:row>
      <xdr:rowOff>86311</xdr:rowOff>
    </xdr:to>
    <xdr:pic>
      <xdr:nvPicPr>
        <xdr:cNvPr id="69" name="Picture 68">
          <a:extLst>
            <a:ext uri="{FF2B5EF4-FFF2-40B4-BE49-F238E27FC236}">
              <a16:creationId xmlns:a16="http://schemas.microsoft.com/office/drawing/2014/main" id="{325BED87-C91C-EF43-6B39-C7A8BFB4278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6276399" y="5268635"/>
          <a:ext cx="797010" cy="828025"/>
        </a:xfrm>
        <a:prstGeom prst="rect">
          <a:avLst/>
        </a:prstGeom>
      </xdr:spPr>
    </xdr:pic>
    <xdr:clientData/>
  </xdr:twoCellAnchor>
  <xdr:twoCellAnchor>
    <xdr:from>
      <xdr:col>24</xdr:col>
      <xdr:colOff>615419</xdr:colOff>
      <xdr:row>41</xdr:row>
      <xdr:rowOff>52670</xdr:rowOff>
    </xdr:from>
    <xdr:to>
      <xdr:col>32</xdr:col>
      <xdr:colOff>36562</xdr:colOff>
      <xdr:row>63</xdr:row>
      <xdr:rowOff>77439</xdr:rowOff>
    </xdr:to>
    <xdr:sp macro="" textlink="">
      <xdr:nvSpPr>
        <xdr:cNvPr id="70" name="Rectangle: Rounded Corners 69">
          <a:extLst>
            <a:ext uri="{FF2B5EF4-FFF2-40B4-BE49-F238E27FC236}">
              <a16:creationId xmlns:a16="http://schemas.microsoft.com/office/drawing/2014/main" id="{7DE3DAC0-CF0A-495A-8CD7-1E3DFE8FDB1A}"/>
            </a:ext>
          </a:extLst>
        </xdr:cNvPr>
        <xdr:cNvSpPr/>
      </xdr:nvSpPr>
      <xdr:spPr>
        <a:xfrm>
          <a:off x="21198712" y="6092914"/>
          <a:ext cx="6080899" cy="4671110"/>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24</xdr:col>
      <xdr:colOff>387195</xdr:colOff>
      <xdr:row>42</xdr:row>
      <xdr:rowOff>119635</xdr:rowOff>
    </xdr:from>
    <xdr:to>
      <xdr:col>32</xdr:col>
      <xdr:colOff>588537</xdr:colOff>
      <xdr:row>62</xdr:row>
      <xdr:rowOff>30976</xdr:rowOff>
    </xdr:to>
    <xdr:graphicFrame macro="">
      <xdr:nvGraphicFramePr>
        <xdr:cNvPr id="71" name="Chart 70">
          <a:extLst>
            <a:ext uri="{FF2B5EF4-FFF2-40B4-BE49-F238E27FC236}">
              <a16:creationId xmlns:a16="http://schemas.microsoft.com/office/drawing/2014/main" id="{1A63F0CE-6B21-488D-9055-FF812C90F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997518</xdr:colOff>
      <xdr:row>45</xdr:row>
      <xdr:rowOff>25499</xdr:rowOff>
    </xdr:from>
    <xdr:to>
      <xdr:col>31</xdr:col>
      <xdr:colOff>108415</xdr:colOff>
      <xdr:row>57</xdr:row>
      <xdr:rowOff>139390</xdr:rowOff>
    </xdr:to>
    <xdr:graphicFrame macro="">
      <xdr:nvGraphicFramePr>
        <xdr:cNvPr id="72" name="Chart 71">
          <a:extLst>
            <a:ext uri="{FF2B5EF4-FFF2-40B4-BE49-F238E27FC236}">
              <a16:creationId xmlns:a16="http://schemas.microsoft.com/office/drawing/2014/main" id="{D57F0AE2-D6D5-4570-92B2-1F2B2D3A1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288638</xdr:colOff>
      <xdr:row>12</xdr:row>
      <xdr:rowOff>57728</xdr:rowOff>
    </xdr:from>
    <xdr:to>
      <xdr:col>12</xdr:col>
      <xdr:colOff>173182</xdr:colOff>
      <xdr:row>14</xdr:row>
      <xdr:rowOff>28864</xdr:rowOff>
    </xdr:to>
    <xdr:sp macro="" textlink="">
      <xdr:nvSpPr>
        <xdr:cNvPr id="73" name="TextBox 72">
          <a:extLst>
            <a:ext uri="{FF2B5EF4-FFF2-40B4-BE49-F238E27FC236}">
              <a16:creationId xmlns:a16="http://schemas.microsoft.com/office/drawing/2014/main" id="{6E3525D0-9D46-2D81-EC80-EB7420B2D34B}"/>
            </a:ext>
          </a:extLst>
        </xdr:cNvPr>
        <xdr:cNvSpPr txBox="1"/>
      </xdr:nvSpPr>
      <xdr:spPr>
        <a:xfrm>
          <a:off x="3925456" y="1327728"/>
          <a:ext cx="3521362"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6"/>
              </a:solidFill>
            </a:rPr>
            <a:t>Emisiones por empresa CO2 eq (Kg)</a:t>
          </a:r>
        </a:p>
      </xdr:txBody>
    </xdr:sp>
    <xdr:clientData/>
  </xdr:twoCellAnchor>
  <xdr:twoCellAnchor>
    <xdr:from>
      <xdr:col>18</xdr:col>
      <xdr:colOff>2243645</xdr:colOff>
      <xdr:row>42</xdr:row>
      <xdr:rowOff>158317</xdr:rowOff>
    </xdr:from>
    <xdr:to>
      <xdr:col>23</xdr:col>
      <xdr:colOff>103373</xdr:colOff>
      <xdr:row>45</xdr:row>
      <xdr:rowOff>29535</xdr:rowOff>
    </xdr:to>
    <xdr:sp macro="" textlink="">
      <xdr:nvSpPr>
        <xdr:cNvPr id="74" name="TextBox 73">
          <a:extLst>
            <a:ext uri="{FF2B5EF4-FFF2-40B4-BE49-F238E27FC236}">
              <a16:creationId xmlns:a16="http://schemas.microsoft.com/office/drawing/2014/main" id="{33BEC5B5-7502-252E-CFED-071864608BE2}"/>
            </a:ext>
          </a:extLst>
        </xdr:cNvPr>
        <xdr:cNvSpPr txBox="1"/>
      </xdr:nvSpPr>
      <xdr:spPr>
        <a:xfrm>
          <a:off x="13585040" y="6980875"/>
          <a:ext cx="5583100" cy="358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accent6"/>
              </a:solidFill>
            </a:rPr>
            <a:t>Emisiones totales por ingresos y por empleados (2023)</a:t>
          </a:r>
        </a:p>
      </xdr:txBody>
    </xdr:sp>
    <xdr:clientData/>
  </xdr:twoCellAnchor>
  <xdr:twoCellAnchor>
    <xdr:from>
      <xdr:col>9</xdr:col>
      <xdr:colOff>229904</xdr:colOff>
      <xdr:row>2</xdr:row>
      <xdr:rowOff>144988</xdr:rowOff>
    </xdr:from>
    <xdr:to>
      <xdr:col>17</xdr:col>
      <xdr:colOff>531628</xdr:colOff>
      <xdr:row>10</xdr:row>
      <xdr:rowOff>11409</xdr:rowOff>
    </xdr:to>
    <xdr:sp macro="" textlink="">
      <xdr:nvSpPr>
        <xdr:cNvPr id="75" name="TextBox 74">
          <a:extLst>
            <a:ext uri="{FF2B5EF4-FFF2-40B4-BE49-F238E27FC236}">
              <a16:creationId xmlns:a16="http://schemas.microsoft.com/office/drawing/2014/main" id="{64AEBD16-432B-A0AB-F585-287778EEE06F}"/>
            </a:ext>
          </a:extLst>
        </xdr:cNvPr>
        <xdr:cNvSpPr txBox="1"/>
      </xdr:nvSpPr>
      <xdr:spPr>
        <a:xfrm>
          <a:off x="5679090" y="469872"/>
          <a:ext cx="5145445" cy="1165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solidFill>
                <a:schemeClr val="bg1"/>
              </a:solidFill>
              <a:latin typeface="Arial Nova Cond" panose="020F0502020204030204" pitchFamily="34" charset="0"/>
            </a:rPr>
            <a:t>Cálculo huella de Carbono</a:t>
          </a:r>
          <a:r>
            <a:rPr lang="en-GB" sz="3200" baseline="0">
              <a:solidFill>
                <a:schemeClr val="bg1"/>
              </a:solidFill>
              <a:latin typeface="Arial Nova Cond" panose="020F0502020204030204" pitchFamily="34" charset="0"/>
            </a:rPr>
            <a:t> </a:t>
          </a:r>
        </a:p>
        <a:p>
          <a:r>
            <a:rPr lang="en-GB" sz="3200" baseline="0">
              <a:solidFill>
                <a:schemeClr val="bg1"/>
              </a:solidFill>
              <a:latin typeface="Arial Nova Cond" panose="020F0502020204030204" pitchFamily="34" charset="0"/>
            </a:rPr>
            <a:t>         Grupo Dcycle</a:t>
          </a:r>
          <a:endParaRPr lang="en-GB" sz="3200">
            <a:solidFill>
              <a:schemeClr val="bg1"/>
            </a:solidFill>
            <a:latin typeface="Arial Nova Cond" panose="020F0502020204030204" pitchFamily="34" charset="0"/>
          </a:endParaRPr>
        </a:p>
      </xdr:txBody>
    </xdr:sp>
    <xdr:clientData/>
  </xdr:twoCellAnchor>
  <xdr:twoCellAnchor>
    <xdr:from>
      <xdr:col>9</xdr:col>
      <xdr:colOff>16466</xdr:colOff>
      <xdr:row>6</xdr:row>
      <xdr:rowOff>59239</xdr:rowOff>
    </xdr:from>
    <xdr:to>
      <xdr:col>16</xdr:col>
      <xdr:colOff>608296</xdr:colOff>
      <xdr:row>6</xdr:row>
      <xdr:rowOff>68908</xdr:rowOff>
    </xdr:to>
    <xdr:cxnSp macro="">
      <xdr:nvCxnSpPr>
        <xdr:cNvPr id="79" name="Straight Connector 78">
          <a:extLst>
            <a:ext uri="{FF2B5EF4-FFF2-40B4-BE49-F238E27FC236}">
              <a16:creationId xmlns:a16="http://schemas.microsoft.com/office/drawing/2014/main" id="{132610E8-7086-BA39-4DCB-E208833BA534}"/>
            </a:ext>
          </a:extLst>
        </xdr:cNvPr>
        <xdr:cNvCxnSpPr/>
      </xdr:nvCxnSpPr>
      <xdr:spPr>
        <a:xfrm>
          <a:off x="5534397" y="1022687"/>
          <a:ext cx="4883554" cy="966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70553</xdr:colOff>
      <xdr:row>15</xdr:row>
      <xdr:rowOff>42333</xdr:rowOff>
    </xdr:from>
    <xdr:to>
      <xdr:col>10</xdr:col>
      <xdr:colOff>101021</xdr:colOff>
      <xdr:row>38</xdr:row>
      <xdr:rowOff>43294</xdr:rowOff>
    </xdr:to>
    <xdr:graphicFrame macro="">
      <xdr:nvGraphicFramePr>
        <xdr:cNvPr id="80" name="Chart 79">
          <a:extLst>
            <a:ext uri="{FF2B5EF4-FFF2-40B4-BE49-F238E27FC236}">
              <a16:creationId xmlns:a16="http://schemas.microsoft.com/office/drawing/2014/main" id="{5F0E2557-53B1-4E0D-A45F-D2F6B1B71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494694</xdr:colOff>
      <xdr:row>11</xdr:row>
      <xdr:rowOff>144318</xdr:rowOff>
    </xdr:from>
    <xdr:to>
      <xdr:col>17</xdr:col>
      <xdr:colOff>413431</xdr:colOff>
      <xdr:row>40</xdr:row>
      <xdr:rowOff>49773</xdr:rowOff>
    </xdr:to>
    <xdr:sp macro="" textlink="">
      <xdr:nvSpPr>
        <xdr:cNvPr id="5" name="Rectangle: Rounded Corners 4">
          <a:extLst>
            <a:ext uri="{FF2B5EF4-FFF2-40B4-BE49-F238E27FC236}">
              <a16:creationId xmlns:a16="http://schemas.microsoft.com/office/drawing/2014/main" id="{77C8EC1F-E471-4950-8C87-1F4CE90BFA1C}"/>
            </a:ext>
          </a:extLst>
        </xdr:cNvPr>
        <xdr:cNvSpPr/>
      </xdr:nvSpPr>
      <xdr:spPr>
        <a:xfrm>
          <a:off x="1100830" y="1573068"/>
          <a:ext cx="9616919" cy="4509205"/>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GB" sz="1100">
            <a:solidFill>
              <a:schemeClr val="dk1"/>
            </a:solidFill>
            <a:latin typeface="+mn-lt"/>
            <a:ea typeface="+mn-ea"/>
            <a:cs typeface="+mn-cs"/>
          </a:endParaRPr>
        </a:p>
      </xdr:txBody>
    </xdr:sp>
    <xdr:clientData/>
  </xdr:twoCellAnchor>
  <xdr:twoCellAnchor>
    <xdr:from>
      <xdr:col>17</xdr:col>
      <xdr:colOff>768558</xdr:colOff>
      <xdr:row>41</xdr:row>
      <xdr:rowOff>40479</xdr:rowOff>
    </xdr:from>
    <xdr:to>
      <xdr:col>24</xdr:col>
      <xdr:colOff>185854</xdr:colOff>
      <xdr:row>63</xdr:row>
      <xdr:rowOff>82170</xdr:rowOff>
    </xdr:to>
    <xdr:sp macro="" textlink="">
      <xdr:nvSpPr>
        <xdr:cNvPr id="10" name="Rectangle: Rounded Corners 9">
          <a:extLst>
            <a:ext uri="{FF2B5EF4-FFF2-40B4-BE49-F238E27FC236}">
              <a16:creationId xmlns:a16="http://schemas.microsoft.com/office/drawing/2014/main" id="{2C515346-1433-4253-B78D-B1D2369F8D47}"/>
            </a:ext>
          </a:extLst>
        </xdr:cNvPr>
        <xdr:cNvSpPr/>
      </xdr:nvSpPr>
      <xdr:spPr>
        <a:xfrm>
          <a:off x="11036973" y="6080723"/>
          <a:ext cx="9732174" cy="4378276"/>
        </a:xfrm>
        <a:prstGeom prst="roundRect">
          <a:avLst/>
        </a:prstGeom>
        <a:noFill/>
        <a:effectLst>
          <a:outerShdw blurRad="50800" dist="38100" dir="2700000" algn="tl" rotWithShape="0">
            <a:schemeClr val="accent6">
              <a:lumMod val="60000"/>
              <a:lumOff val="40000"/>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GB" sz="1100">
            <a:solidFill>
              <a:schemeClr val="dk1"/>
            </a:solidFill>
            <a:latin typeface="+mn-lt"/>
            <a:ea typeface="+mn-ea"/>
            <a:cs typeface="+mn-cs"/>
          </a:endParaRPr>
        </a:p>
      </xdr:txBody>
    </xdr:sp>
    <xdr:clientData/>
  </xdr:twoCellAnchor>
  <xdr:twoCellAnchor>
    <xdr:from>
      <xdr:col>18</xdr:col>
      <xdr:colOff>118140</xdr:colOff>
      <xdr:row>15</xdr:row>
      <xdr:rowOff>147675</xdr:rowOff>
    </xdr:from>
    <xdr:to>
      <xdr:col>19</xdr:col>
      <xdr:colOff>947799</xdr:colOff>
      <xdr:row>17</xdr:row>
      <xdr:rowOff>118811</xdr:rowOff>
    </xdr:to>
    <xdr:sp macro="" textlink="">
      <xdr:nvSpPr>
        <xdr:cNvPr id="2" name="TextBox 1">
          <a:extLst>
            <a:ext uri="{FF2B5EF4-FFF2-40B4-BE49-F238E27FC236}">
              <a16:creationId xmlns:a16="http://schemas.microsoft.com/office/drawing/2014/main" id="{A789E431-E9F4-43DB-8A96-580E0EA57FD9}"/>
            </a:ext>
          </a:extLst>
        </xdr:cNvPr>
        <xdr:cNvSpPr txBox="1"/>
      </xdr:nvSpPr>
      <xdr:spPr>
        <a:xfrm>
          <a:off x="11459535" y="2584303"/>
          <a:ext cx="3517334" cy="296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6"/>
              </a:solidFill>
            </a:rPr>
            <a:t>Tipo</a:t>
          </a:r>
          <a:r>
            <a:rPr lang="en-GB" sz="1600" baseline="0">
              <a:solidFill>
                <a:schemeClr val="accent6"/>
              </a:solidFill>
            </a:rPr>
            <a:t> de e</a:t>
          </a:r>
          <a:r>
            <a:rPr lang="en-GB" sz="1600">
              <a:solidFill>
                <a:schemeClr val="accent6"/>
              </a:solidFill>
            </a:rPr>
            <a:t>misiones por empresa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Perillan" refreshedDate="45510.811824884258" createdVersion="8" refreshedVersion="8" minRefreshableVersion="3" recordCount="557" xr:uid="{F505CB3C-416F-410A-A5F9-ED424B3FDC6B}">
  <cacheSource type="worksheet">
    <worksheetSource name="Table4"/>
  </cacheSource>
  <cacheFields count="16">
    <cacheField name="company_name" numFmtId="0">
      <sharedItems count="9">
        <s v="DCYCLE SA"/>
        <s v="Dcycle Factory SL"/>
        <s v="Dcycle Andina SAS"/>
        <s v="Dcycle Deutschland  GmbH"/>
        <s v="Dcycle France SARL"/>
        <s v="Dcycle USA Inc"/>
        <s v="Dcycle Ltd"/>
        <s v="Dcycle SpA Italy"/>
        <s v="Dcycle SIA"/>
      </sharedItems>
    </cacheField>
    <cacheField name="name" numFmtId="0">
      <sharedItems count="14">
        <s v="Madrid"/>
        <s v="Madrid (A2)"/>
        <s v="Tajonar"/>
        <s v="BCN"/>
        <s v="Dcycle Factory SL"/>
        <s v="D - Bodega 1"/>
        <s v="D - Bodega 2 (almacén)"/>
        <s v="Dcycle Deutschland GmbH"/>
        <s v="Dcycle France SARL"/>
        <s v="Dcycle USA Inc"/>
        <s v="Dcycle Ltd"/>
        <s v="Coges SpA (Modena)"/>
        <s v="Dcycle SpA Italy"/>
        <s v="Dcycle SIA"/>
      </sharedItems>
    </cacheField>
    <cacheField name="Type" numFmtId="0">
      <sharedItems count="4">
        <s v="water"/>
        <s v="electricity"/>
        <s v="heat"/>
        <s v="waste"/>
      </sharedItems>
    </cacheField>
    <cacheField name="Start" numFmtId="14">
      <sharedItems containsSemiMixedTypes="0" containsNonDate="0" containsDate="1" containsString="0" minDate="2021-09-07T00:00:00" maxDate="2024-01-02T00:00:00" count="133">
        <d v="2021-09-07T00:00:00"/>
        <d v="2021-11-08T00:00:00"/>
        <d v="2021-12-31T00:00:00"/>
        <d v="2022-01-01T00:00:00"/>
        <d v="2022-02-01T00:00:00"/>
        <d v="2022-02-09T00:00:00"/>
        <d v="2022-02-14T00:00:00"/>
        <d v="2022-03-01T00:00:00"/>
        <d v="2022-04-01T00:00:00"/>
        <d v="2022-05-01T00:00:00"/>
        <d v="2022-05-04T00:00:00"/>
        <d v="2022-06-01T00:00:00"/>
        <d v="2022-07-01T00:00:00"/>
        <d v="2022-08-01T00:00:00"/>
        <d v="2022-08-05T00:00:00"/>
        <d v="2022-09-01T00:00:00"/>
        <d v="2022-10-01T00:00:00"/>
        <d v="2022-10-28T00:00:00"/>
        <d v="2022-11-01T00:00:00"/>
        <d v="2022-11-09T00:00:00"/>
        <d v="2022-12-01T00:00:00"/>
        <d v="2022-12-30T00:00:00"/>
        <d v="2022-12-31T00:00:00"/>
        <d v="2023-01-01T00:00:00"/>
        <d v="2023-01-17T00:00:00"/>
        <d v="2023-01-31T00:00:00"/>
        <d v="2023-02-01T00:00:00"/>
        <d v="2023-02-07T00:00:00"/>
        <d v="2023-02-08T00:00:00"/>
        <d v="2023-02-28T00:00:00"/>
        <d v="2023-03-01T00:00:00"/>
        <d v="2023-03-07T00:00:00"/>
        <d v="2023-03-31T00:00:00"/>
        <d v="2023-04-01T00:00:00"/>
        <d v="2023-04-27T00:00:00"/>
        <d v="2023-04-30T00:00:00"/>
        <d v="2023-05-01T00:00:00"/>
        <d v="2023-05-04T00:00:00"/>
        <d v="2023-05-31T00:00:00"/>
        <d v="2023-06-01T00:00:00"/>
        <d v="2023-06-28T00:00:00"/>
        <d v="2023-06-30T00:00:00"/>
        <d v="2023-07-01T00:00:00"/>
        <d v="2023-07-27T00:00:00"/>
        <d v="2023-07-31T00:00:00"/>
        <d v="2023-08-01T00:00:00"/>
        <d v="2023-08-29T00:00:00"/>
        <d v="2023-08-30T00:00:00"/>
        <d v="2023-08-31T00:00:00"/>
        <d v="2023-09-01T00:00:00"/>
        <d v="2021-10-01T00:00:00"/>
        <d v="2021-11-01T00:00:00"/>
        <d v="2021-12-01T00:00:00"/>
        <d v="2023-10-01T00:00:00"/>
        <d v="2023-11-01T00:00:00"/>
        <d v="2023-12-01T00:00:00"/>
        <d v="2023-06-13T00:00:00"/>
        <d v="2023-07-04T00:00:00"/>
        <d v="2023-10-31T00:00:00"/>
        <d v="2022-12-05T00:00:00"/>
        <d v="2023-01-05T00:00:00"/>
        <d v="2023-02-03T00:00:00"/>
        <d v="2023-03-05T00:00:00"/>
        <d v="2023-04-04T00:00:00"/>
        <d v="2023-06-04T00:00:00"/>
        <d v="2023-07-05T00:00:00"/>
        <d v="2023-07-14T00:00:00"/>
        <d v="2021-09-22T00:00:00"/>
        <d v="2022-09-12T00:00:00"/>
        <d v="2022-12-27T00:00:00"/>
        <d v="2023-01-27T00:00:00"/>
        <d v="2023-02-27T00:00:00"/>
        <d v="2023-03-27T00:00:00"/>
        <d v="2023-05-27T00:00:00"/>
        <d v="2023-06-27T00:00:00"/>
        <d v="2023-08-27T00:00:00"/>
        <d v="2023-09-27T00:00:00"/>
        <d v="2023-10-27T00:00:00"/>
        <d v="2023-11-27T00:00:00"/>
        <d v="2022-12-20T00:00:00"/>
        <d v="2023-01-20T00:00:00"/>
        <d v="2023-02-18T00:00:00"/>
        <d v="2023-03-22T00:00:00"/>
        <d v="2023-04-20T00:00:00"/>
        <d v="2023-05-19T00:00:00"/>
        <d v="2023-06-21T00:00:00"/>
        <d v="2023-07-20T00:00:00"/>
        <d v="2023-08-19T00:00:00"/>
        <d v="2023-09-20T00:00:00"/>
        <d v="2023-10-20T00:00:00"/>
        <d v="2023-11-18T00:00:00"/>
        <d v="2023-03-03T00:00:00"/>
        <d v="2023-04-05T00:00:00"/>
        <d v="2023-05-02T00:00:00"/>
        <d v="2023-06-05T00:00:00"/>
        <d v="2023-07-06T00:00:00"/>
        <d v="2023-08-03T00:00:00"/>
        <d v="2023-09-05T00:00:00"/>
        <d v="2023-10-04T00:00:00"/>
        <d v="2023-10-05T00:00:00"/>
        <d v="2023-11-02T00:00:00"/>
        <d v="2022-09-03T00:00:00"/>
        <d v="2023-02-22T00:00:00"/>
        <d v="2022-12-02T00:00:00"/>
        <d v="2022-09-15T00:00:00"/>
        <d v="2023-02-17T00:00:00"/>
        <d v="2023-10-18T00:00:00"/>
        <d v="2022-12-14T00:00:00"/>
        <d v="2023-02-02T00:00:00"/>
        <d v="2023-03-21T00:00:00"/>
        <d v="2023-04-06T00:00:00"/>
        <d v="2023-04-07T00:00:00"/>
        <d v="2023-06-06T00:00:00"/>
        <d v="2023-08-09T00:00:00"/>
        <d v="2023-08-11T00:00:00"/>
        <d v="2023-10-06T00:00:00"/>
        <d v="2023-08-05T00:00:00"/>
        <d v="2023-08-28T00:00:00"/>
        <d v="2023-09-29T00:00:00"/>
        <d v="2023-11-04T00:00:00"/>
        <d v="2023-12-05T00:00:00"/>
        <d v="2023-10-02T00:00:00"/>
        <d v="2023-10-28T00:00:00"/>
        <d v="2023-11-15T00:00:00"/>
        <d v="2023-11-28T00:00:00"/>
        <d v="2024-01-01T00:00:00"/>
        <d v="2023-04-03T00:00:00"/>
        <d v="2023-02-09T00:00:00"/>
        <d v="2023-09-04T00:00:00"/>
        <d v="2023-03-20T00:00:00"/>
        <d v="2023-09-28T00:00:00"/>
        <d v="2023-02-23T00:00:00"/>
        <d v="2023-01-10T00:00:00"/>
      </sharedItems>
    </cacheField>
    <cacheField name="End" numFmtId="14">
      <sharedItems containsSemiMixedTypes="0" containsNonDate="0" containsDate="1" containsString="0" minDate="2021-10-31T00:00:00" maxDate="2024-01-26T00:00:00" count="119">
        <d v="2022-02-14T00:00:00"/>
        <d v="2022-12-31T00:00:00"/>
        <d v="2022-01-31T00:00:00"/>
        <d v="2022-02-28T00:00:00"/>
        <d v="2023-01-10T00:00:00"/>
        <d v="2022-05-04T00:00:00"/>
        <d v="2022-08-05T00:00:00"/>
        <d v="2022-03-31T00:00:00"/>
        <d v="2022-04-30T00:00:00"/>
        <d v="2022-05-31T00:00:00"/>
        <d v="2022-06-30T00:00:00"/>
        <d v="2022-07-31T00:00:00"/>
        <d v="2022-08-31T00:00:00"/>
        <d v="2022-11-09T00:00:00"/>
        <d v="2022-09-30T00:00:00"/>
        <d v="2022-10-31T00:00:00"/>
        <d v="2022-12-30T00:00:00"/>
        <d v="2022-11-30T00:00:00"/>
        <d v="2023-02-07T00:00:00"/>
        <d v="2023-03-01T00:00:00"/>
        <d v="2023-01-31T00:00:00"/>
        <d v="2023-12-31T00:00:00"/>
        <d v="2023-02-08T00:00:00"/>
        <d v="2023-02-28T00:00:00"/>
        <d v="2023-05-04T00:00:00"/>
        <d v="2023-03-07T00:00:00"/>
        <d v="2023-03-31T00:00:00"/>
        <d v="2023-04-27T00:00:00"/>
        <d v="2023-10-02T00:00:00"/>
        <d v="2023-04-30T00:00:00"/>
        <d v="2023-06-28T00:00:00"/>
        <d v="2023-05-31T00:00:00"/>
        <d v="2023-07-27T00:00:00"/>
        <d v="2023-06-30T00:00:00"/>
        <d v="2023-08-29T00:00:00"/>
        <d v="2023-07-31T00:00:00"/>
        <d v="2023-10-27T00:00:00"/>
        <d v="2023-08-31T00:00:00"/>
        <d v="2023-08-30T00:00:00"/>
        <d v="2023-10-28T00:00:00"/>
        <d v="2023-09-30T00:00:00"/>
        <d v="2021-10-31T00:00:00"/>
        <d v="2021-11-30T00:00:00"/>
        <d v="2021-12-31T00:00:00"/>
        <d v="2023-10-31T00:00:00"/>
        <d v="2023-11-30T00:00:00"/>
        <d v="2023-06-12T00:00:00"/>
        <d v="2023-07-04T00:00:00"/>
        <d v="2023-09-01T00:00:00"/>
        <d v="2023-12-29T00:00:00"/>
        <d v="2023-01-04T00:00:00"/>
        <d v="2023-02-02T00:00:00"/>
        <d v="2023-02-26T00:00:00"/>
        <d v="2023-03-04T00:00:00"/>
        <d v="2023-04-03T00:00:00"/>
        <d v="2023-05-03T00:00:00"/>
        <d v="2023-06-03T00:00:00"/>
        <d v="2023-08-04T00:00:00"/>
        <d v="2023-07-14T00:00:00"/>
        <d v="2022-09-11T00:00:00"/>
        <d v="2023-01-26T00:00:00"/>
        <d v="2023-03-26T00:00:00"/>
        <d v="2023-04-26T00:00:00"/>
        <d v="2023-05-26T00:00:00"/>
        <d v="2023-06-26T00:00:00"/>
        <d v="2023-07-26T00:00:00"/>
        <d v="2023-08-26T00:00:00"/>
        <d v="2023-09-26T00:00:00"/>
        <d v="2023-11-27T00:00:00"/>
        <d v="2023-12-27T00:00:00"/>
        <d v="2023-01-19T00:00:00"/>
        <d v="2023-02-17T00:00:00"/>
        <d v="2023-03-21T00:00:00"/>
        <d v="2023-04-19T00:00:00"/>
        <d v="2023-05-18T00:00:00"/>
        <d v="2023-06-20T00:00:00"/>
        <d v="2023-07-19T00:00:00"/>
        <d v="2023-08-18T00:00:00"/>
        <d v="2023-09-19T00:00:00"/>
        <d v="2023-10-19T00:00:00"/>
        <d v="2023-11-17T00:00:00"/>
        <d v="2023-12-18T00:00:00"/>
        <d v="2023-01-05T00:00:00"/>
        <d v="2023-02-03T00:00:00"/>
        <d v="2023-03-03T00:00:00"/>
        <d v="2023-04-05T00:00:00"/>
        <d v="2023-05-02T00:00:00"/>
        <d v="2023-06-05T00:00:00"/>
        <d v="2023-07-06T00:00:00"/>
        <d v="2023-08-03T00:00:00"/>
        <d v="2023-09-05T00:00:00"/>
        <d v="2023-10-04T00:00:00"/>
        <d v="2023-10-05T00:00:00"/>
        <d v="2023-11-02T00:00:00"/>
        <d v="2023-12-04T00:00:00"/>
        <d v="2023-12-05T00:00:00"/>
        <d v="2023-02-21T00:00:00"/>
        <d v="2023-02-16T00:00:00"/>
        <d v="2023-06-19T00:00:00"/>
        <d v="2023-10-17T00:00:00"/>
        <d v="2023-12-19T00:00:00"/>
        <d v="2023-05-30T00:00:00"/>
        <d v="2023-03-20T00:00:00"/>
        <d v="2023-04-06T00:00:00"/>
        <d v="2023-08-08T00:00:00"/>
        <d v="2023-08-10T00:00:00"/>
        <d v="2023-09-04T00:00:00"/>
        <d v="2023-08-28T00:00:00"/>
        <d v="2023-10-29T00:00:00"/>
        <d v="2023-11-03T00:00:00"/>
        <d v="2024-01-03T00:00:00"/>
        <d v="2023-11-28T00:00:00"/>
        <d v="2023-12-30T00:00:00"/>
        <d v="2024-01-25T00:00:00"/>
        <d v="2023-04-04T00:00:00"/>
        <d v="2023-02-10T00:00:00"/>
        <d v="2023-12-15T00:00:00"/>
        <d v="2023-07-20T00:00:00"/>
        <d v="2023-01-13T00:00:00"/>
      </sharedItems>
      <fieldGroup par="15"/>
    </cacheField>
    <cacheField name="Quantity_correct" numFmtId="2">
      <sharedItems containsSemiMixedTypes="0" containsString="0" containsNumber="1" minValue="0" maxValue="910440"/>
    </cacheField>
    <cacheField name="Units_correct" numFmtId="0">
      <sharedItems/>
    </cacheField>
    <cacheField name="CO2eq(KG)" numFmtId="2">
      <sharedItems containsSemiMixedTypes="0" containsString="0" containsNumber="1" minValue="0" maxValue="136565.31717341414"/>
    </cacheField>
    <cacheField name="Duplicados" numFmtId="0">
      <sharedItems/>
    </cacheField>
    <cacheField name="Quantity_Noduplicates" numFmtId="0">
      <sharedItems containsSemiMixedTypes="0" containsString="0" containsNumber="1" minValue="0" maxValue="910440"/>
    </cacheField>
    <cacheField name="CO2_Noduplicates" numFmtId="0">
      <sharedItems containsSemiMixedTypes="0" containsString="0" containsNumber="1" minValue="0" maxValue="136565.31717341414"/>
    </cacheField>
    <cacheField name="Q_Tonnes" numFmtId="0">
      <sharedItems containsSemiMixedTypes="0" containsString="0" containsNumber="1" minValue="0" maxValue="23300000"/>
    </cacheField>
    <cacheField name="CO2_tonnes" numFmtId="0">
      <sharedItems containsSemiMixedTypes="0" containsString="0" containsNumber="1" minValue="0" maxValue="932000"/>
    </cacheField>
    <cacheField name="Months (End)" numFmtId="0" databaseField="0">
      <fieldGroup base="4">
        <rangePr groupBy="months" startDate="2021-10-31T00:00:00" endDate="2024-01-26T00:00:00"/>
        <groupItems count="14">
          <s v="&lt;31/10/2021"/>
          <s v="Jan"/>
          <s v="Feb"/>
          <s v="Mar"/>
          <s v="Apr"/>
          <s v="May"/>
          <s v="Jun"/>
          <s v="Jul"/>
          <s v="Aug"/>
          <s v="Sep"/>
          <s v="Oct"/>
          <s v="Nov"/>
          <s v="Dec"/>
          <s v="&gt;26/01/2024"/>
        </groupItems>
      </fieldGroup>
    </cacheField>
    <cacheField name="Quarters (End)" numFmtId="0" databaseField="0">
      <fieldGroup base="4">
        <rangePr groupBy="quarters" startDate="2021-10-31T00:00:00" endDate="2024-01-26T00:00:00"/>
        <groupItems count="6">
          <s v="&lt;31/10/2021"/>
          <s v="Qtr1"/>
          <s v="Qtr2"/>
          <s v="Qtr3"/>
          <s v="Qtr4"/>
          <s v="&gt;26/01/2024"/>
        </groupItems>
      </fieldGroup>
    </cacheField>
    <cacheField name="Years (End)" numFmtId="0" databaseField="0">
      <fieldGroup base="4">
        <rangePr groupBy="years" startDate="2021-10-31T00:00:00" endDate="2024-01-26T00:00:00"/>
        <groupItems count="6">
          <s v="&lt;31/10/2021"/>
          <s v="2021"/>
          <s v="2022"/>
          <s v="2023"/>
          <s v="2024"/>
          <s v="&gt;26/01/2024"/>
        </groupItems>
      </fieldGroup>
    </cacheField>
  </cacheFields>
  <extLst>
    <ext xmlns:x14="http://schemas.microsoft.com/office/spreadsheetml/2009/9/main" uri="{725AE2AE-9491-48be-B2B4-4EB974FC3084}">
      <x14:pivotCacheDefinition pivotCacheId="11140520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Perillan" refreshedDate="45510.811835532404" createdVersion="8" refreshedVersion="8" minRefreshableVersion="3" recordCount="557" xr:uid="{27A174DC-930A-440B-825E-5530C139C11E}">
  <cacheSource type="worksheet">
    <worksheetSource ref="A1:K558" sheet="Combinadas"/>
  </cacheSource>
  <cacheFields count="14">
    <cacheField name="company_name" numFmtId="0">
      <sharedItems count="9">
        <s v="DCYCLE SA"/>
        <s v="Dcycle Factory SL"/>
        <s v="Dcycle Andina SAS"/>
        <s v="Dcycle Deutschland  GmbH"/>
        <s v="Dcycle France SARL"/>
        <s v="Dcycle USA Inc"/>
        <s v="Dcycle Ltd"/>
        <s v="Dcycle SpA Italy"/>
        <s v="Dcycle SIA"/>
      </sharedItems>
    </cacheField>
    <cacheField name="name" numFmtId="0">
      <sharedItems count="14">
        <s v="Madrid"/>
        <s v="Madrid (A2)"/>
        <s v="Tajonar"/>
        <s v="BCN"/>
        <s v="Dcycle Factory SL"/>
        <s v="D - Bodega 1"/>
        <s v="D - Bodega 2 (almacén)"/>
        <s v="Dcycle Deutschland GmbH"/>
        <s v="Dcycle France SARL"/>
        <s v="Dcycle USA Inc"/>
        <s v="Dcycle Ltd"/>
        <s v="Coges SpA (Modena)"/>
        <s v="Dcycle SpA Italy"/>
        <s v="Dcycle SIA"/>
      </sharedItems>
    </cacheField>
    <cacheField name="Type" numFmtId="0">
      <sharedItems count="4">
        <s v="water"/>
        <s v="electricity"/>
        <s v="heat"/>
        <s v="waste"/>
      </sharedItems>
    </cacheField>
    <cacheField name="Start" numFmtId="14">
      <sharedItems containsSemiMixedTypes="0" containsNonDate="0" containsDate="1" containsString="0" minDate="2021-09-07T00:00:00" maxDate="2024-01-02T00:00:00"/>
    </cacheField>
    <cacheField name="End" numFmtId="14">
      <sharedItems containsSemiMixedTypes="0" containsNonDate="0" containsDate="1" containsString="0" minDate="2021-10-31T00:00:00" maxDate="2024-01-26T00:00:00" count="119">
        <d v="2022-02-14T00:00:00"/>
        <d v="2022-12-31T00:00:00"/>
        <d v="2022-01-31T00:00:00"/>
        <d v="2022-02-28T00:00:00"/>
        <d v="2023-01-10T00:00:00"/>
        <d v="2022-05-04T00:00:00"/>
        <d v="2022-08-05T00:00:00"/>
        <d v="2022-03-31T00:00:00"/>
        <d v="2022-04-30T00:00:00"/>
        <d v="2022-05-31T00:00:00"/>
        <d v="2022-06-30T00:00:00"/>
        <d v="2022-07-31T00:00:00"/>
        <d v="2022-08-31T00:00:00"/>
        <d v="2022-11-09T00:00:00"/>
        <d v="2022-09-30T00:00:00"/>
        <d v="2022-10-31T00:00:00"/>
        <d v="2022-12-30T00:00:00"/>
        <d v="2022-11-30T00:00:00"/>
        <d v="2023-02-07T00:00:00"/>
        <d v="2023-03-01T00:00:00"/>
        <d v="2023-01-31T00:00:00"/>
        <d v="2023-12-31T00:00:00"/>
        <d v="2023-02-08T00:00:00"/>
        <d v="2023-02-28T00:00:00"/>
        <d v="2023-05-04T00:00:00"/>
        <d v="2023-03-07T00:00:00"/>
        <d v="2023-03-31T00:00:00"/>
        <d v="2023-04-27T00:00:00"/>
        <d v="2023-10-02T00:00:00"/>
        <d v="2023-04-30T00:00:00"/>
        <d v="2023-06-28T00:00:00"/>
        <d v="2023-05-31T00:00:00"/>
        <d v="2023-07-27T00:00:00"/>
        <d v="2023-06-30T00:00:00"/>
        <d v="2023-08-29T00:00:00"/>
        <d v="2023-07-31T00:00:00"/>
        <d v="2023-10-27T00:00:00"/>
        <d v="2023-08-31T00:00:00"/>
        <d v="2023-08-30T00:00:00"/>
        <d v="2023-10-28T00:00:00"/>
        <d v="2023-09-30T00:00:00"/>
        <d v="2021-10-31T00:00:00"/>
        <d v="2021-11-30T00:00:00"/>
        <d v="2021-12-31T00:00:00"/>
        <d v="2023-10-31T00:00:00"/>
        <d v="2023-11-30T00:00:00"/>
        <d v="2023-06-12T00:00:00"/>
        <d v="2023-07-04T00:00:00"/>
        <d v="2023-09-01T00:00:00"/>
        <d v="2023-12-29T00:00:00"/>
        <d v="2023-01-04T00:00:00"/>
        <d v="2023-02-02T00:00:00"/>
        <d v="2023-02-26T00:00:00"/>
        <d v="2023-03-04T00:00:00"/>
        <d v="2023-04-03T00:00:00"/>
        <d v="2023-05-03T00:00:00"/>
        <d v="2023-06-03T00:00:00"/>
        <d v="2023-08-04T00:00:00"/>
        <d v="2023-07-14T00:00:00"/>
        <d v="2022-09-11T00:00:00"/>
        <d v="2023-01-26T00:00:00"/>
        <d v="2023-03-26T00:00:00"/>
        <d v="2023-04-26T00:00:00"/>
        <d v="2023-05-26T00:00:00"/>
        <d v="2023-06-26T00:00:00"/>
        <d v="2023-07-26T00:00:00"/>
        <d v="2023-08-26T00:00:00"/>
        <d v="2023-09-26T00:00:00"/>
        <d v="2023-11-27T00:00:00"/>
        <d v="2023-12-27T00:00:00"/>
        <d v="2023-01-19T00:00:00"/>
        <d v="2023-02-17T00:00:00"/>
        <d v="2023-03-21T00:00:00"/>
        <d v="2023-04-19T00:00:00"/>
        <d v="2023-05-18T00:00:00"/>
        <d v="2023-06-20T00:00:00"/>
        <d v="2023-07-19T00:00:00"/>
        <d v="2023-08-18T00:00:00"/>
        <d v="2023-09-19T00:00:00"/>
        <d v="2023-10-19T00:00:00"/>
        <d v="2023-11-17T00:00:00"/>
        <d v="2023-12-18T00:00:00"/>
        <d v="2023-01-05T00:00:00"/>
        <d v="2023-02-03T00:00:00"/>
        <d v="2023-03-03T00:00:00"/>
        <d v="2023-04-05T00:00:00"/>
        <d v="2023-05-02T00:00:00"/>
        <d v="2023-06-05T00:00:00"/>
        <d v="2023-07-06T00:00:00"/>
        <d v="2023-08-03T00:00:00"/>
        <d v="2023-09-05T00:00:00"/>
        <d v="2023-10-04T00:00:00"/>
        <d v="2023-10-05T00:00:00"/>
        <d v="2023-11-02T00:00:00"/>
        <d v="2023-12-04T00:00:00"/>
        <d v="2023-12-05T00:00:00"/>
        <d v="2023-02-21T00:00:00"/>
        <d v="2023-02-16T00:00:00"/>
        <d v="2023-06-19T00:00:00"/>
        <d v="2023-10-17T00:00:00"/>
        <d v="2023-12-19T00:00:00"/>
        <d v="2023-05-30T00:00:00"/>
        <d v="2023-03-20T00:00:00"/>
        <d v="2023-04-06T00:00:00"/>
        <d v="2023-08-08T00:00:00"/>
        <d v="2023-08-10T00:00:00"/>
        <d v="2023-09-04T00:00:00"/>
        <d v="2023-08-28T00:00:00"/>
        <d v="2023-10-29T00:00:00"/>
        <d v="2023-11-03T00:00:00"/>
        <d v="2024-01-03T00:00:00"/>
        <d v="2023-11-28T00:00:00"/>
        <d v="2023-12-30T00:00:00"/>
        <d v="2024-01-25T00:00:00"/>
        <d v="2023-04-04T00:00:00"/>
        <d v="2023-02-10T00:00:00"/>
        <d v="2023-12-15T00:00:00"/>
        <d v="2023-07-20T00:00:00"/>
        <d v="2023-01-13T00:00:00"/>
      </sharedItems>
      <fieldGroup par="13"/>
    </cacheField>
    <cacheField name="Quantity_correct" numFmtId="2">
      <sharedItems containsSemiMixedTypes="0" containsString="0" containsNumber="1" minValue="0" maxValue="910440"/>
    </cacheField>
    <cacheField name="Units_correct" numFmtId="0">
      <sharedItems/>
    </cacheField>
    <cacheField name="CO2eq(KG)" numFmtId="2">
      <sharedItems containsSemiMixedTypes="0" containsString="0" containsNumber="1" minValue="0" maxValue="136565.31717341414"/>
    </cacheField>
    <cacheField name="Duplicados" numFmtId="0">
      <sharedItems/>
    </cacheField>
    <cacheField name="Quantity_Noduplicates" numFmtId="0">
      <sharedItems containsSemiMixedTypes="0" containsString="0" containsNumber="1" minValue="0" maxValue="910440"/>
    </cacheField>
    <cacheField name="CO2_Noduplicates" numFmtId="0">
      <sharedItems containsSemiMixedTypes="0" containsString="0" containsNumber="1" minValue="0" maxValue="136565.31717341414"/>
    </cacheField>
    <cacheField name="Months (End)" numFmtId="0" databaseField="0">
      <fieldGroup base="4">
        <rangePr groupBy="months" startDate="2021-10-31T00:00:00" endDate="2024-01-26T00:00:00"/>
        <groupItems count="14">
          <s v="&lt;31/10/2021"/>
          <s v="Jan"/>
          <s v="Feb"/>
          <s v="Mar"/>
          <s v="Apr"/>
          <s v="May"/>
          <s v="Jun"/>
          <s v="Jul"/>
          <s v="Aug"/>
          <s v="Sep"/>
          <s v="Oct"/>
          <s v="Nov"/>
          <s v="Dec"/>
          <s v="&gt;26/01/2024"/>
        </groupItems>
      </fieldGroup>
    </cacheField>
    <cacheField name="Quarters (End)" numFmtId="0" databaseField="0">
      <fieldGroup base="4">
        <rangePr groupBy="quarters" startDate="2021-10-31T00:00:00" endDate="2024-01-26T00:00:00"/>
        <groupItems count="6">
          <s v="&lt;31/10/2021"/>
          <s v="Qtr1"/>
          <s v="Qtr2"/>
          <s v="Qtr3"/>
          <s v="Qtr4"/>
          <s v="&gt;26/01/2024"/>
        </groupItems>
      </fieldGroup>
    </cacheField>
    <cacheField name="Years (End)" numFmtId="0" databaseField="0">
      <fieldGroup base="4">
        <rangePr groupBy="years" startDate="2021-10-31T00:00:00" endDate="2024-01-26T00:00:00"/>
        <groupItems count="6">
          <s v="&lt;31/10/2021"/>
          <s v="2021"/>
          <s v="2022"/>
          <s v="2023"/>
          <s v="2024"/>
          <s v="&gt;26/01/2024"/>
        </groupItems>
      </fieldGroup>
    </cacheField>
  </cacheFields>
  <extLst>
    <ext xmlns:x14="http://schemas.microsoft.com/office/spreadsheetml/2009/9/main" uri="{725AE2AE-9491-48be-B2B4-4EB974FC3084}">
      <x14:pivotCacheDefinition pivotCacheId="13533957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Perillan" refreshedDate="45510.811836458335" createdVersion="8" refreshedVersion="8" minRefreshableVersion="3" recordCount="122" xr:uid="{A9E66F32-1192-48B3-86ED-266994902515}">
  <cacheSource type="worksheet">
    <worksheetSource name="Table1"/>
  </cacheSource>
  <cacheFields count="17">
    <cacheField name="company_name" numFmtId="0">
      <sharedItems count="5">
        <s v="Dcycle Factory SL"/>
        <s v="Dcycle Andina SAS"/>
        <s v="DCYCLE SA"/>
        <s v="Dcycle Ltd"/>
        <s v="Dcycle SpA Italy"/>
      </sharedItems>
    </cacheField>
    <cacheField name="name" numFmtId="0">
      <sharedItems/>
    </cacheField>
    <cacheField name="low_code" numFmtId="0">
      <sharedItems containsBlank="1" containsMixedTypes="1" containsNumber="1" containsInteger="1" minValue="10101" maxValue="200301"/>
    </cacheField>
    <cacheField name="low_description" numFmtId="0">
      <sharedItems containsBlank="1"/>
    </cacheField>
    <cacheField name="name[custom_emission_group]" numFmtId="0">
      <sharedItems/>
    </cacheField>
    <cacheField name="rd_code" numFmtId="0">
      <sharedItems/>
    </cacheField>
    <cacheField name="rd_description" numFmtId="0">
      <sharedItems/>
    </cacheField>
    <cacheField name="start_date[wastes]" numFmtId="0">
      <sharedItems containsDate="1" containsMixedTypes="1" minDate="2022-01-01T00:00:00" maxDate="2024-01-02T00:00:00"/>
    </cacheField>
    <cacheField name="Start" numFmtId="14">
      <sharedItems containsSemiMixedTypes="0" containsNonDate="0" containsDate="1" containsString="0" minDate="2022-01-01T00:00:00" maxDate="2024-01-02T00:00:00" count="23">
        <d v="2023-01-01T00:00:00"/>
        <d v="2022-01-01T00:00:00"/>
        <d v="2023-11-01T00:00:00"/>
        <d v="2023-02-01T00:00:00"/>
        <d v="2023-09-01T00:00:00"/>
        <d v="2023-06-01T00:00:00"/>
        <d v="2023-07-01T00:00:00"/>
        <d v="2023-08-01T00:00:00"/>
        <d v="2023-05-01T00:00:00"/>
        <d v="2023-03-01T00:00:00"/>
        <d v="2023-10-01T00:00:00"/>
        <d v="2023-12-01T00:00:00"/>
        <d v="2023-09-29T00:00:00"/>
        <d v="2024-01-01T00:00:00"/>
        <d v="2023-04-01T00:00:00"/>
        <d v="2023-04-03T00:00:00"/>
        <d v="2023-02-09T00:00:00"/>
        <d v="2023-09-04T00:00:00"/>
        <d v="2023-04-20T00:00:00"/>
        <d v="2023-03-20T00:00:00"/>
        <d v="2023-09-28T00:00:00"/>
        <d v="2023-02-23T00:00:00"/>
        <d v="2023-01-10T00:00:00"/>
      </sharedItems>
    </cacheField>
    <cacheField name="end_date[wastes]" numFmtId="0">
      <sharedItems containsDate="1" containsMixedTypes="1" minDate="2023-04-04T00:00:00" maxDate="2023-10-03T00:00:00"/>
    </cacheField>
    <cacheField name="End" numFmtId="14">
      <sharedItems containsSemiMixedTypes="0" containsNonDate="0" containsDate="1" containsString="0" minDate="2022-12-31T00:00:00" maxDate="2024-01-26T00:00:00" count="23">
        <d v="2023-12-31T00:00:00"/>
        <d v="2022-12-31T00:00:00"/>
        <d v="2023-11-30T00:00:00"/>
        <d v="2023-02-28T00:00:00"/>
        <d v="2023-09-30T00:00:00"/>
        <d v="2023-01-31T00:00:00"/>
        <d v="2023-06-30T00:00:00"/>
        <d v="2023-07-31T00:00:00"/>
        <d v="2023-08-31T00:00:00"/>
        <d v="2023-05-31T00:00:00"/>
        <d v="2023-03-31T00:00:00"/>
        <d v="2023-10-31T00:00:00"/>
        <d v="2023-02-26T00:00:00"/>
        <d v="2023-10-29T00:00:00"/>
        <d v="2024-01-25T00:00:00"/>
        <d v="2023-04-30T00:00:00"/>
        <d v="2023-04-04T00:00:00"/>
        <d v="2023-02-10T00:00:00"/>
        <d v="2023-12-15T00:00:00"/>
        <d v="2023-09-04T00:00:00"/>
        <d v="2023-08-04T00:00:00"/>
        <d v="2023-07-20T00:00:00"/>
        <d v="2023-01-13T00:00:00"/>
      </sharedItems>
    </cacheField>
    <cacheField name="quantity[wastes]" numFmtId="0">
      <sharedItems containsSemiMixedTypes="0" containsString="0" containsNumber="1" minValue="1" maxValue="23300"/>
    </cacheField>
    <cacheField name="Tonnes_quantity" numFmtId="0">
      <sharedItems containsSemiMixedTypes="0" containsString="0" containsNumber="1" containsInteger="1" minValue="1000" maxValue="23300000"/>
    </cacheField>
    <cacheField name="Tonnes_CO2 eq (Kg)" numFmtId="0">
      <sharedItems containsSemiMixedTypes="0" containsString="0" containsNumber="1" containsInteger="1" minValue="40" maxValue="932000"/>
    </cacheField>
    <cacheField name="kg Co2eq" numFmtId="0">
      <sharedItems containsSemiMixedTypes="0" containsString="0" containsNumber="1" minValue="0.04" maxValue="932"/>
    </cacheField>
    <cacheField name="year" numFmtId="0">
      <sharedItems containsSemiMixedTypes="0" containsString="0" containsNumber="1" containsInteger="1" minValue="2022" maxValue="2024"/>
    </cacheField>
    <cacheField name="filter hazardous" numFmtId="0">
      <sharedItems count="2">
        <s v="FALSO"/>
        <s v="VERDADERO"/>
      </sharedItems>
    </cacheField>
  </cacheFields>
  <extLst>
    <ext xmlns:x14="http://schemas.microsoft.com/office/spreadsheetml/2009/9/main" uri="{725AE2AE-9491-48be-B2B4-4EB974FC3084}">
      <x14:pivotCacheDefinition pivotCacheId="1416784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7">
  <r>
    <x v="0"/>
    <x v="0"/>
    <x v="0"/>
    <x v="0"/>
    <x v="0"/>
    <n v="5"/>
    <s v="cubic_metre_(m3)"/>
    <n v="1.5001500150015001"/>
    <s v="DCYCLE SAMadridwater4444644606"/>
    <n v="5"/>
    <n v="2.7002700270027002"/>
    <n v="9"/>
    <n v="2.7002700270027002"/>
  </r>
  <r>
    <x v="0"/>
    <x v="1"/>
    <x v="0"/>
    <x v="1"/>
    <x v="0"/>
    <n v="103"/>
    <s v="cubic_metre_(m3)"/>
    <n v="30.903090309030901"/>
    <s v="DCYCLE SAMadrid (A2)water4450844606"/>
    <n v="103"/>
    <n v="6248.2187589062059"/>
    <n v="41655"/>
    <n v="6248.2187589062059"/>
  </r>
  <r>
    <x v="0"/>
    <x v="0"/>
    <x v="0"/>
    <x v="1"/>
    <x v="0"/>
    <n v="71"/>
    <s v="cubic_metre_(m3)"/>
    <n v="21.3021302130213"/>
    <s v="DCYCLE SAMadridwater4450844606"/>
    <n v="0"/>
    <n v="1762.9411852940736"/>
    <n v="11753"/>
    <n v="1762.9411852940736"/>
  </r>
  <r>
    <x v="0"/>
    <x v="0"/>
    <x v="0"/>
    <x v="1"/>
    <x v="0"/>
    <n v="161"/>
    <s v="cubic_metre_(m3)"/>
    <n v="48.304830483048299"/>
    <s v="DCYCLE SAMadridwater4450844606"/>
    <n v="161"/>
    <n v="4585.627071864641"/>
    <n v="30571"/>
    <n v="4585.627071864641"/>
  </r>
  <r>
    <x v="0"/>
    <x v="2"/>
    <x v="1"/>
    <x v="2"/>
    <x v="1"/>
    <n v="39186"/>
    <s v="kilowatt_hour_(kwh)"/>
    <n v="5877.8706106469472"/>
    <s v="DCYCLE SATajonarelectricity4456144926"/>
    <n v="39186"/>
    <n v="6809.6659516702421"/>
    <n v="45398"/>
    <n v="6809.6659516702421"/>
  </r>
  <r>
    <x v="0"/>
    <x v="3"/>
    <x v="1"/>
    <x v="3"/>
    <x v="1"/>
    <n v="114258"/>
    <s v="kilowatt_hour_(kwh)"/>
    <n v="17138.614306928466"/>
    <s v="DCYCLE SABCNelectricity4456244926"/>
    <n v="114258"/>
    <n v="1.5001500150015001"/>
    <n v="5"/>
    <n v="1.5001500150015001"/>
  </r>
  <r>
    <x v="0"/>
    <x v="1"/>
    <x v="2"/>
    <x v="3"/>
    <x v="2"/>
    <n v="1102.3267399367389"/>
    <s v="therm_(thm)"/>
    <n v="1322.8450017241555"/>
    <s v="DCYCLE SAMadrid (A2)heat4456244592"/>
    <n v="1102.3267399367389"/>
    <n v="898.97550512247437"/>
    <n v="5993.2"/>
    <n v="898.97550512247437"/>
  </r>
  <r>
    <x v="0"/>
    <x v="0"/>
    <x v="1"/>
    <x v="3"/>
    <x v="1"/>
    <n v="910440"/>
    <s v="kilowatt_hour_(kwh)"/>
    <n v="136565.31717341414"/>
    <s v="DCYCLE SAMadridelectricity4456244926"/>
    <n v="910440"/>
    <n v="83.2"/>
    <n v="2080"/>
    <n v="83.2"/>
  </r>
  <r>
    <x v="0"/>
    <x v="0"/>
    <x v="0"/>
    <x v="3"/>
    <x v="1"/>
    <n v="59.81"/>
    <s v="cubic_metre_(m3)"/>
    <n v="17.944794479447946"/>
    <s v="DCYCLE SAMadridwater4456244926"/>
    <n v="59.81"/>
    <n v="0"/>
    <n v="0"/>
    <n v="0"/>
  </r>
  <r>
    <x v="0"/>
    <x v="2"/>
    <x v="0"/>
    <x v="3"/>
    <x v="1"/>
    <n v="5.76"/>
    <s v="cubic_metre_(m3)"/>
    <n v="1.7281728172817281"/>
    <s v="DCYCLE SATajonarwater4456244926"/>
    <n v="5.76"/>
    <n v="4233.278833605832"/>
    <n v="28222"/>
    <n v="4233.278833605832"/>
  </r>
  <r>
    <x v="0"/>
    <x v="1"/>
    <x v="2"/>
    <x v="4"/>
    <x v="3"/>
    <n v="997.77869526497"/>
    <s v="therm_(thm)"/>
    <n v="1197.3823296111484"/>
    <s v="DCYCLE SAMadrid (A2)heat4459344620"/>
    <n v="997.77869526497"/>
    <n v="1477.2983957222832"/>
    <n v="1231.0327531553787"/>
    <n v="1477.2983957222832"/>
  </r>
  <r>
    <x v="0"/>
    <x v="1"/>
    <x v="1"/>
    <x v="5"/>
    <x v="4"/>
    <n v="498790"/>
    <s v="kilowatt_hour_(kwh)"/>
    <n v="74818.125909370458"/>
    <s v="DCYCLE SAMadrid (A2)electricity4460144936"/>
    <n v="498790"/>
    <n v="55.5055505550555"/>
    <n v="185"/>
    <n v="55.5055505550555"/>
  </r>
  <r>
    <x v="0"/>
    <x v="1"/>
    <x v="0"/>
    <x v="6"/>
    <x v="5"/>
    <n v="93"/>
    <s v="cubic_metre_(m3)"/>
    <n v="27.902790279027901"/>
    <s v="DCYCLE SAMadrid (A2)water4460644685"/>
    <n v="93"/>
    <n v="0"/>
    <n v="0"/>
    <n v="0"/>
  </r>
  <r>
    <x v="0"/>
    <x v="0"/>
    <x v="0"/>
    <x v="6"/>
    <x v="5"/>
    <n v="64"/>
    <s v="cubic_metre_(m3)"/>
    <n v="19.201920192019202"/>
    <s v="DCYCLE SAMadridwater4460644685"/>
    <n v="0"/>
    <n v="0"/>
    <n v="0"/>
    <n v="0"/>
  </r>
  <r>
    <x v="0"/>
    <x v="0"/>
    <x v="0"/>
    <x v="6"/>
    <x v="5"/>
    <n v="67"/>
    <s v="cubic_metre_(m3)"/>
    <n v="20.1020102010201"/>
    <s v="DCYCLE SAMadridwater4460644685"/>
    <n v="0"/>
    <n v="9662.3516882415588"/>
    <n v="64416"/>
    <n v="9662.3516882415588"/>
  </r>
  <r>
    <x v="0"/>
    <x v="0"/>
    <x v="0"/>
    <x v="6"/>
    <x v="5"/>
    <n v="209"/>
    <s v="cubic_metre_(m3)"/>
    <n v="62.7062706270627"/>
    <s v="DCYCLE SAMadridwater4460644685"/>
    <n v="209"/>
    <n v="391.79804100979499"/>
    <n v="2612"/>
    <n v="391.79804100979499"/>
  </r>
  <r>
    <x v="0"/>
    <x v="0"/>
    <x v="0"/>
    <x v="6"/>
    <x v="6"/>
    <n v="9"/>
    <s v="cubic_metre_(m3)"/>
    <n v="2.7002700270027002"/>
    <s v="DCYCLE SAMadridwater4460644778"/>
    <n v="9"/>
    <n v="2277.3186134069333"/>
    <n v="15182.2"/>
    <n v="2277.3186134069333"/>
  </r>
  <r>
    <x v="0"/>
    <x v="1"/>
    <x v="2"/>
    <x v="7"/>
    <x v="7"/>
    <n v="977.71529765824664"/>
    <s v="therm_(thm)"/>
    <n v="1173.305289401472"/>
    <s v="DCYCLE SAMadrid (A2)heat4462144651"/>
    <n v="977.71529765824664"/>
    <n v="1.9711971197119711"/>
    <n v="6.57"/>
    <n v="1.9711971197119711"/>
  </r>
  <r>
    <x v="0"/>
    <x v="1"/>
    <x v="2"/>
    <x v="8"/>
    <x v="8"/>
    <n v="516.25715270361115"/>
    <s v="therm_(thm)"/>
    <n v="619.53336457891646"/>
    <s v="DCYCLE SAMadrid (A2)heat4465244681"/>
    <n v="516.25715270361115"/>
    <n v="117.6"/>
    <n v="2940"/>
    <n v="117.6"/>
  </r>
  <r>
    <x v="0"/>
    <x v="1"/>
    <x v="2"/>
    <x v="9"/>
    <x v="9"/>
    <n v="59.576007179147716"/>
    <s v="therm_(thm)"/>
    <n v="71.494068377712367"/>
    <s v="DCYCLE SAMadrid (A2)heat4468244712"/>
    <n v="59.576007179147716"/>
    <n v="124"/>
    <n v="3100"/>
    <n v="124"/>
  </r>
  <r>
    <x v="0"/>
    <x v="1"/>
    <x v="0"/>
    <x v="10"/>
    <x v="6"/>
    <n v="185"/>
    <s v="cubic_metre_(m3)"/>
    <n v="55.5055505550555"/>
    <s v="DCYCLE SAMadrid (A2)water4468544778"/>
    <n v="185"/>
    <n v="11565.392173039136"/>
    <n v="77103"/>
    <n v="11565.392173039136"/>
  </r>
  <r>
    <x v="0"/>
    <x v="0"/>
    <x v="0"/>
    <x v="10"/>
    <x v="6"/>
    <n v="49"/>
    <s v="cubic_metre_(m3)"/>
    <n v="14.701470147014701"/>
    <s v="DCYCLE SAMadridwater4468544778"/>
    <n v="0"/>
    <n v="0"/>
    <n v="0"/>
    <n v="0"/>
  </r>
  <r>
    <x v="0"/>
    <x v="0"/>
    <x v="0"/>
    <x v="10"/>
    <x v="6"/>
    <n v="367"/>
    <s v="cubic_metre_(m3)"/>
    <n v="110.11101110111011"/>
    <s v="DCYCLE SAMadridwater4468544778"/>
    <n v="367"/>
    <n v="2846.3002684986577"/>
    <n v="18975.43"/>
    <n v="2846.3002684986577"/>
  </r>
  <r>
    <x v="0"/>
    <x v="1"/>
    <x v="2"/>
    <x v="11"/>
    <x v="10"/>
    <n v="0"/>
    <s v="therm_(thm)"/>
    <n v="0"/>
    <s v="DCYCLE SAMadrid (A2)heat4471344742"/>
    <n v="0"/>
    <n v="137.6"/>
    <n v="3440"/>
    <n v="137.6"/>
  </r>
  <r>
    <x v="0"/>
    <x v="1"/>
    <x v="2"/>
    <x v="12"/>
    <x v="11"/>
    <n v="0"/>
    <s v="therm_(thm)"/>
    <n v="0"/>
    <s v="DCYCLE SAMadrid (A2)heat4474344773"/>
    <n v="0"/>
    <n v="207.2"/>
    <n v="5180"/>
    <n v="207.2"/>
  </r>
  <r>
    <x v="0"/>
    <x v="1"/>
    <x v="2"/>
    <x v="13"/>
    <x v="12"/>
    <n v="0"/>
    <s v="therm_(thm)"/>
    <n v="0"/>
    <s v="DCYCLE SAMadrid (A2)heat4477444804"/>
    <n v="0"/>
    <n v="4.5004500450045004"/>
    <n v="15"/>
    <n v="4.5004500450045004"/>
  </r>
  <r>
    <x v="0"/>
    <x v="1"/>
    <x v="0"/>
    <x v="14"/>
    <x v="13"/>
    <n v="91"/>
    <s v="cubic_metre_(m3)"/>
    <n v="27.302730273027301"/>
    <s v="DCYCLE SAMadrid (A2)water4477844874"/>
    <n v="91"/>
    <n v="573.29713351433247"/>
    <n v="3822"/>
    <n v="573.29713351433247"/>
  </r>
  <r>
    <x v="0"/>
    <x v="0"/>
    <x v="0"/>
    <x v="14"/>
    <x v="13"/>
    <n v="4"/>
    <s v="cubic_metre_(m3)"/>
    <n v="1.2001200120012001"/>
    <s v="DCYCLE SAMadridwater4477844874"/>
    <n v="0"/>
    <n v="0.76"/>
    <n v="19"/>
    <n v="0.76"/>
  </r>
  <r>
    <x v="0"/>
    <x v="0"/>
    <x v="0"/>
    <x v="14"/>
    <x v="13"/>
    <n v="77"/>
    <s v="cubic_metre_(m3)"/>
    <n v="23.1023102310231"/>
    <s v="DCYCLE SAMadridwater4477844874"/>
    <n v="0"/>
    <n v="2.6"/>
    <n v="65"/>
    <n v="2.6"/>
  </r>
  <r>
    <x v="0"/>
    <x v="0"/>
    <x v="0"/>
    <x v="14"/>
    <x v="13"/>
    <n v="239"/>
    <s v="cubic_metre_(m3)"/>
    <n v="71.707170717071705"/>
    <s v="DCYCLE SAMadridwater4477844874"/>
    <n v="239"/>
    <n v="5.6"/>
    <n v="140"/>
    <n v="5.6"/>
  </r>
  <r>
    <x v="0"/>
    <x v="1"/>
    <x v="2"/>
    <x v="15"/>
    <x v="14"/>
    <n v="0"/>
    <s v="therm_(thm)"/>
    <n v="0"/>
    <s v="DCYCLE SAMadrid (A2)heat4480544834"/>
    <n v="0"/>
    <n v="1692.5915370423149"/>
    <n v="11284"/>
    <n v="1692.5915370423149"/>
  </r>
  <r>
    <x v="0"/>
    <x v="1"/>
    <x v="2"/>
    <x v="16"/>
    <x v="15"/>
    <n v="0"/>
    <s v="therm_(thm)"/>
    <n v="0"/>
    <s v="DCYCLE SAMadrid (A2)heat4483544865"/>
    <n v="0"/>
    <n v="7122.5643871780649"/>
    <n v="47484"/>
    <n v="7122.5643871780649"/>
  </r>
  <r>
    <x v="0"/>
    <x v="3"/>
    <x v="0"/>
    <x v="17"/>
    <x v="16"/>
    <n v="12"/>
    <s v="cubic_metre_(m3)"/>
    <n v="3.6003600360036003"/>
    <s v="DCYCLE SABCNwater4486244925"/>
    <n v="12"/>
    <n v="0"/>
    <n v="0"/>
    <n v="0"/>
  </r>
  <r>
    <x v="0"/>
    <x v="1"/>
    <x v="2"/>
    <x v="18"/>
    <x v="17"/>
    <n v="433.17148404311587"/>
    <s v="therm_(thm)"/>
    <n v="519.82657391469559"/>
    <s v="DCYCLE SAMadrid (A2)heat4486644895"/>
    <n v="433.17148404311587"/>
    <n v="0"/>
    <n v="0"/>
    <n v="0"/>
  </r>
  <r>
    <x v="0"/>
    <x v="1"/>
    <x v="0"/>
    <x v="19"/>
    <x v="18"/>
    <n v="104"/>
    <s v="cubic_metre_(m3)"/>
    <n v="31.203120312031203"/>
    <s v="DCYCLE SAMadrid (A2)water4487444964"/>
    <n v="104"/>
    <n v="4.8004800480048004"/>
    <n v="16"/>
    <n v="4.8004800480048004"/>
  </r>
  <r>
    <x v="0"/>
    <x v="0"/>
    <x v="0"/>
    <x v="19"/>
    <x v="18"/>
    <n v="33"/>
    <s v="cubic_metre_(m3)"/>
    <n v="9.9009900990099009"/>
    <s v="DCYCLE SAMadridwater4487444964"/>
    <n v="0"/>
    <n v="6"/>
    <n v="150"/>
    <n v="6"/>
  </r>
  <r>
    <x v="0"/>
    <x v="0"/>
    <x v="0"/>
    <x v="19"/>
    <x v="18"/>
    <n v="67"/>
    <s v="cubic_metre_(m3)"/>
    <n v="20.1020102010201"/>
    <s v="DCYCLE SAMadridwater4487444964"/>
    <n v="0"/>
    <n v="6.6"/>
    <n v="165"/>
    <n v="6.6"/>
  </r>
  <r>
    <x v="0"/>
    <x v="0"/>
    <x v="0"/>
    <x v="19"/>
    <x v="18"/>
    <n v="248"/>
    <s v="cubic_metre_(m3)"/>
    <n v="74.407440744074407"/>
    <s v="DCYCLE SAMadridwater4487444964"/>
    <n v="248"/>
    <n v="8"/>
    <n v="200"/>
    <n v="8"/>
  </r>
  <r>
    <x v="0"/>
    <x v="1"/>
    <x v="2"/>
    <x v="20"/>
    <x v="1"/>
    <n v="644.69019452624116"/>
    <s v="therm_(thm)"/>
    <n v="773.65917979868129"/>
    <s v="DCYCLE SAMadrid (A2)heat4489644926"/>
    <n v="644.69019452624116"/>
    <n v="11971.140144299279"/>
    <n v="79808"/>
    <n v="11971.140144299279"/>
  </r>
  <r>
    <x v="0"/>
    <x v="3"/>
    <x v="0"/>
    <x v="21"/>
    <x v="19"/>
    <n v="15"/>
    <s v="cubic_metre_(m3)"/>
    <n v="4.5004500450045004"/>
    <s v="DCYCLE SABCNwater4492544986"/>
    <n v="15"/>
    <n v="0"/>
    <n v="0"/>
    <n v="0"/>
  </r>
  <r>
    <x v="0"/>
    <x v="3"/>
    <x v="1"/>
    <x v="22"/>
    <x v="20"/>
    <n v="12013"/>
    <s v="kilowatt_hour_(kwh)"/>
    <n v="1801.9409902950486"/>
    <s v="DCYCLE SABCNelectricity4492644957"/>
    <n v="12013"/>
    <n v="30.903090309030901"/>
    <n v="103"/>
    <n v="30.903090309030901"/>
  </r>
  <r>
    <x v="0"/>
    <x v="1"/>
    <x v="1"/>
    <x v="22"/>
    <x v="20"/>
    <n v="53797"/>
    <s v="kilowatt_hour_(kwh)"/>
    <n v="8069.5096524517385"/>
    <s v="DCYCLE SAMadrid (A2)electricity4492644957"/>
    <n v="53797"/>
    <n v="0"/>
    <n v="0"/>
    <n v="0"/>
  </r>
  <r>
    <x v="0"/>
    <x v="0"/>
    <x v="1"/>
    <x v="22"/>
    <x v="20"/>
    <n v="2646"/>
    <s v="kilowatt_hour_(kwh)"/>
    <n v="396.89801550992246"/>
    <s v="DCYCLE SAMadridelectricity4492644957"/>
    <n v="0"/>
    <n v="88"/>
    <n v="2200"/>
    <n v="88"/>
  </r>
  <r>
    <x v="0"/>
    <x v="0"/>
    <x v="1"/>
    <x v="22"/>
    <x v="20"/>
    <n v="85283"/>
    <s v="kilowatt_hour_(kwh)"/>
    <n v="12792.38603806981"/>
    <s v="DCYCLE SAMadridelectricity4492644957"/>
    <n v="85283"/>
    <n v="252"/>
    <n v="6300"/>
    <n v="252"/>
  </r>
  <r>
    <x v="0"/>
    <x v="2"/>
    <x v="1"/>
    <x v="22"/>
    <x v="20"/>
    <n v="6088"/>
    <s v="kilowatt_hour_(kwh)"/>
    <n v="913.19543402282989"/>
    <s v="DCYCLE SATajonarelectricity4492644957"/>
    <n v="6088"/>
    <n v="265.49867250663749"/>
    <n v="1770"/>
    <n v="265.49867250663749"/>
  </r>
  <r>
    <x v="0"/>
    <x v="1"/>
    <x v="1"/>
    <x v="23"/>
    <x v="20"/>
    <n v="5993.2"/>
    <s v="kilowatt_hour_(kwh)"/>
    <n v="898.97550512247437"/>
    <s v="DCYCLE SAMadrid (A2)electricity4492744957"/>
    <n v="5993.2"/>
    <n v="110.11101110111011"/>
    <n v="367"/>
    <n v="110.11101110111011"/>
  </r>
  <r>
    <x v="0"/>
    <x v="1"/>
    <x v="2"/>
    <x v="23"/>
    <x v="20"/>
    <n v="1231.0327531553787"/>
    <s v="therm_(thm)"/>
    <n v="1477.2983957222832"/>
    <s v="DCYCLE SAMadrid (A2)heat4492744957"/>
    <n v="1231.0327531553787"/>
    <n v="772.49613751931247"/>
    <n v="5150"/>
    <n v="772.49613751931247"/>
  </r>
  <r>
    <x v="0"/>
    <x v="2"/>
    <x v="0"/>
    <x v="23"/>
    <x v="21"/>
    <n v="6.57"/>
    <s v="cubic_metre_(m3)"/>
    <n v="1.9711971197119711"/>
    <s v="DCYCLE SATajonarwater4492745291"/>
    <n v="6.57"/>
    <n v="0"/>
    <n v="0"/>
    <n v="0"/>
  </r>
  <r>
    <x v="0"/>
    <x v="0"/>
    <x v="3"/>
    <x v="23"/>
    <x v="20"/>
    <n v="2940"/>
    <s v="Kilogram_(kg)"/>
    <n v="117.6"/>
    <s v="DCYCLE SAMadridwaste4492744957"/>
    <n v="2940"/>
    <n v="463.44207668897394"/>
    <n v="2940000"/>
    <n v="117600"/>
  </r>
  <r>
    <x v="0"/>
    <x v="0"/>
    <x v="3"/>
    <x v="23"/>
    <x v="20"/>
    <n v="3100"/>
    <s v="Kilogram_(kg)"/>
    <n v="124"/>
    <s v="DCYCLE SAMadridwaste4492744957"/>
    <n v="3100"/>
    <n v="8332.9083354583236"/>
    <n v="3100000"/>
    <n v="124000"/>
  </r>
  <r>
    <x v="0"/>
    <x v="0"/>
    <x v="3"/>
    <x v="23"/>
    <x v="20"/>
    <n v="3440"/>
    <s v="Kilogram_(kg)"/>
    <n v="137.6"/>
    <s v="DCYCLE SAMadridwaste4492744957"/>
    <n v="3440"/>
    <n v="1.8"/>
    <n v="3440000"/>
    <n v="137600"/>
  </r>
  <r>
    <x v="0"/>
    <x v="0"/>
    <x v="3"/>
    <x v="23"/>
    <x v="20"/>
    <n v="5180"/>
    <s v="Kilogram_(kg)"/>
    <n v="207.2"/>
    <s v="DCYCLE SAMadridwaste4492744957"/>
    <n v="5180"/>
    <n v="7.8"/>
    <n v="5180000"/>
    <n v="207200"/>
  </r>
  <r>
    <x v="0"/>
    <x v="0"/>
    <x v="0"/>
    <x v="24"/>
    <x v="22"/>
    <n v="15"/>
    <s v="cubic_metre_(m3)"/>
    <n v="4.5004500450045004"/>
    <s v="DCYCLE SAMadridwater4494344965"/>
    <n v="15"/>
    <n v="2984.6085769571155"/>
    <n v="19897.490000000002"/>
    <n v="2984.6085769571155"/>
  </r>
  <r>
    <x v="0"/>
    <x v="3"/>
    <x v="1"/>
    <x v="25"/>
    <x v="23"/>
    <n v="11284"/>
    <s v="kilowatt_hour_(kwh)"/>
    <n v="1692.5915370423149"/>
    <s v="DCYCLE SABCNelectricity4495744985"/>
    <n v="11284"/>
    <n v="0"/>
    <n v="0"/>
    <n v="0"/>
  </r>
  <r>
    <x v="0"/>
    <x v="1"/>
    <x v="1"/>
    <x v="25"/>
    <x v="23"/>
    <n v="47484"/>
    <s v="kilowatt_hour_(kwh)"/>
    <n v="7122.5643871780649"/>
    <s v="DCYCLE SAMadrid (A2)electricity4495744985"/>
    <n v="47484"/>
    <n v="0"/>
    <n v="0"/>
    <n v="0"/>
  </r>
  <r>
    <x v="0"/>
    <x v="0"/>
    <x v="1"/>
    <x v="25"/>
    <x v="23"/>
    <n v="2018"/>
    <s v="kilowatt_hour_(kwh)"/>
    <n v="302.69848650756745"/>
    <s v="DCYCLE SAMadridelectricity4495744985"/>
    <n v="0"/>
    <n v="5.6996699669966997"/>
    <n v="18.997"/>
    <n v="5.6996699669966997"/>
  </r>
  <r>
    <x v="0"/>
    <x v="0"/>
    <x v="1"/>
    <x v="25"/>
    <x v="23"/>
    <n v="79808"/>
    <s v="kilowatt_hour_(kwh)"/>
    <n v="11971.140144299279"/>
    <s v="DCYCLE SAMadridelectricity4495744985"/>
    <n v="79808"/>
    <n v="794.24602876985614"/>
    <n v="5295"/>
    <n v="794.24602876985614"/>
  </r>
  <r>
    <x v="0"/>
    <x v="2"/>
    <x v="1"/>
    <x v="25"/>
    <x v="23"/>
    <n v="5150"/>
    <s v="kilowatt_hour_(kwh)"/>
    <n v="772.49613751931247"/>
    <s v="DCYCLE SATajonarelectricity4495744985"/>
    <n v="5150"/>
    <n v="1739.9913000434999"/>
    <n v="11600"/>
    <n v="1739.9913000434999"/>
  </r>
  <r>
    <x v="0"/>
    <x v="1"/>
    <x v="1"/>
    <x v="26"/>
    <x v="23"/>
    <n v="6786.6"/>
    <s v="kilowatt_hour_(kwh)"/>
    <n v="1017.9849100754498"/>
    <s v="DCYCLE SAMadrid (A2)electricity4495844985"/>
    <n v="6786.6"/>
    <n v="0"/>
    <n v="0"/>
    <n v="0"/>
  </r>
  <r>
    <x v="0"/>
    <x v="1"/>
    <x v="2"/>
    <x v="26"/>
    <x v="23"/>
    <n v="1008.4928225583562"/>
    <s v="therm_(thm)"/>
    <n v="1210.2397966618939"/>
    <s v="DCYCLE SAMadrid (A2)heat4495844985"/>
    <n v="1008.4928225583562"/>
    <n v="1017.9849100754498"/>
    <n v="6786.6"/>
    <n v="1017.9849100754498"/>
  </r>
  <r>
    <x v="0"/>
    <x v="0"/>
    <x v="3"/>
    <x v="26"/>
    <x v="23"/>
    <n v="2100"/>
    <s v="Kilogram_(kg)"/>
    <n v="84"/>
    <s v="DCYCLE SAMadridwaste4495844985"/>
    <n v="2100"/>
    <n v="73.599999999999994"/>
    <n v="2100000"/>
    <n v="84000"/>
  </r>
  <r>
    <x v="0"/>
    <x v="0"/>
    <x v="3"/>
    <x v="26"/>
    <x v="23"/>
    <n v="2100"/>
    <s v="Kilogram_(kg)"/>
    <n v="84"/>
    <s v="DCYCLE SAMadridwaste4495844985"/>
    <n v="2100"/>
    <n v="128"/>
    <n v="2100000"/>
    <n v="84000"/>
  </r>
  <r>
    <x v="0"/>
    <x v="0"/>
    <x v="3"/>
    <x v="26"/>
    <x v="23"/>
    <n v="2860"/>
    <s v="Kilogram_(kg)"/>
    <n v="114.4"/>
    <s v="DCYCLE SAMadridwaste4495844985"/>
    <n v="2860"/>
    <n v="5097.7245113774434"/>
    <n v="2860000"/>
    <n v="114400"/>
  </r>
  <r>
    <x v="0"/>
    <x v="1"/>
    <x v="0"/>
    <x v="27"/>
    <x v="24"/>
    <n v="117"/>
    <s v="cubic_metre_(m3)"/>
    <n v="35.103510351035105"/>
    <s v="DCYCLE SAMadrid (A2)water4496445050"/>
    <n v="117"/>
    <n v="1673.1966340168301"/>
    <n v="11154.7"/>
    <n v="1673.1966340168301"/>
  </r>
  <r>
    <x v="0"/>
    <x v="0"/>
    <x v="0"/>
    <x v="27"/>
    <x v="24"/>
    <n v="42"/>
    <s v="cubic_metre_(m3)"/>
    <n v="12.601260126012601"/>
    <s v="DCYCLE SAMadridwater4496445050"/>
    <n v="0"/>
    <n v="22.4"/>
    <n v="560"/>
    <n v="22.4"/>
  </r>
  <r>
    <x v="0"/>
    <x v="0"/>
    <x v="0"/>
    <x v="27"/>
    <x v="24"/>
    <n v="50"/>
    <s v="cubic_metre_(m3)"/>
    <n v="15.001500150015001"/>
    <s v="DCYCLE SAMadridwater4496445050"/>
    <n v="0"/>
    <n v="73.599999999999994"/>
    <n v="1840"/>
    <n v="73.599999999999994"/>
  </r>
  <r>
    <x v="0"/>
    <x v="0"/>
    <x v="0"/>
    <x v="27"/>
    <x v="24"/>
    <n v="264"/>
    <s v="cubic_metre_(m3)"/>
    <n v="79.207920792079207"/>
    <s v="DCYCLE SAMadridwater4496445050"/>
    <n v="264"/>
    <n v="78"/>
    <n v="1950"/>
    <n v="78"/>
  </r>
  <r>
    <x v="0"/>
    <x v="0"/>
    <x v="0"/>
    <x v="28"/>
    <x v="25"/>
    <n v="18.995000000000001"/>
    <s v="cubic_metre_(m3)"/>
    <n v="5.6990699069906992"/>
    <s v="DCYCLE SAMadridwater4496544992"/>
    <n v="18.995000000000001"/>
    <n v="80"/>
    <n v="2000"/>
    <n v="80"/>
  </r>
  <r>
    <x v="0"/>
    <x v="3"/>
    <x v="1"/>
    <x v="29"/>
    <x v="26"/>
    <n v="7792"/>
    <s v="kilowatt_hour_(kwh)"/>
    <n v="1168.7941560292199"/>
    <s v="DCYCLE SABCNelectricity4498545016"/>
    <n v="7792"/>
    <n v="48.304830483048299"/>
    <n v="161"/>
    <n v="48.304830483048299"/>
  </r>
  <r>
    <x v="0"/>
    <x v="1"/>
    <x v="1"/>
    <x v="29"/>
    <x v="26"/>
    <n v="41655"/>
    <s v="kilowatt_hour_(kwh)"/>
    <n v="6248.2187589062059"/>
    <s v="DCYCLE SAMadrid (A2)electricity4498545016"/>
    <n v="41655"/>
    <n v="0"/>
    <n v="0"/>
    <n v="0"/>
  </r>
  <r>
    <x v="0"/>
    <x v="0"/>
    <x v="1"/>
    <x v="29"/>
    <x v="26"/>
    <n v="2076"/>
    <s v="kilowatt_hour_(kwh)"/>
    <n v="311.39844300778498"/>
    <s v="DCYCLE SAMadridelectricity4498545016"/>
    <n v="0"/>
    <n v="3527.8323608381961"/>
    <n v="23519"/>
    <n v="3527.8323608381961"/>
  </r>
  <r>
    <x v="0"/>
    <x v="0"/>
    <x v="1"/>
    <x v="29"/>
    <x v="26"/>
    <n v="77103"/>
    <s v="kilowatt_hour_(kwh)"/>
    <n v="11565.392173039136"/>
    <s v="DCYCLE SAMadridelectricity4498545016"/>
    <n v="77103"/>
    <n v="0"/>
    <n v="0"/>
    <n v="0"/>
  </r>
  <r>
    <x v="0"/>
    <x v="2"/>
    <x v="1"/>
    <x v="29"/>
    <x v="26"/>
    <n v="3822"/>
    <s v="kilowatt_hour_(kwh)"/>
    <n v="573.29713351433247"/>
    <s v="DCYCLE SATajonarelectricity4498545016"/>
    <n v="3822"/>
    <n v="1340.558297208514"/>
    <n v="8937.1"/>
    <n v="1340.558297208514"/>
  </r>
  <r>
    <x v="0"/>
    <x v="3"/>
    <x v="0"/>
    <x v="30"/>
    <x v="27"/>
    <n v="16"/>
    <s v="cubic_metre_(m3)"/>
    <n v="4.8004800480048004"/>
    <s v="DCYCLE SABCNwater4498645043"/>
    <n v="16"/>
    <n v="62.7062706270627"/>
    <n v="209"/>
    <n v="62.7062706270627"/>
  </r>
  <r>
    <x v="0"/>
    <x v="1"/>
    <x v="1"/>
    <x v="30"/>
    <x v="26"/>
    <n v="11154.7"/>
    <s v="kilowatt_hour_(kwh)"/>
    <n v="1673.1966340168301"/>
    <s v="DCYCLE SAMadrid (A2)electricity4498645016"/>
    <n v="11154.7"/>
    <n v="27.302730273027301"/>
    <n v="91"/>
    <n v="27.302730273027301"/>
  </r>
  <r>
    <x v="0"/>
    <x v="1"/>
    <x v="2"/>
    <x v="30"/>
    <x v="26"/>
    <n v="497.55861207693704"/>
    <s v="therm_(thm)"/>
    <n v="597.09421826105483"/>
    <s v="DCYCLE SAMadrid (A2)heat4498645016"/>
    <n v="497.55861207693704"/>
    <n v="1210.2397966618939"/>
    <n v="1008.4928225583562"/>
    <n v="1210.2397966618939"/>
  </r>
  <r>
    <x v="0"/>
    <x v="0"/>
    <x v="3"/>
    <x v="30"/>
    <x v="26"/>
    <n v="1960"/>
    <s v="Kilogram_(kg)"/>
    <n v="78.400000000000006"/>
    <s v="DCYCLE SAMadridwaste4498645016"/>
    <n v="1960"/>
    <n v="0"/>
    <n v="1960000"/>
    <n v="78400"/>
  </r>
  <r>
    <x v="0"/>
    <x v="0"/>
    <x v="3"/>
    <x v="30"/>
    <x v="26"/>
    <n v="2080"/>
    <s v="Kilogram_(kg)"/>
    <n v="83.2"/>
    <s v="DCYCLE SAMadridwaste4498645016"/>
    <n v="2080"/>
    <n v="481.19309403452985"/>
    <n v="2080000"/>
    <n v="83200"/>
  </r>
  <r>
    <x v="0"/>
    <x v="0"/>
    <x v="3"/>
    <x v="30"/>
    <x v="26"/>
    <n v="2200"/>
    <s v="Kilogram_(kg)"/>
    <n v="88"/>
    <s v="DCYCLE SAMadridwaste4498645016"/>
    <n v="2200"/>
    <n v="252.8"/>
    <n v="2200000"/>
    <n v="88000"/>
  </r>
  <r>
    <x v="0"/>
    <x v="0"/>
    <x v="3"/>
    <x v="30"/>
    <x v="26"/>
    <n v="6300"/>
    <s v="Kilogram_(kg)"/>
    <n v="252"/>
    <s v="DCYCLE SAMadridwaste4498645016"/>
    <n v="6300"/>
    <n v="38.799999999999997"/>
    <n v="6300000"/>
    <n v="252000"/>
  </r>
  <r>
    <x v="0"/>
    <x v="0"/>
    <x v="0"/>
    <x v="31"/>
    <x v="28"/>
    <n v="18.997"/>
    <s v="cubic_metre_(m3)"/>
    <n v="5.6996699669966997"/>
    <s v="DCYCLE SAMadridwater4499245201"/>
    <n v="18.997"/>
    <n v="86"/>
    <n v="2150"/>
    <n v="86"/>
  </r>
  <r>
    <x v="0"/>
    <x v="3"/>
    <x v="1"/>
    <x v="32"/>
    <x v="29"/>
    <n v="5295"/>
    <s v="kilowatt_hour_(kwh)"/>
    <n v="794.24602876985614"/>
    <s v="DCYCLE SABCNelectricity4501645046"/>
    <n v="5295"/>
    <n v="5877.8706106469472"/>
    <n v="39186"/>
    <n v="5877.8706106469472"/>
  </r>
  <r>
    <x v="0"/>
    <x v="1"/>
    <x v="1"/>
    <x v="32"/>
    <x v="29"/>
    <n v="23519"/>
    <s v="kilowatt_hour_(kwh)"/>
    <n v="3527.8323608381961"/>
    <s v="DCYCLE SAMadrid (A2)electricity4501645046"/>
    <n v="23519"/>
    <n v="0"/>
    <n v="0"/>
    <n v="0"/>
  </r>
  <r>
    <x v="0"/>
    <x v="0"/>
    <x v="1"/>
    <x v="32"/>
    <x v="29"/>
    <n v="1790"/>
    <s v="kilowatt_hour_(kwh)"/>
    <n v="268.4986575067125"/>
    <s v="DCYCLE SAMadridelectricity4501645046"/>
    <n v="0"/>
    <n v="9485.9525702371502"/>
    <n v="63240"/>
    <n v="9485.9525702371502"/>
  </r>
  <r>
    <x v="0"/>
    <x v="0"/>
    <x v="1"/>
    <x v="32"/>
    <x v="29"/>
    <n v="63240"/>
    <s v="kilowatt_hour_(kwh)"/>
    <n v="9485.9525702371502"/>
    <s v="DCYCLE SAMadridelectricity4501645046"/>
    <n v="63240"/>
    <n v="389.39805300973495"/>
    <n v="2596"/>
    <n v="389.39805300973495"/>
  </r>
  <r>
    <x v="0"/>
    <x v="2"/>
    <x v="1"/>
    <x v="32"/>
    <x v="29"/>
    <n v="2596"/>
    <s v="kilowatt_hour_(kwh)"/>
    <n v="389.39805300973495"/>
    <s v="DCYCLE SATajonarelectricity4501645046"/>
    <n v="2596"/>
    <n v="0"/>
    <n v="0"/>
    <n v="0"/>
  </r>
  <r>
    <x v="0"/>
    <x v="1"/>
    <x v="1"/>
    <x v="33"/>
    <x v="29"/>
    <n v="12068.4"/>
    <s v="kilowatt_hour_(kwh)"/>
    <n v="1810.2509487452562"/>
    <s v="DCYCLE SAMadrid (A2)electricity4501745046"/>
    <n v="12068.4"/>
    <n v="0"/>
    <n v="0"/>
    <n v="0"/>
  </r>
  <r>
    <x v="0"/>
    <x v="1"/>
    <x v="2"/>
    <x v="33"/>
    <x v="29"/>
    <n v="177.29492170839148"/>
    <s v="therm_(thm)"/>
    <n v="212.76241654673163"/>
    <s v="DCYCLE SAMadrid (A2)heat4501745046"/>
    <n v="177.29492170839148"/>
    <n v="84"/>
    <n v="2100"/>
    <n v="84"/>
  </r>
  <r>
    <x v="0"/>
    <x v="0"/>
    <x v="3"/>
    <x v="33"/>
    <x v="29"/>
    <n v="1220"/>
    <s v="Kilogram_(kg)"/>
    <n v="48.8"/>
    <s v="DCYCLE SAMadridwaste4501745046"/>
    <n v="1220"/>
    <n v="316.8"/>
    <n v="1220000"/>
    <n v="48800"/>
  </r>
  <r>
    <x v="0"/>
    <x v="3"/>
    <x v="0"/>
    <x v="34"/>
    <x v="30"/>
    <n v="12"/>
    <s v="cubic_metre_(m3)"/>
    <n v="3.6003600360036003"/>
    <s v="DCYCLE SABCNwater4504345105"/>
    <n v="12"/>
    <n v="2.7002700270027002"/>
    <n v="9"/>
    <n v="2.7002700270027002"/>
  </r>
  <r>
    <x v="0"/>
    <x v="3"/>
    <x v="1"/>
    <x v="35"/>
    <x v="31"/>
    <n v="6773"/>
    <s v="kilowatt_hour_(kwh)"/>
    <n v="1015.9449202753987"/>
    <s v="DCYCLE SABCNelectricity4504645077"/>
    <n v="6773"/>
    <n v="17138.614306928466"/>
    <n v="114258"/>
    <n v="17138.614306928466"/>
  </r>
  <r>
    <x v="0"/>
    <x v="1"/>
    <x v="1"/>
    <x v="35"/>
    <x v="31"/>
    <n v="24330"/>
    <s v="kilowatt_hour_(kwh)"/>
    <n v="3649.4817525912372"/>
    <s v="DCYCLE SAMadrid (A2)electricity4504645077"/>
    <n v="24330"/>
    <n v="71.707170717071705"/>
    <n v="239"/>
    <n v="71.707170717071705"/>
  </r>
  <r>
    <x v="0"/>
    <x v="0"/>
    <x v="1"/>
    <x v="35"/>
    <x v="31"/>
    <n v="1826"/>
    <s v="kilowatt_hour_(kwh)"/>
    <n v="273.8986305068475"/>
    <s v="DCYCLE SAMadridelectricity4504645077"/>
    <n v="0"/>
    <n v="1810.2509487452562"/>
    <n v="12068.4"/>
    <n v="1810.2509487452562"/>
  </r>
  <r>
    <x v="0"/>
    <x v="0"/>
    <x v="1"/>
    <x v="35"/>
    <x v="31"/>
    <n v="61980"/>
    <s v="kilowatt_hour_(kwh)"/>
    <n v="9296.9535152324243"/>
    <s v="DCYCLE SAMadridelectricity4504645077"/>
    <n v="61980"/>
    <n v="212.76241654673163"/>
    <n v="177.29492170839148"/>
    <n v="212.76241654673163"/>
  </r>
  <r>
    <x v="0"/>
    <x v="2"/>
    <x v="1"/>
    <x v="35"/>
    <x v="31"/>
    <n v="2934"/>
    <s v="kilowatt_hour_(kwh)"/>
    <n v="440.09779951100245"/>
    <s v="DCYCLE SATajonarelectricity4504645077"/>
    <n v="2934"/>
    <n v="2149.3692531537345"/>
    <n v="14329.2"/>
    <n v="2149.3692531537345"/>
  </r>
  <r>
    <x v="0"/>
    <x v="1"/>
    <x v="1"/>
    <x v="36"/>
    <x v="31"/>
    <n v="14379.4"/>
    <s v="kilowatt_hour_(kwh)"/>
    <n v="2156.8992155039227"/>
    <s v="DCYCLE SAMadrid (A2)electricity4504745077"/>
    <n v="14379.4"/>
    <n v="0"/>
    <n v="0"/>
    <n v="0"/>
  </r>
  <r>
    <x v="0"/>
    <x v="1"/>
    <x v="2"/>
    <x v="36"/>
    <x v="31"/>
    <n v="0"/>
    <s v="therm_(thm)"/>
    <n v="0"/>
    <s v="DCYCLE SAMadrid (A2)heat4504745077"/>
    <n v="0"/>
    <n v="84"/>
    <n v="2100"/>
    <n v="84"/>
  </r>
  <r>
    <x v="0"/>
    <x v="0"/>
    <x v="3"/>
    <x v="36"/>
    <x v="31"/>
    <n v="820"/>
    <s v="Kilogram_(kg)"/>
    <n v="32.799999999999997"/>
    <s v="DCYCLE SAMadridwaste4504745077"/>
    <n v="820"/>
    <n v="96"/>
    <n v="820000"/>
    <n v="32800"/>
  </r>
  <r>
    <x v="0"/>
    <x v="0"/>
    <x v="3"/>
    <x v="36"/>
    <x v="31"/>
    <n v="2000"/>
    <s v="Kilogram_(kg)"/>
    <n v="80"/>
    <s v="DCYCLE SAMadridwaste4504745077"/>
    <n v="2000"/>
    <n v="0"/>
    <n v="2000000"/>
    <n v="80000"/>
  </r>
  <r>
    <x v="0"/>
    <x v="0"/>
    <x v="3"/>
    <x v="36"/>
    <x v="31"/>
    <n v="2220"/>
    <s v="Kilogram_(kg)"/>
    <n v="88.8"/>
    <s v="DCYCLE SAMadridwaste4504745077"/>
    <n v="2220"/>
    <n v="181.31485382388908"/>
    <n v="2220000"/>
    <n v="88800"/>
  </r>
  <r>
    <x v="0"/>
    <x v="1"/>
    <x v="0"/>
    <x v="37"/>
    <x v="32"/>
    <n v="231"/>
    <s v="cubic_metre_(m3)"/>
    <n v="69.306930693069305"/>
    <s v="DCYCLE SAMadrid (A2)water4505045134"/>
    <n v="231"/>
    <n v="597.09421826105483"/>
    <n v="497.55861207693704"/>
    <n v="597.09421826105483"/>
  </r>
  <r>
    <x v="0"/>
    <x v="0"/>
    <x v="0"/>
    <x v="37"/>
    <x v="32"/>
    <n v="55"/>
    <s v="cubic_metre_(m3)"/>
    <n v="16.5016501650165"/>
    <s v="DCYCLE SAMadridwater4505045134"/>
    <n v="0"/>
    <n v="213.6"/>
    <n v="5340"/>
    <n v="213.6"/>
  </r>
  <r>
    <x v="0"/>
    <x v="0"/>
    <x v="0"/>
    <x v="37"/>
    <x v="32"/>
    <n v="74"/>
    <s v="cubic_metre_(m3)"/>
    <n v="22.202220222022202"/>
    <s v="DCYCLE SAMadridwater4505045134"/>
    <n v="0"/>
    <n v="7.5007500750075007"/>
    <n v="25"/>
    <n v="7.5007500750075007"/>
  </r>
  <r>
    <x v="0"/>
    <x v="0"/>
    <x v="0"/>
    <x v="37"/>
    <x v="32"/>
    <n v="301"/>
    <s v="cubic_metre_(m3)"/>
    <n v="90.309030903090303"/>
    <s v="DCYCLE SAMadridwater4505045134"/>
    <n v="301"/>
    <n v="0"/>
    <n v="0"/>
    <n v="0"/>
  </r>
  <r>
    <x v="0"/>
    <x v="3"/>
    <x v="1"/>
    <x v="38"/>
    <x v="33"/>
    <n v="9555"/>
    <s v="kilowatt_hour_(kwh)"/>
    <n v="1433.2428337858312"/>
    <s v="DCYCLE SABCNelectricity4507745107"/>
    <n v="9555"/>
    <n v="1322.8450017241555"/>
    <n v="1102.3267399367389"/>
    <n v="1322.8450017241555"/>
  </r>
  <r>
    <x v="0"/>
    <x v="1"/>
    <x v="1"/>
    <x v="38"/>
    <x v="33"/>
    <n v="30319"/>
    <s v="kilowatt_hour_(kwh)"/>
    <n v="4547.8272608636962"/>
    <s v="DCYCLE SAMadrid (A2)electricity4507745107"/>
    <n v="30319"/>
    <n v="0"/>
    <n v="0"/>
    <n v="0"/>
  </r>
  <r>
    <x v="0"/>
    <x v="0"/>
    <x v="1"/>
    <x v="38"/>
    <x v="33"/>
    <n v="1912"/>
    <s v="kilowatt_hour_(kwh)"/>
    <n v="286.79856600717"/>
    <s v="DCYCLE SAMadridelectricity4507745107"/>
    <n v="0"/>
    <n v="48.8"/>
    <n v="1220"/>
    <n v="48.8"/>
  </r>
  <r>
    <x v="0"/>
    <x v="0"/>
    <x v="1"/>
    <x v="38"/>
    <x v="33"/>
    <n v="59780"/>
    <s v="kilowatt_hour_(kwh)"/>
    <n v="8966.9551652241753"/>
    <s v="DCYCLE SAMadridelectricity4507745107"/>
    <n v="59780"/>
    <n v="3.6003600360036003"/>
    <n v="12"/>
    <n v="3.6003600360036003"/>
  </r>
  <r>
    <x v="0"/>
    <x v="2"/>
    <x v="1"/>
    <x v="38"/>
    <x v="33"/>
    <n v="3127"/>
    <s v="kilowatt_hour_(kwh)"/>
    <n v="469.04765476172622"/>
    <s v="DCYCLE SATajonarelectricity4507745107"/>
    <n v="3127"/>
    <n v="361.56719216403923"/>
    <n v="2410.46"/>
    <n v="361.56719216403923"/>
  </r>
  <r>
    <x v="0"/>
    <x v="1"/>
    <x v="1"/>
    <x v="39"/>
    <x v="33"/>
    <n v="15420.8"/>
    <s v="kilowatt_hour_(kwh)"/>
    <n v="2313.1084344578276"/>
    <s v="DCYCLE SAMadrid (A2)electricity4507845107"/>
    <n v="15420.8"/>
    <n v="3.6003600360036003"/>
    <n v="12"/>
    <n v="3.6003600360036003"/>
  </r>
  <r>
    <x v="0"/>
    <x v="1"/>
    <x v="2"/>
    <x v="39"/>
    <x v="33"/>
    <n v="0"/>
    <s v="therm_(thm)"/>
    <n v="0"/>
    <s v="DCYCLE SAMadrid (A2)heat4507845107"/>
    <n v="0"/>
    <n v="114.4"/>
    <n v="2860"/>
    <n v="114.4"/>
  </r>
  <r>
    <x v="0"/>
    <x v="0"/>
    <x v="1"/>
    <x v="39"/>
    <x v="33"/>
    <n v="19897.490000000002"/>
    <s v="kilowatt_hour_(kwh)"/>
    <n v="2984.6085769571155"/>
    <s v="DCYCLE SAMadridelectricity4507845107"/>
    <n v="19897.490000000002"/>
    <n v="1015.9449202753987"/>
    <n v="6773"/>
    <n v="1015.9449202753987"/>
  </r>
  <r>
    <x v="0"/>
    <x v="0"/>
    <x v="3"/>
    <x v="39"/>
    <x v="33"/>
    <n v="2000"/>
    <s v="Kilogram_(kg)"/>
    <n v="80"/>
    <s v="DCYCLE SAMadridwaste4507845107"/>
    <n v="2000"/>
    <n v="8988.5550572247139"/>
    <n v="2000000"/>
    <n v="80000"/>
  </r>
  <r>
    <x v="0"/>
    <x v="0"/>
    <x v="3"/>
    <x v="39"/>
    <x v="33"/>
    <n v="2150"/>
    <s v="Kilogram_(kg)"/>
    <n v="86"/>
    <s v="DCYCLE SAMadridwaste4507845107"/>
    <n v="2150"/>
    <n v="154.4"/>
    <n v="2150000"/>
    <n v="86000"/>
  </r>
  <r>
    <x v="0"/>
    <x v="0"/>
    <x v="3"/>
    <x v="39"/>
    <x v="33"/>
    <n v="6140"/>
    <s v="Kilogram_(kg)"/>
    <n v="245.6"/>
    <s v="DCYCLE SAMadridwaste4507845107"/>
    <n v="6140"/>
    <n v="33.200000000000003"/>
    <n v="6140000"/>
    <n v="245600"/>
  </r>
  <r>
    <x v="0"/>
    <x v="0"/>
    <x v="3"/>
    <x v="39"/>
    <x v="33"/>
    <n v="6400"/>
    <s v="Kilogram_(kg)"/>
    <n v="256"/>
    <s v="DCYCLE SAMadridwaste4507845107"/>
    <n v="6400"/>
    <n v="94.4"/>
    <n v="6400000"/>
    <n v="256000"/>
  </r>
  <r>
    <x v="0"/>
    <x v="3"/>
    <x v="0"/>
    <x v="40"/>
    <x v="34"/>
    <n v="9"/>
    <s v="cubic_metre_(m3)"/>
    <n v="2.7002700270027002"/>
    <s v="DCYCLE SABCNwater4510545167"/>
    <n v="9"/>
    <n v="1173.305289401472"/>
    <n v="977.71529765824664"/>
    <n v="1173.305289401472"/>
  </r>
  <r>
    <x v="0"/>
    <x v="3"/>
    <x v="1"/>
    <x v="41"/>
    <x v="35"/>
    <n v="11753"/>
    <s v="kilowatt_hour_(kwh)"/>
    <n v="1762.9411852940736"/>
    <s v="DCYCLE SABCNelectricity4510745138"/>
    <n v="11753"/>
    <n v="136565.31717341414"/>
    <n v="910440"/>
    <n v="136565.31717341414"/>
  </r>
  <r>
    <x v="0"/>
    <x v="1"/>
    <x v="1"/>
    <x v="41"/>
    <x v="35"/>
    <n v="30571"/>
    <s v="kilowatt_hour_(kwh)"/>
    <n v="4585.627071864641"/>
    <s v="DCYCLE SAMadrid (A2)electricity4510745138"/>
    <n v="30571"/>
    <n v="519.82657391469559"/>
    <n v="433.17148404311587"/>
    <n v="519.82657391469559"/>
  </r>
  <r>
    <x v="0"/>
    <x v="0"/>
    <x v="1"/>
    <x v="41"/>
    <x v="35"/>
    <n v="2598"/>
    <s v="kilowatt_hour_(kwh)"/>
    <n v="389.69805150974247"/>
    <s v="DCYCLE SAMadridelectricity4510745138"/>
    <n v="0"/>
    <n v="3649.4817525912372"/>
    <n v="24330"/>
    <n v="3649.4817525912372"/>
  </r>
  <r>
    <x v="0"/>
    <x v="0"/>
    <x v="1"/>
    <x v="41"/>
    <x v="35"/>
    <n v="64416"/>
    <s v="kilowatt_hour_(kwh)"/>
    <n v="9662.3516882415588"/>
    <s v="DCYCLE SAMadridelectricity4510745138"/>
    <n v="64416"/>
    <n v="0"/>
    <n v="0"/>
    <n v="0"/>
  </r>
  <r>
    <x v="0"/>
    <x v="2"/>
    <x v="1"/>
    <x v="41"/>
    <x v="35"/>
    <n v="2612"/>
    <s v="kilowatt_hour_(kwh)"/>
    <n v="391.79804100979499"/>
    <s v="DCYCLE SATajonarelectricity4510745138"/>
    <n v="2612"/>
    <n v="97.6"/>
    <n v="2440"/>
    <n v="97.6"/>
  </r>
  <r>
    <x v="0"/>
    <x v="1"/>
    <x v="1"/>
    <x v="42"/>
    <x v="35"/>
    <n v="15182.2"/>
    <s v="kilowatt_hour_(kwh)"/>
    <n v="2277.3186134069333"/>
    <s v="DCYCLE SAMadrid (A2)electricity4510845138"/>
    <n v="15182.2"/>
    <n v="31.203120312031203"/>
    <n v="104"/>
    <n v="31.203120312031203"/>
  </r>
  <r>
    <x v="0"/>
    <x v="1"/>
    <x v="2"/>
    <x v="42"/>
    <x v="35"/>
    <n v="0"/>
    <s v="therm_(thm)"/>
    <n v="0"/>
    <s v="DCYCLE SAMadrid (A2)heat4510845138"/>
    <n v="0"/>
    <n v="35.103510351035105"/>
    <n v="117"/>
    <n v="35.103510351035105"/>
  </r>
  <r>
    <x v="0"/>
    <x v="0"/>
    <x v="1"/>
    <x v="42"/>
    <x v="35"/>
    <n v="18975.43"/>
    <s v="kilowatt_hour_(kwh)"/>
    <n v="2846.3002684986577"/>
    <s v="DCYCLE SAMadridelectricity4510845138"/>
    <n v="18975.43"/>
    <n v="9296.9535152324243"/>
    <n v="61980"/>
    <n v="9296.9535152324243"/>
  </r>
  <r>
    <x v="0"/>
    <x v="0"/>
    <x v="3"/>
    <x v="42"/>
    <x v="35"/>
    <n v="19"/>
    <s v="Kilogram_(kg)"/>
    <n v="0.76"/>
    <s v="DCYCLE SAMadridwaste4510845138"/>
    <n v="19"/>
    <n v="0"/>
    <n v="19000"/>
    <n v="760"/>
  </r>
  <r>
    <x v="0"/>
    <x v="0"/>
    <x v="3"/>
    <x v="42"/>
    <x v="35"/>
    <n v="65"/>
    <s v="Kilogram_(kg)"/>
    <n v="2.6"/>
    <s v="DCYCLE SAMadridwaste4510845138"/>
    <n v="65"/>
    <n v="423.15838420807899"/>
    <n v="65000"/>
    <n v="2600"/>
  </r>
  <r>
    <x v="0"/>
    <x v="0"/>
    <x v="3"/>
    <x v="42"/>
    <x v="35"/>
    <n v="140"/>
    <s v="Kilogram_(kg)"/>
    <n v="5.6"/>
    <s v="DCYCLE SAMadridwaste4510845138"/>
    <n v="140"/>
    <n v="120.8"/>
    <n v="140000"/>
    <n v="5600"/>
  </r>
  <r>
    <x v="0"/>
    <x v="0"/>
    <x v="3"/>
    <x v="42"/>
    <x v="35"/>
    <n v="150"/>
    <s v="Kilogram_(kg)"/>
    <n v="6"/>
    <s v="DCYCLE SAMadridwaste4510845138"/>
    <n v="150"/>
    <n v="4995.725021374893"/>
    <n v="150000"/>
    <n v="6000"/>
  </r>
  <r>
    <x v="0"/>
    <x v="0"/>
    <x v="3"/>
    <x v="42"/>
    <x v="35"/>
    <n v="165"/>
    <s v="Kilogram_(kg)"/>
    <n v="6.6"/>
    <s v="DCYCLE SAMadridwaste4510845138"/>
    <n v="165"/>
    <n v="0"/>
    <n v="165000"/>
    <n v="6600"/>
  </r>
  <r>
    <x v="0"/>
    <x v="0"/>
    <x v="3"/>
    <x v="42"/>
    <x v="35"/>
    <n v="200"/>
    <s v="Kilogram_(kg)"/>
    <n v="8"/>
    <s v="DCYCLE SAMadridwaste4510845138"/>
    <n v="200"/>
    <n v="0"/>
    <n v="200000"/>
    <n v="8000"/>
  </r>
  <r>
    <x v="0"/>
    <x v="0"/>
    <x v="3"/>
    <x v="42"/>
    <x v="35"/>
    <n v="560"/>
    <s v="Kilogram_(kg)"/>
    <n v="22.4"/>
    <s v="DCYCLE SAMadridwaste4510845138"/>
    <n v="560"/>
    <n v="422.91688541557295"/>
    <n v="560000"/>
    <n v="22400"/>
  </r>
  <r>
    <x v="0"/>
    <x v="0"/>
    <x v="3"/>
    <x v="42"/>
    <x v="35"/>
    <n v="1840"/>
    <s v="Kilogram_(kg)"/>
    <n v="73.599999999999994"/>
    <s v="DCYCLE SAMadridwaste4510845138"/>
    <n v="1840"/>
    <n v="3.3003300330033003"/>
    <n v="1840000"/>
    <n v="73600"/>
  </r>
  <r>
    <x v="0"/>
    <x v="0"/>
    <x v="3"/>
    <x v="42"/>
    <x v="35"/>
    <n v="1950"/>
    <s v="Kilogram_(kg)"/>
    <n v="78"/>
    <s v="DCYCLE SAMadridwaste4510845138"/>
    <n v="1950"/>
    <n v="5599.1720041399794"/>
    <n v="1950000"/>
    <n v="78000"/>
  </r>
  <r>
    <x v="0"/>
    <x v="0"/>
    <x v="3"/>
    <x v="42"/>
    <x v="35"/>
    <n v="5340"/>
    <s v="Kilogram_(kg)"/>
    <n v="213.6"/>
    <s v="DCYCLE SAMadridwaste4510845138"/>
    <n v="5340"/>
    <n v="8"/>
    <n v="5340000"/>
    <n v="213600"/>
  </r>
  <r>
    <x v="0"/>
    <x v="1"/>
    <x v="0"/>
    <x v="43"/>
    <x v="36"/>
    <n v="25"/>
    <s v="cubic_metre_(m3)"/>
    <n v="7.5007500750075007"/>
    <s v="DCYCLE SAMadrid (A2)water4513445226"/>
    <n v="25"/>
    <n v="78.400000000000006"/>
    <n v="1960"/>
    <n v="78.400000000000006"/>
  </r>
  <r>
    <x v="0"/>
    <x v="0"/>
    <x v="0"/>
    <x v="43"/>
    <x v="36"/>
    <n v="17"/>
    <s v="cubic_metre_(m3)"/>
    <n v="5.1005100510051005"/>
    <s v="DCYCLE SAMadridwater4513445226"/>
    <n v="0"/>
    <n v="0"/>
    <n v="0"/>
    <n v="0"/>
  </r>
  <r>
    <x v="0"/>
    <x v="0"/>
    <x v="0"/>
    <x v="43"/>
    <x v="36"/>
    <n v="57"/>
    <s v="cubic_metre_(m3)"/>
    <n v="17.1017101710171"/>
    <s v="DCYCLE SAMadridwater4513445226"/>
    <n v="0"/>
    <n v="79.507950795079509"/>
    <n v="265"/>
    <n v="79.507950795079509"/>
  </r>
  <r>
    <x v="0"/>
    <x v="0"/>
    <x v="0"/>
    <x v="43"/>
    <x v="36"/>
    <n v="265"/>
    <s v="cubic_metre_(m3)"/>
    <n v="79.507950795079509"/>
    <s v="DCYCLE SAMadridwater4513445226"/>
    <n v="265"/>
    <n v="3127.1843640781799"/>
    <n v="20848"/>
    <n v="3127.1843640781799"/>
  </r>
  <r>
    <x v="0"/>
    <x v="1"/>
    <x v="1"/>
    <x v="44"/>
    <x v="37"/>
    <n v="20848"/>
    <s v="kilowatt_hour_(kwh)"/>
    <n v="3127.1843640781799"/>
    <s v="DCYCLE SAMadrid (A2)electricity4513845169"/>
    <n v="20848"/>
    <n v="0"/>
    <n v="0"/>
    <n v="0"/>
  </r>
  <r>
    <x v="0"/>
    <x v="0"/>
    <x v="1"/>
    <x v="44"/>
    <x v="38"/>
    <n v="45398"/>
    <s v="kilowatt_hour_(kwh)"/>
    <n v="6809.6659516702421"/>
    <s v="DCYCLE SAMadridelectricity4513845168"/>
    <n v="45398"/>
    <n v="440.09779951100245"/>
    <n v="2934"/>
    <n v="440.09779951100245"/>
  </r>
  <r>
    <x v="0"/>
    <x v="0"/>
    <x v="1"/>
    <x v="44"/>
    <x v="37"/>
    <n v="1770"/>
    <s v="kilowatt_hour_(kwh)"/>
    <n v="265.49867250663749"/>
    <s v="DCYCLE SAMadridelectricity4513845169"/>
    <n v="1770"/>
    <n v="2156.8992155039227"/>
    <n v="14379.4"/>
    <n v="2156.8992155039227"/>
  </r>
  <r>
    <x v="0"/>
    <x v="3"/>
    <x v="1"/>
    <x v="45"/>
    <x v="37"/>
    <n v="11600"/>
    <s v="kilowatt_hour_(kwh)"/>
    <n v="1739.9913000434999"/>
    <s v="DCYCLE SABCNelectricity4513945169"/>
    <n v="11600"/>
    <n v="17.944794479447946"/>
    <n v="59.81"/>
    <n v="17.944794479447946"/>
  </r>
  <r>
    <x v="0"/>
    <x v="1"/>
    <x v="1"/>
    <x v="45"/>
    <x v="37"/>
    <n v="8937.1"/>
    <s v="kilowatt_hour_(kwh)"/>
    <n v="1340.558297208514"/>
    <s v="DCYCLE SAMadrid (A2)electricity4513945169"/>
    <n v="8937.1"/>
    <n v="0"/>
    <n v="0"/>
    <n v="0"/>
  </r>
  <r>
    <x v="0"/>
    <x v="1"/>
    <x v="2"/>
    <x v="45"/>
    <x v="37"/>
    <n v="0"/>
    <s v="therm_(thm)"/>
    <n v="0"/>
    <s v="DCYCLE SAMadrid (A2)heat4513945169"/>
    <n v="0"/>
    <n v="0"/>
    <n v="0"/>
    <n v="0"/>
  </r>
  <r>
    <x v="0"/>
    <x v="0"/>
    <x v="1"/>
    <x v="45"/>
    <x v="37"/>
    <n v="14329.2"/>
    <s v="kilowatt_hour_(kwh)"/>
    <n v="2149.3692531537345"/>
    <s v="DCYCLE SAMadridelectricity4513945169"/>
    <n v="14329.2"/>
    <n v="0"/>
    <n v="0"/>
    <n v="0"/>
  </r>
  <r>
    <x v="0"/>
    <x v="2"/>
    <x v="1"/>
    <x v="45"/>
    <x v="37"/>
    <n v="2410.46"/>
    <s v="kilowatt_hour_(kwh)"/>
    <n v="361.56719216403923"/>
    <s v="DCYCLE SATajonarelectricity4513945169"/>
    <n v="2410.46"/>
    <n v="179.2"/>
    <n v="4480"/>
    <n v="179.2"/>
  </r>
  <r>
    <x v="0"/>
    <x v="0"/>
    <x v="3"/>
    <x v="45"/>
    <x v="37"/>
    <n v="2440"/>
    <s v="Kilogram_(kg)"/>
    <n v="97.6"/>
    <s v="DCYCLE SAMadridwaste4513945169"/>
    <n v="2440"/>
    <n v="0"/>
    <n v="2440000"/>
    <n v="97600"/>
  </r>
  <r>
    <x v="0"/>
    <x v="0"/>
    <x v="3"/>
    <x v="45"/>
    <x v="37"/>
    <n v="4480"/>
    <s v="Kilogram_(kg)"/>
    <n v="179.2"/>
    <s v="DCYCLE SAMadridwaste4513945169"/>
    <n v="4480"/>
    <n v="5.6"/>
    <n v="4480000"/>
    <n v="179200"/>
  </r>
  <r>
    <x v="0"/>
    <x v="3"/>
    <x v="0"/>
    <x v="46"/>
    <x v="39"/>
    <n v="97"/>
    <s v="cubic_metre_(m3)"/>
    <n v="29.102910291029101"/>
    <s v="DCYCLE SABCNwater4516745227"/>
    <n v="97"/>
    <n v="619.53336457891646"/>
    <n v="516.25715270361115"/>
    <n v="619.53336457891646"/>
  </r>
  <r>
    <x v="0"/>
    <x v="0"/>
    <x v="1"/>
    <x v="47"/>
    <x v="37"/>
    <n v="1900"/>
    <s v="kilowatt_hour_(kwh)"/>
    <n v="284.998575007125"/>
    <s v="DCYCLE SAMadridelectricity4516845169"/>
    <n v="1900"/>
    <n v="32.799999999999997"/>
    <n v="820"/>
    <n v="32.799999999999997"/>
  </r>
  <r>
    <x v="0"/>
    <x v="3"/>
    <x v="1"/>
    <x v="48"/>
    <x v="40"/>
    <n v="9886"/>
    <s v="kilowatt_hour_(kwh)"/>
    <n v="1482.8925855370724"/>
    <s v="DCYCLE SABCNelectricity4516945199"/>
    <n v="9886"/>
    <n v="1.7281728172817281"/>
    <n v="5.76"/>
    <n v="1.7281728172817281"/>
  </r>
  <r>
    <x v="0"/>
    <x v="1"/>
    <x v="1"/>
    <x v="49"/>
    <x v="40"/>
    <n v="10221"/>
    <s v="kilowatt_hour_(kwh)"/>
    <n v="1533.1423342883286"/>
    <s v="DCYCLE SAMadrid (A2)electricity4517045199"/>
    <n v="0"/>
    <n v="74.407440744074407"/>
    <n v="248"/>
    <n v="74.407440744074407"/>
  </r>
  <r>
    <x v="0"/>
    <x v="1"/>
    <x v="1"/>
    <x v="49"/>
    <x v="40"/>
    <n v="28222"/>
    <s v="kilowatt_hour_(kwh)"/>
    <n v="4233.278833605832"/>
    <s v="DCYCLE SAMadrid (A2)electricity4517045199"/>
    <n v="28222"/>
    <n v="773.65917979868129"/>
    <n v="644.69019452624116"/>
    <n v="773.65917979868129"/>
  </r>
  <r>
    <x v="0"/>
    <x v="1"/>
    <x v="2"/>
    <x v="49"/>
    <x v="40"/>
    <n v="0"/>
    <s v="therm_(thm)"/>
    <n v="0"/>
    <s v="DCYCLE SAMadrid (A2)heat4517045199"/>
    <n v="0"/>
    <n v="0"/>
    <n v="0"/>
    <n v="0"/>
  </r>
  <r>
    <x v="1"/>
    <x v="4"/>
    <x v="1"/>
    <x v="50"/>
    <x v="41"/>
    <n v="7888"/>
    <s v="kilowatt_hour_(kwh)"/>
    <n v="1183.1940840295799"/>
    <s v="Dcycle Factory SLDcycle Factory SLelectricity4447044500"/>
    <n v="7888"/>
    <n v="1183.1940840295799"/>
    <n v="7888"/>
    <n v="1183.1940840295799"/>
  </r>
  <r>
    <x v="1"/>
    <x v="4"/>
    <x v="1"/>
    <x v="51"/>
    <x v="42"/>
    <n v="10005"/>
    <s v="kilowatt_hour_(kwh)"/>
    <n v="1500.7424962875186"/>
    <s v="Dcycle Factory SLDcycle Factory SLelectricity4450144530"/>
    <n v="10005"/>
    <n v="1500.7424962875186"/>
    <n v="10005"/>
    <n v="1500.7424962875186"/>
  </r>
  <r>
    <x v="1"/>
    <x v="4"/>
    <x v="1"/>
    <x v="52"/>
    <x v="43"/>
    <n v="7558"/>
    <s v="kilowatt_hour_(kwh)"/>
    <n v="1133.6943315283424"/>
    <s v="Dcycle Factory SLDcycle Factory SLelectricity4453144561"/>
    <n v="7558"/>
    <n v="1133.6943315283424"/>
    <n v="7558"/>
    <n v="1133.6943315283424"/>
  </r>
  <r>
    <x v="1"/>
    <x v="4"/>
    <x v="1"/>
    <x v="3"/>
    <x v="2"/>
    <n v="10694"/>
    <s v="kilowatt_hour_(kwh)"/>
    <n v="1604.0919795401023"/>
    <s v="Dcycle Factory SLDcycle Factory SLelectricity4456244592"/>
    <n v="10694"/>
    <n v="1604.0919795401023"/>
    <n v="10694"/>
    <n v="1604.0919795401023"/>
  </r>
  <r>
    <x v="1"/>
    <x v="4"/>
    <x v="1"/>
    <x v="4"/>
    <x v="3"/>
    <n v="10122"/>
    <s v="kilowatt_hour_(kwh)"/>
    <n v="1518.2924085379575"/>
    <s v="Dcycle Factory SLDcycle Factory SLelectricity4459344620"/>
    <n v="10122"/>
    <n v="1518.2924085379575"/>
    <n v="10122"/>
    <n v="1518.2924085379575"/>
  </r>
  <r>
    <x v="1"/>
    <x v="4"/>
    <x v="1"/>
    <x v="7"/>
    <x v="7"/>
    <n v="10019"/>
    <s v="kilowatt_hour_(kwh)"/>
    <n v="1502.8424857875711"/>
    <s v="Dcycle Factory SLDcycle Factory SLelectricity4462144651"/>
    <n v="10019"/>
    <n v="1502.8424857875711"/>
    <n v="10019"/>
    <n v="1502.8424857875711"/>
  </r>
  <r>
    <x v="1"/>
    <x v="4"/>
    <x v="1"/>
    <x v="8"/>
    <x v="8"/>
    <n v="7619"/>
    <s v="kilowatt_hour_(kwh)"/>
    <n v="1142.8442857785712"/>
    <s v="Dcycle Factory SLDcycle Factory SLelectricity4465244681"/>
    <n v="7619"/>
    <n v="1142.8442857785712"/>
    <n v="7619"/>
    <n v="1142.8442857785712"/>
  </r>
  <r>
    <x v="1"/>
    <x v="4"/>
    <x v="1"/>
    <x v="9"/>
    <x v="9"/>
    <n v="8615"/>
    <s v="kilowatt_hour_(kwh)"/>
    <n v="1292.2435387823061"/>
    <s v="Dcycle Factory SLDcycle Factory SLelectricity4468244712"/>
    <n v="8615"/>
    <n v="1292.2435387823061"/>
    <n v="8615"/>
    <n v="1292.2435387823061"/>
  </r>
  <r>
    <x v="1"/>
    <x v="4"/>
    <x v="1"/>
    <x v="11"/>
    <x v="10"/>
    <n v="10653"/>
    <s v="kilowatt_hour_(kwh)"/>
    <n v="1597.9420102899487"/>
    <s v="Dcycle Factory SLDcycle Factory SLelectricity4471344742"/>
    <n v="10653"/>
    <n v="1597.9420102899487"/>
    <n v="10653"/>
    <n v="1597.9420102899487"/>
  </r>
  <r>
    <x v="1"/>
    <x v="4"/>
    <x v="1"/>
    <x v="12"/>
    <x v="11"/>
    <n v="12552"/>
    <s v="kilowatt_hour_(kwh)"/>
    <n v="1882.7905860470698"/>
    <s v="Dcycle Factory SLDcycle Factory SLelectricity4474344773"/>
    <n v="12552"/>
    <n v="1882.7905860470698"/>
    <n v="12552"/>
    <n v="1882.7905860470698"/>
  </r>
  <r>
    <x v="1"/>
    <x v="4"/>
    <x v="1"/>
    <x v="13"/>
    <x v="12"/>
    <n v="2571"/>
    <s v="kilowatt_hour_(kwh)"/>
    <n v="385.6480717596412"/>
    <s v="Dcycle Factory SLDcycle Factory SLelectricity4477444804"/>
    <n v="2571"/>
    <n v="385.6480717596412"/>
    <n v="2571"/>
    <n v="385.6480717596412"/>
  </r>
  <r>
    <x v="1"/>
    <x v="4"/>
    <x v="1"/>
    <x v="15"/>
    <x v="14"/>
    <n v="12126"/>
    <s v="kilowatt_hour_(kwh)"/>
    <n v="1818.8909055454724"/>
    <s v="Dcycle Factory SLDcycle Factory SLelectricity4480544834"/>
    <n v="12126"/>
    <n v="1818.8909055454724"/>
    <n v="12126"/>
    <n v="1818.8909055454724"/>
  </r>
  <r>
    <x v="1"/>
    <x v="4"/>
    <x v="1"/>
    <x v="16"/>
    <x v="15"/>
    <n v="8807"/>
    <s v="kilowatt_hour_(kwh)"/>
    <n v="1321.0433947830261"/>
    <s v="Dcycle Factory SLDcycle Factory SLelectricity4483544865"/>
    <n v="8807"/>
    <n v="1321.0433947830261"/>
    <n v="8807"/>
    <n v="1321.0433947830261"/>
  </r>
  <r>
    <x v="1"/>
    <x v="4"/>
    <x v="1"/>
    <x v="18"/>
    <x v="17"/>
    <n v="8294"/>
    <s v="kilowatt_hour_(kwh)"/>
    <n v="1244.0937795311024"/>
    <s v="Dcycle Factory SLDcycle Factory SLelectricity4486644895"/>
    <n v="8294"/>
    <n v="1244.0937795311024"/>
    <n v="8294"/>
    <n v="1244.0937795311024"/>
  </r>
  <r>
    <x v="1"/>
    <x v="4"/>
    <x v="1"/>
    <x v="20"/>
    <x v="1"/>
    <n v="7054"/>
    <s v="kilowatt_hour_(kwh)"/>
    <n v="1058.0947095264523"/>
    <s v="Dcycle Factory SLDcycle Factory SLelectricity4489644926"/>
    <n v="7054"/>
    <n v="1058.0947095264523"/>
    <n v="7054"/>
    <n v="1058.0947095264523"/>
  </r>
  <r>
    <x v="1"/>
    <x v="4"/>
    <x v="1"/>
    <x v="23"/>
    <x v="20"/>
    <n v="10737"/>
    <s v="kilowatt_hour_(kwh)"/>
    <n v="1610.5419472902636"/>
    <s v="Dcycle Factory SLDcycle Factory SLelectricity4492744957"/>
    <n v="10737"/>
    <n v="1610.5419472902636"/>
    <n v="10737"/>
    <n v="1610.5419472902636"/>
  </r>
  <r>
    <x v="1"/>
    <x v="4"/>
    <x v="1"/>
    <x v="26"/>
    <x v="23"/>
    <n v="10701"/>
    <s v="kilowatt_hour_(kwh)"/>
    <n v="1605.1419742901287"/>
    <s v="Dcycle Factory SLDcycle Factory SLelectricity4495844985"/>
    <n v="10701"/>
    <n v="1605.1419742901287"/>
    <n v="10701"/>
    <n v="1605.1419742901287"/>
  </r>
  <r>
    <x v="1"/>
    <x v="4"/>
    <x v="1"/>
    <x v="30"/>
    <x v="26"/>
    <n v="10788"/>
    <s v="kilowatt_hour_(kwh)"/>
    <n v="1618.1919090404549"/>
    <s v="Dcycle Factory SLDcycle Factory SLelectricity4498645016"/>
    <n v="10788"/>
    <n v="1618.1919090404549"/>
    <n v="10788"/>
    <n v="1618.1919090404549"/>
  </r>
  <r>
    <x v="1"/>
    <x v="4"/>
    <x v="1"/>
    <x v="33"/>
    <x v="29"/>
    <n v="7012"/>
    <s v="kilowatt_hour_(kwh)"/>
    <n v="1051.794741026295"/>
    <s v="Dcycle Factory SLDcycle Factory SLelectricity4501745046"/>
    <n v="7012"/>
    <n v="1051.794741026295"/>
    <n v="7012"/>
    <n v="1051.794741026295"/>
  </r>
  <r>
    <x v="1"/>
    <x v="4"/>
    <x v="1"/>
    <x v="36"/>
    <x v="31"/>
    <n v="9246"/>
    <s v="kilowatt_hour_(kwh)"/>
    <n v="1386.8930655346724"/>
    <s v="Dcycle Factory SLDcycle Factory SLelectricity4504745077"/>
    <n v="9246"/>
    <n v="1386.8930655346724"/>
    <n v="9246"/>
    <n v="1386.8930655346724"/>
  </r>
  <r>
    <x v="1"/>
    <x v="4"/>
    <x v="1"/>
    <x v="39"/>
    <x v="33"/>
    <n v="11920"/>
    <s v="kilowatt_hour_(kwh)"/>
    <n v="1787.9910600446999"/>
    <s v="Dcycle Factory SLDcycle Factory SLelectricity4507845107"/>
    <n v="11920"/>
    <n v="1787.9910600446999"/>
    <n v="11920"/>
    <n v="1787.9910600446999"/>
  </r>
  <r>
    <x v="1"/>
    <x v="4"/>
    <x v="1"/>
    <x v="42"/>
    <x v="35"/>
    <n v="12836"/>
    <s v="kilowatt_hour_(kwh)"/>
    <n v="1925.390373048135"/>
    <s v="Dcycle Factory SLDcycle Factory SLelectricity4510845138"/>
    <n v="12836"/>
    <n v="1925.390373048135"/>
    <n v="12836"/>
    <n v="1925.390373048135"/>
  </r>
  <r>
    <x v="1"/>
    <x v="4"/>
    <x v="1"/>
    <x v="45"/>
    <x v="37"/>
    <n v="3928"/>
    <s v="kilowatt_hour_(kwh)"/>
    <n v="589.19705401472993"/>
    <s v="Dcycle Factory SLDcycle Factory SLelectricity4513945169"/>
    <n v="3928"/>
    <n v="589.19705401472993"/>
    <n v="3928"/>
    <n v="589.19705401472993"/>
  </r>
  <r>
    <x v="1"/>
    <x v="4"/>
    <x v="1"/>
    <x v="49"/>
    <x v="40"/>
    <n v="11570"/>
    <s v="kilowatt_hour_(kwh)"/>
    <n v="1735.4913225433875"/>
    <s v="Dcycle Factory SLDcycle Factory SLelectricity4517045199"/>
    <n v="11570"/>
    <n v="1735.4913225433875"/>
    <n v="11570"/>
    <n v="1735.4913225433875"/>
  </r>
  <r>
    <x v="1"/>
    <x v="4"/>
    <x v="1"/>
    <x v="53"/>
    <x v="44"/>
    <n v="10259"/>
    <s v="kilowatt_hour_(kwh)"/>
    <n v="1538.8423057884711"/>
    <s v="Dcycle Factory SLDcycle Factory SLelectricity4520045230"/>
    <n v="10259"/>
    <n v="1538.8423057884711"/>
    <n v="10259"/>
    <n v="1538.8423057884711"/>
  </r>
  <r>
    <x v="1"/>
    <x v="4"/>
    <x v="1"/>
    <x v="54"/>
    <x v="45"/>
    <n v="8992"/>
    <s v="kilowatt_hour_(kwh)"/>
    <n v="1348.7932560337199"/>
    <s v="Dcycle Factory SLDcycle Factory SLelectricity4523145260"/>
    <n v="8992"/>
    <n v="1348.7932560337199"/>
    <n v="8992"/>
    <n v="1348.7932560337199"/>
  </r>
  <r>
    <x v="1"/>
    <x v="4"/>
    <x v="1"/>
    <x v="55"/>
    <x v="21"/>
    <n v="7387"/>
    <s v="kilowatt_hour_(kwh)"/>
    <n v="1108.0444597777011"/>
    <s v="Dcycle Factory SLDcycle Factory SLelectricity4526145291"/>
    <n v="7387"/>
    <n v="1108.0444597777011"/>
    <n v="7387"/>
    <n v="1108.0444597777011"/>
  </r>
  <r>
    <x v="1"/>
    <x v="4"/>
    <x v="0"/>
    <x v="23"/>
    <x v="46"/>
    <n v="132.86000000000001"/>
    <s v="cubic_metre_(m3)"/>
    <n v="39.861986198619867"/>
    <s v="Dcycle Factory SLDcycle Factory SLwater4492745089"/>
    <n v="132.86000000000001"/>
    <n v="39.861986198619867"/>
    <n v="132.86000000000001"/>
    <n v="39.861986198619867"/>
  </r>
  <r>
    <x v="1"/>
    <x v="4"/>
    <x v="0"/>
    <x v="56"/>
    <x v="47"/>
    <n v="0"/>
    <s v="cubic_metre_(m3)"/>
    <n v="0"/>
    <s v="Dcycle Factory SLDcycle Factory SLwater4509045111"/>
    <n v="0"/>
    <n v="0"/>
    <n v="0"/>
    <n v="0"/>
  </r>
  <r>
    <x v="1"/>
    <x v="4"/>
    <x v="0"/>
    <x v="57"/>
    <x v="48"/>
    <n v="0"/>
    <s v="cubic_metre_(m3)"/>
    <n v="0"/>
    <s v="Dcycle Factory SLDcycle Factory SLwater4511145170"/>
    <n v="0"/>
    <n v="0"/>
    <n v="0"/>
    <n v="0"/>
  </r>
  <r>
    <x v="1"/>
    <x v="4"/>
    <x v="0"/>
    <x v="49"/>
    <x v="44"/>
    <n v="71"/>
    <s v="cubic_metre_(m3)"/>
    <n v="21.3021302130213"/>
    <s v="Dcycle Factory SLDcycle Factory SLwater4517045230"/>
    <n v="71"/>
    <n v="21.3021302130213"/>
    <n v="71"/>
    <n v="21.3021302130213"/>
  </r>
  <r>
    <x v="1"/>
    <x v="4"/>
    <x v="0"/>
    <x v="58"/>
    <x v="49"/>
    <n v="115"/>
    <s v="cubic_metre_(m3)"/>
    <n v="34.503450345034501"/>
    <s v="Dcycle Factory SLDcycle Factory SLwater4523045289"/>
    <n v="115"/>
    <n v="34.503450345034501"/>
    <n v="115"/>
    <n v="34.503450345034501"/>
  </r>
  <r>
    <x v="2"/>
    <x v="5"/>
    <x v="0"/>
    <x v="3"/>
    <x v="1"/>
    <n v="261"/>
    <s v="cubic_metre_(m3)"/>
    <n v="78.307830783078302"/>
    <s v="Dcycle Andina SASD - Bodega 1water4456244926"/>
    <n v="261"/>
    <n v="11.2"/>
    <n v="280"/>
    <n v="11.2"/>
  </r>
  <r>
    <x v="2"/>
    <x v="5"/>
    <x v="3"/>
    <x v="3"/>
    <x v="1"/>
    <n v="1"/>
    <s v="Kilogram_(kg)"/>
    <n v="0.04"/>
    <s v="Dcycle Andina SASD - Bodega 1waste4456244926"/>
    <n v="1"/>
    <n v="1.92"/>
    <n v="1000"/>
    <n v="40"/>
  </r>
  <r>
    <x v="2"/>
    <x v="5"/>
    <x v="3"/>
    <x v="3"/>
    <x v="1"/>
    <n v="1496"/>
    <s v="Kilogram_(kg)"/>
    <n v="59.84"/>
    <s v="Dcycle Andina SASD - Bodega 1waste4456244926"/>
    <n v="1496"/>
    <n v="20.6"/>
    <n v="1496000"/>
    <n v="59840"/>
  </r>
  <r>
    <x v="2"/>
    <x v="5"/>
    <x v="3"/>
    <x v="3"/>
    <x v="1"/>
    <n v="3633"/>
    <s v="Kilogram_(kg)"/>
    <n v="145.32"/>
    <s v="Dcycle Andina SASD - Bodega 1waste4456244926"/>
    <n v="3633"/>
    <n v="258.14870925645374"/>
    <n v="3633000"/>
    <n v="145320"/>
  </r>
  <r>
    <x v="2"/>
    <x v="5"/>
    <x v="3"/>
    <x v="3"/>
    <x v="1"/>
    <n v="17600"/>
    <s v="Kilogram_(kg)"/>
    <n v="704"/>
    <s v="Dcycle Andina SASD - Bodega 1waste4456244926"/>
    <n v="17600"/>
    <n v="41.249793751031248"/>
    <n v="17600000"/>
    <n v="704000"/>
  </r>
  <r>
    <x v="2"/>
    <x v="6"/>
    <x v="0"/>
    <x v="18"/>
    <x v="17"/>
    <n v="5"/>
    <s v="cubic_metre_(m3)"/>
    <n v="1.5001500150015001"/>
    <s v="Dcycle Andina SASD - Bodega 2 (almacén)water4486644895"/>
    <n v="5"/>
    <n v="1.68"/>
    <n v="42"/>
    <n v="1.68"/>
  </r>
  <r>
    <x v="2"/>
    <x v="6"/>
    <x v="0"/>
    <x v="20"/>
    <x v="1"/>
    <n v="4"/>
    <s v="cubic_metre_(m3)"/>
    <n v="1.2001200120012001"/>
    <s v="Dcycle Andina SASD - Bodega 2 (almacén)water4489644926"/>
    <n v="4"/>
    <n v="14.08"/>
    <n v="352"/>
    <n v="14.08"/>
  </r>
  <r>
    <x v="2"/>
    <x v="5"/>
    <x v="1"/>
    <x v="59"/>
    <x v="50"/>
    <n v="1066"/>
    <s v="kilowatt_hour_(kwh)"/>
    <n v="159.89920050399749"/>
    <s v="Dcycle Andina SASD - Bodega 1electricity4490044930"/>
    <n v="1066"/>
    <n v="78.307830783078302"/>
    <n v="261"/>
    <n v="78.307830783078302"/>
  </r>
  <r>
    <x v="2"/>
    <x v="6"/>
    <x v="1"/>
    <x v="59"/>
    <x v="50"/>
    <n v="360"/>
    <s v="kilowatt_hour_(kwh)"/>
    <n v="53.999730001349995"/>
    <s v="Dcycle Andina SASD - Bodega 2 (almacén)electricity4490044930"/>
    <n v="360"/>
    <n v="59.249703751481249"/>
    <n v="395"/>
    <n v="59.249703751481249"/>
  </r>
  <r>
    <x v="2"/>
    <x v="5"/>
    <x v="0"/>
    <x v="23"/>
    <x v="20"/>
    <n v="9"/>
    <s v="cubic_metre_(m3)"/>
    <n v="2.7002700270027002"/>
    <s v="Dcycle Andina SASD - Bodega 1water4492744957"/>
    <n v="9"/>
    <n v="3.0003000300030003"/>
    <n v="10"/>
    <n v="3.0003000300030003"/>
  </r>
  <r>
    <x v="2"/>
    <x v="6"/>
    <x v="0"/>
    <x v="23"/>
    <x v="20"/>
    <n v="7"/>
    <s v="cubic_metre_(m3)"/>
    <n v="2.1002100210021002"/>
    <s v="Dcycle Andina SASD - Bodega 2 (almacén)water4492744957"/>
    <n v="7"/>
    <n v="212.998935005325"/>
    <n v="1420"/>
    <n v="212.998935005325"/>
  </r>
  <r>
    <x v="2"/>
    <x v="6"/>
    <x v="3"/>
    <x v="23"/>
    <x v="20"/>
    <n v="42"/>
    <s v="Kilogram_(kg)"/>
    <n v="1.68"/>
    <s v="Dcycle Andina SASD - Bodega 2 (almacén)waste4492744957"/>
    <n v="42"/>
    <n v="1.6"/>
    <n v="42000"/>
    <n v="1680"/>
  </r>
  <r>
    <x v="2"/>
    <x v="6"/>
    <x v="3"/>
    <x v="23"/>
    <x v="20"/>
    <n v="208"/>
    <s v="Kilogram_(kg)"/>
    <n v="8.32"/>
    <s v="Dcycle Andina SASD - Bodega 2 (almacén)waste4492744957"/>
    <n v="208"/>
    <n v="1.5001500150015001"/>
    <n v="208000"/>
    <n v="8320"/>
  </r>
  <r>
    <x v="2"/>
    <x v="6"/>
    <x v="3"/>
    <x v="23"/>
    <x v="20"/>
    <n v="335"/>
    <s v="Kilogram_(kg)"/>
    <n v="13.4"/>
    <s v="Dcycle Andina SASD - Bodega 2 (almacén)waste4492744957"/>
    <n v="335"/>
    <n v="0.44"/>
    <n v="335000"/>
    <n v="13400"/>
  </r>
  <r>
    <x v="2"/>
    <x v="5"/>
    <x v="1"/>
    <x v="60"/>
    <x v="51"/>
    <n v="1195"/>
    <s v="kilowatt_hour_(kwh)"/>
    <n v="179.24910375448124"/>
    <s v="Dcycle Andina SASD - Bodega 1electricity4493144959"/>
    <n v="1195"/>
    <n v="0.04"/>
    <n v="1"/>
    <n v="0.04"/>
  </r>
  <r>
    <x v="2"/>
    <x v="6"/>
    <x v="1"/>
    <x v="60"/>
    <x v="51"/>
    <n v="340"/>
    <s v="kilowatt_hour_(kwh)"/>
    <n v="50.999745001274995"/>
    <s v="Dcycle Andina SASD - Bodega 2 (almacén)electricity4493144959"/>
    <n v="340"/>
    <n v="2.7002700270027002"/>
    <n v="9"/>
    <n v="2.7002700270027002"/>
  </r>
  <r>
    <x v="2"/>
    <x v="6"/>
    <x v="3"/>
    <x v="26"/>
    <x v="52"/>
    <n v="280"/>
    <s v="Kilogram_(kg)"/>
    <n v="11.2"/>
    <s v="Dcycle Andina SASD - Bodega 2 (almacén)waste4495844983"/>
    <n v="280"/>
    <n v="0.21199999999999999"/>
    <n v="280000"/>
    <n v="11200"/>
  </r>
  <r>
    <x v="2"/>
    <x v="5"/>
    <x v="0"/>
    <x v="26"/>
    <x v="23"/>
    <n v="10"/>
    <s v="cubic_metre_(m3)"/>
    <n v="3.0003000300030003"/>
    <s v="Dcycle Andina SASD - Bodega 1water4495844985"/>
    <n v="10"/>
    <n v="1.5001500150015001"/>
    <n v="5"/>
    <n v="1.5001500150015001"/>
  </r>
  <r>
    <x v="2"/>
    <x v="6"/>
    <x v="0"/>
    <x v="26"/>
    <x v="23"/>
    <n v="5"/>
    <s v="cubic_metre_(m3)"/>
    <n v="1.5001500150015001"/>
    <s v="Dcycle Andina SASD - Bodega 2 (almacén)water4495844985"/>
    <n v="5"/>
    <n v="50.999745001274995"/>
    <n v="340"/>
    <n v="50.999745001274995"/>
  </r>
  <r>
    <x v="2"/>
    <x v="6"/>
    <x v="3"/>
    <x v="26"/>
    <x v="23"/>
    <n v="15"/>
    <s v="Kilogram_(kg)"/>
    <n v="0.6"/>
    <s v="Dcycle Andina SASD - Bodega 2 (almacén)waste4495844985"/>
    <n v="15"/>
    <n v="3.9003900390039004"/>
    <n v="15000"/>
    <n v="600"/>
  </r>
  <r>
    <x v="2"/>
    <x v="6"/>
    <x v="3"/>
    <x v="26"/>
    <x v="23"/>
    <n v="60"/>
    <s v="Kilogram_(kg)"/>
    <n v="2.4"/>
    <s v="Dcycle Andina SASD - Bodega 2 (almacén)waste4495844985"/>
    <n v="60"/>
    <n v="25.8"/>
    <n v="60000"/>
    <n v="2400"/>
  </r>
  <r>
    <x v="2"/>
    <x v="5"/>
    <x v="1"/>
    <x v="61"/>
    <x v="53"/>
    <n v="1511"/>
    <s v="kilowatt_hour_(kwh)"/>
    <n v="226.64886675566623"/>
    <s v="Dcycle Andina SASD - Bodega 1electricity4496044989"/>
    <n v="1511"/>
    <n v="59.84"/>
    <n v="1496"/>
    <n v="59.84"/>
  </r>
  <r>
    <x v="2"/>
    <x v="6"/>
    <x v="1"/>
    <x v="61"/>
    <x v="53"/>
    <n v="364"/>
    <s v="kilowatt_hour_(kwh)"/>
    <n v="54.599727001364997"/>
    <s v="Dcycle Andina SASD - Bodega 2 (almacén)electricity4496044989"/>
    <n v="364"/>
    <n v="1.2001200120012001"/>
    <n v="4"/>
    <n v="1.2001200120012001"/>
  </r>
  <r>
    <x v="2"/>
    <x v="5"/>
    <x v="0"/>
    <x v="30"/>
    <x v="26"/>
    <n v="11"/>
    <s v="cubic_metre_(m3)"/>
    <n v="3.3003300330033003"/>
    <s v="Dcycle Andina SASD - Bodega 1water4498645016"/>
    <n v="11"/>
    <n v="0.6"/>
    <n v="15"/>
    <n v="0.6"/>
  </r>
  <r>
    <x v="2"/>
    <x v="6"/>
    <x v="0"/>
    <x v="30"/>
    <x v="26"/>
    <n v="5"/>
    <s v="cubic_metre_(m3)"/>
    <n v="1.5001500150015001"/>
    <s v="Dcycle Andina SASD - Bodega 2 (almacén)water4498645016"/>
    <n v="5"/>
    <n v="3.9003900390039004"/>
    <n v="13"/>
    <n v="3.9003900390039004"/>
  </r>
  <r>
    <x v="2"/>
    <x v="6"/>
    <x v="3"/>
    <x v="30"/>
    <x v="26"/>
    <n v="170"/>
    <s v="Kilogram_(kg)"/>
    <n v="6.8"/>
    <s v="Dcycle Andina SASD - Bodega 2 (almacén)waste4498645016"/>
    <n v="170"/>
    <n v="257.54871225643871"/>
    <n v="170000"/>
    <n v="6800"/>
  </r>
  <r>
    <x v="2"/>
    <x v="6"/>
    <x v="3"/>
    <x v="30"/>
    <x v="26"/>
    <n v="812"/>
    <s v="Kilogram_(kg)"/>
    <n v="32.479999999999997"/>
    <s v="Dcycle Andina SASD - Bodega 2 (almacén)waste4498645016"/>
    <n v="812"/>
    <n v="47.399763001184994"/>
    <n v="812000"/>
    <n v="32480"/>
  </r>
  <r>
    <x v="2"/>
    <x v="5"/>
    <x v="1"/>
    <x v="62"/>
    <x v="54"/>
    <n v="1352"/>
    <s v="kilowatt_hour_(kwh)"/>
    <n v="202.79898600506999"/>
    <s v="Dcycle Andina SASD - Bodega 1electricity4499045019"/>
    <n v="1352"/>
    <n v="145.32"/>
    <n v="3633"/>
    <n v="145.32"/>
  </r>
  <r>
    <x v="2"/>
    <x v="6"/>
    <x v="1"/>
    <x v="62"/>
    <x v="54"/>
    <n v="395"/>
    <s v="kilowatt_hour_(kwh)"/>
    <n v="59.249703751481249"/>
    <s v="Dcycle Andina SASD - Bodega 2 (almacén)electricity4499045019"/>
    <n v="395"/>
    <n v="219.29890350548249"/>
    <n v="1462"/>
    <n v="219.29890350548249"/>
  </r>
  <r>
    <x v="2"/>
    <x v="5"/>
    <x v="0"/>
    <x v="33"/>
    <x v="29"/>
    <n v="9"/>
    <s v="cubic_metre_(m3)"/>
    <n v="2.7002700270027002"/>
    <s v="Dcycle Andina SASD - Bodega 1water4501745046"/>
    <n v="9"/>
    <n v="2.4"/>
    <n v="60"/>
    <n v="2.4"/>
  </r>
  <r>
    <x v="2"/>
    <x v="6"/>
    <x v="0"/>
    <x v="33"/>
    <x v="29"/>
    <n v="4"/>
    <s v="cubic_metre_(m3)"/>
    <n v="1.2001200120012001"/>
    <s v="Dcycle Andina SASD - Bodega 2 (almacén)water4501745046"/>
    <n v="4"/>
    <n v="1.5001500150015001"/>
    <n v="5"/>
    <n v="1.5001500150015001"/>
  </r>
  <r>
    <x v="2"/>
    <x v="5"/>
    <x v="1"/>
    <x v="63"/>
    <x v="55"/>
    <n v="1462"/>
    <s v="kilowatt_hour_(kwh)"/>
    <n v="219.29890350548249"/>
    <s v="Dcycle Andina SASD - Bodega 1electricity4502045049"/>
    <n v="1462"/>
    <n v="704"/>
    <n v="17600"/>
    <n v="704"/>
  </r>
  <r>
    <x v="2"/>
    <x v="6"/>
    <x v="1"/>
    <x v="63"/>
    <x v="55"/>
    <n v="364"/>
    <s v="kilowatt_hour_(kwh)"/>
    <n v="54.599727001364997"/>
    <s v="Dcycle Andina SASD - Bodega 2 (almacén)electricity4502045049"/>
    <n v="364"/>
    <n v="54.599727001364997"/>
    <n v="364"/>
    <n v="54.599727001364997"/>
  </r>
  <r>
    <x v="2"/>
    <x v="5"/>
    <x v="0"/>
    <x v="36"/>
    <x v="31"/>
    <n v="20"/>
    <s v="cubic_metre_(m3)"/>
    <n v="6.0006000600060005"/>
    <s v="Dcycle Andina SASD - Bodega 1water4504745077"/>
    <n v="20"/>
    <n v="226.64886675566623"/>
    <n v="1511"/>
    <n v="226.64886675566623"/>
  </r>
  <r>
    <x v="2"/>
    <x v="6"/>
    <x v="0"/>
    <x v="36"/>
    <x v="31"/>
    <n v="6"/>
    <s v="cubic_metre_(m3)"/>
    <n v="1.8001800180018002"/>
    <s v="Dcycle Andina SASD - Bodega 2 (almacén)water4504745077"/>
    <n v="6"/>
    <n v="1.88"/>
    <n v="47"/>
    <n v="1.88"/>
  </r>
  <r>
    <x v="2"/>
    <x v="6"/>
    <x v="3"/>
    <x v="36"/>
    <x v="31"/>
    <n v="63"/>
    <s v="Kilogram_(kg)"/>
    <n v="2.52"/>
    <s v="Dcycle Andina SASD - Bodega 2 (almacén)waste4504745077"/>
    <n v="63"/>
    <n v="4.2004200420042004"/>
    <n v="63000"/>
    <n v="2520"/>
  </r>
  <r>
    <x v="2"/>
    <x v="6"/>
    <x v="3"/>
    <x v="36"/>
    <x v="31"/>
    <n v="365"/>
    <s v="Kilogram_(kg)"/>
    <n v="14.6"/>
    <s v="Dcycle Andina SASD - Bodega 2 (almacén)waste4504745077"/>
    <n v="365"/>
    <n v="3.08"/>
    <n v="365000"/>
    <n v="14600"/>
  </r>
  <r>
    <x v="2"/>
    <x v="5"/>
    <x v="1"/>
    <x v="37"/>
    <x v="56"/>
    <n v="1602"/>
    <s v="kilowatt_hour_(kwh)"/>
    <n v="240.29879850600747"/>
    <s v="Dcycle Andina SASD - Bodega 1electricity4505045080"/>
    <n v="1602"/>
    <n v="1.5001500150015001"/>
    <n v="5"/>
    <n v="1.5001500150015001"/>
  </r>
  <r>
    <x v="2"/>
    <x v="6"/>
    <x v="1"/>
    <x v="37"/>
    <x v="56"/>
    <n v="395"/>
    <s v="kilowatt_hour_(kwh)"/>
    <n v="59.249703751481249"/>
    <s v="Dcycle Andina SASD - Bodega 2 (almacén)electricity4505045080"/>
    <n v="395"/>
    <n v="6.0006000600060005"/>
    <n v="20"/>
    <n v="6.0006000600060005"/>
  </r>
  <r>
    <x v="2"/>
    <x v="5"/>
    <x v="0"/>
    <x v="39"/>
    <x v="33"/>
    <n v="10"/>
    <s v="cubic_metre_(m3)"/>
    <n v="3.0003000300030003"/>
    <s v="Dcycle Andina SASD - Bodega 1water4507845107"/>
    <n v="10"/>
    <n v="54.599727001364997"/>
    <n v="364"/>
    <n v="54.599727001364997"/>
  </r>
  <r>
    <x v="2"/>
    <x v="6"/>
    <x v="0"/>
    <x v="39"/>
    <x v="33"/>
    <n v="22"/>
    <s v="cubic_metre_(m3)"/>
    <n v="6.6006600660066006"/>
    <s v="Dcycle Andina SASD - Bodega 2 (almacén)water4507845107"/>
    <n v="22"/>
    <n v="11.08"/>
    <n v="277"/>
    <n v="11.08"/>
  </r>
  <r>
    <x v="2"/>
    <x v="6"/>
    <x v="3"/>
    <x v="39"/>
    <x v="33"/>
    <n v="42"/>
    <s v="Kilogram_(kg)"/>
    <n v="1.68"/>
    <s v="Dcycle Andina SASD - Bodega 2 (almacén)waste4507845107"/>
    <n v="42"/>
    <n v="1.76"/>
    <n v="42000"/>
    <n v="1680"/>
  </r>
  <r>
    <x v="2"/>
    <x v="6"/>
    <x v="3"/>
    <x v="39"/>
    <x v="33"/>
    <n v="352"/>
    <s v="Kilogram_(kg)"/>
    <n v="14.08"/>
    <s v="Dcycle Andina SASD - Bodega 2 (almacén)waste4507845107"/>
    <n v="352"/>
    <n v="0.56000000000000005"/>
    <n v="352000"/>
    <n v="14080"/>
  </r>
  <r>
    <x v="2"/>
    <x v="5"/>
    <x v="1"/>
    <x v="64"/>
    <x v="47"/>
    <n v="1420"/>
    <s v="kilowatt_hour_(kwh)"/>
    <n v="212.998935005325"/>
    <s v="Dcycle Andina SASD - Bodega 1electricity4508145111"/>
    <n v="1420"/>
    <n v="1.2001200120012001"/>
    <n v="4"/>
    <n v="1.2001200120012001"/>
  </r>
  <r>
    <x v="2"/>
    <x v="6"/>
    <x v="1"/>
    <x v="64"/>
    <x v="47"/>
    <n v="340"/>
    <s v="kilowatt_hour_(kwh)"/>
    <n v="50.999745001274995"/>
    <s v="Dcycle Andina SASD - Bodega 2 (almacén)electricity4508145111"/>
    <n v="340"/>
    <n v="1.8001800180018002"/>
    <n v="6"/>
    <n v="1.8001800180018002"/>
  </r>
  <r>
    <x v="2"/>
    <x v="5"/>
    <x v="0"/>
    <x v="42"/>
    <x v="35"/>
    <n v="13"/>
    <s v="cubic_metre_(m3)"/>
    <n v="3.9003900390039004"/>
    <s v="Dcycle Andina SASD - Bodega 1water4510845138"/>
    <n v="13"/>
    <n v="3.3003300330033003"/>
    <n v="11"/>
    <n v="3.3003300330033003"/>
  </r>
  <r>
    <x v="2"/>
    <x v="6"/>
    <x v="0"/>
    <x v="42"/>
    <x v="35"/>
    <n v="5"/>
    <s v="cubic_metre_(m3)"/>
    <n v="1.5001500150015001"/>
    <s v="Dcycle Andina SASD - Bodega 2 (almacén)water4510845138"/>
    <n v="5"/>
    <n v="269.69865150674246"/>
    <n v="1798"/>
    <n v="269.69865150674246"/>
  </r>
  <r>
    <x v="2"/>
    <x v="6"/>
    <x v="3"/>
    <x v="42"/>
    <x v="35"/>
    <n v="47"/>
    <s v="Kilogram_(kg)"/>
    <n v="1.88"/>
    <s v="Dcycle Andina SASD - Bodega 2 (almacén)waste4510845138"/>
    <n v="47"/>
    <n v="276.14861925690371"/>
    <n v="47000"/>
    <n v="1880"/>
  </r>
  <r>
    <x v="2"/>
    <x v="6"/>
    <x v="3"/>
    <x v="42"/>
    <x v="35"/>
    <n v="277"/>
    <s v="Kilogram_(kg)"/>
    <n v="11.08"/>
    <s v="Dcycle Andina SASD - Bodega 2 (almacén)waste4510845138"/>
    <n v="277"/>
    <n v="0.14000000000000001"/>
    <n v="277000"/>
    <n v="11080"/>
  </r>
  <r>
    <x v="2"/>
    <x v="5"/>
    <x v="1"/>
    <x v="65"/>
    <x v="57"/>
    <n v="1798"/>
    <s v="kilowatt_hour_(kwh)"/>
    <n v="269.69865150674246"/>
    <s v="Dcycle Andina SASD - Bodega 1electricity4511245142"/>
    <n v="1798"/>
    <n v="159.89920050399749"/>
    <n v="1066"/>
    <n v="159.89920050399749"/>
  </r>
  <r>
    <x v="2"/>
    <x v="6"/>
    <x v="1"/>
    <x v="65"/>
    <x v="57"/>
    <n v="467"/>
    <s v="kilowatt_hour_(kwh)"/>
    <n v="70.049649751751247"/>
    <s v="Dcycle Andina SASD - Bodega 2 (almacén)electricity4511245142"/>
    <n v="467"/>
    <n v="2.52"/>
    <n v="63"/>
    <n v="2.52"/>
  </r>
  <r>
    <x v="2"/>
    <x v="5"/>
    <x v="0"/>
    <x v="66"/>
    <x v="58"/>
    <n v="7.5708200000000003E-2"/>
    <s v="cubic_metre_(m3)"/>
    <n v="2.2714731473147315E-2"/>
    <s v="Dcycle Andina SASD - Bodega 1water4512145121"/>
    <n v="7.5708200000000003E-2"/>
    <n v="13.4"/>
    <n v="335"/>
    <n v="13.4"/>
  </r>
  <r>
    <x v="2"/>
    <x v="5"/>
    <x v="0"/>
    <x v="45"/>
    <x v="37"/>
    <n v="27"/>
    <s v="cubic_metre_(m3)"/>
    <n v="8.1008100810081007"/>
    <s v="Dcycle Andina SASD - Bodega 1water4513945169"/>
    <n v="27"/>
    <n v="1.5001500150015001"/>
    <n v="5"/>
    <n v="1.5001500150015001"/>
  </r>
  <r>
    <x v="2"/>
    <x v="6"/>
    <x v="0"/>
    <x v="45"/>
    <x v="37"/>
    <n v="5"/>
    <s v="cubic_metre_(m3)"/>
    <n v="1.5001500150015001"/>
    <s v="Dcycle Andina SASD - Bodega 2 (almacén)water4513945169"/>
    <n v="5"/>
    <n v="70.049649751751247"/>
    <n v="467"/>
    <n v="70.049649751751247"/>
  </r>
  <r>
    <x v="3"/>
    <x v="7"/>
    <x v="1"/>
    <x v="67"/>
    <x v="59"/>
    <n v="9109"/>
    <s v="kilowatt_hour_(kwh)"/>
    <n v="1366.3431682841588"/>
    <s v="Dcycle Deutschland  GmbHDcycle Deutschland GmbHelectricity4446144815"/>
    <n v="9109"/>
    <n v="1366.3431682841588"/>
    <n v="9109"/>
    <n v="1366.3431682841588"/>
  </r>
  <r>
    <x v="3"/>
    <x v="7"/>
    <x v="1"/>
    <x v="68"/>
    <x v="40"/>
    <n v="8905"/>
    <s v="kilowatt_hour_(kwh)"/>
    <n v="1335.7433212833937"/>
    <s v="Dcycle Deutschland  GmbHDcycle Deutschland GmbHelectricity4481645199"/>
    <n v="8905"/>
    <n v="1335.7433212833937"/>
    <n v="8905"/>
    <n v="1335.7433212833937"/>
  </r>
  <r>
    <x v="3"/>
    <x v="7"/>
    <x v="2"/>
    <x v="67"/>
    <x v="59"/>
    <n v="1260.4454210754391"/>
    <s v="therm_(thm)"/>
    <n v="1512.5950090908905"/>
    <s v="Dcycle Deutschland  GmbHDcycle Deutschland GmbHheat4446144815"/>
    <n v="1260.4454210754391"/>
    <n v="1512.5950090908905"/>
    <n v="1260.4454210754391"/>
    <n v="1512.5950090908905"/>
  </r>
  <r>
    <x v="3"/>
    <x v="7"/>
    <x v="2"/>
    <x v="68"/>
    <x v="40"/>
    <n v="1037.7007619314093"/>
    <s v="therm_(thm)"/>
    <n v="1245.290725946729"/>
    <s v="Dcycle Deutschland  GmbHDcycle Deutschland GmbHheat4481645199"/>
    <n v="1037.7007619314093"/>
    <n v="1245.290725946729"/>
    <n v="1037.7007619314093"/>
    <n v="1245.290725946729"/>
  </r>
  <r>
    <x v="3"/>
    <x v="7"/>
    <x v="0"/>
    <x v="3"/>
    <x v="1"/>
    <n v="43"/>
    <s v="cubic_metre_(m3)"/>
    <n v="12.901290129012901"/>
    <s v="Dcycle Deutschland  GmbHDcycle Deutschland GmbHwater4456244926"/>
    <n v="43"/>
    <n v="12.901290129012901"/>
    <n v="43"/>
    <n v="12.901290129012901"/>
  </r>
  <r>
    <x v="3"/>
    <x v="7"/>
    <x v="0"/>
    <x v="23"/>
    <x v="21"/>
    <n v="29"/>
    <s v="cubic_metre_(m3)"/>
    <n v="8.7008700870087008"/>
    <s v="Dcycle Deutschland  GmbHDcycle Deutschland GmbHwater4492745291"/>
    <n v="29"/>
    <n v="8.7008700870087008"/>
    <n v="29"/>
    <n v="8.7008700870087008"/>
  </r>
  <r>
    <x v="4"/>
    <x v="8"/>
    <x v="1"/>
    <x v="69"/>
    <x v="60"/>
    <n v="2780"/>
    <s v="kilowatt_hour_(kwh)"/>
    <n v="416.99791501042495"/>
    <s v="Dcycle France SARLDcycle France SARLelectricity4492244952"/>
    <n v="2780"/>
    <n v="416.99791501042495"/>
    <n v="2780"/>
    <n v="416.99791501042495"/>
  </r>
  <r>
    <x v="4"/>
    <x v="8"/>
    <x v="1"/>
    <x v="70"/>
    <x v="52"/>
    <n v="2942"/>
    <s v="kilowatt_hour_(kwh)"/>
    <n v="441.29779351103247"/>
    <s v="Dcycle France SARLDcycle France SARLelectricity4495344983"/>
    <n v="2942"/>
    <n v="441.29779351103247"/>
    <n v="2942"/>
    <n v="441.29779351103247"/>
  </r>
  <r>
    <x v="4"/>
    <x v="8"/>
    <x v="1"/>
    <x v="71"/>
    <x v="61"/>
    <n v="2316"/>
    <s v="kilowatt_hour_(kwh)"/>
    <n v="347.39826300868498"/>
    <s v="Dcycle France SARLDcycle France SARLelectricity4498445011"/>
    <n v="2316"/>
    <n v="347.39826300868498"/>
    <n v="2316"/>
    <n v="347.39826300868498"/>
  </r>
  <r>
    <x v="4"/>
    <x v="8"/>
    <x v="1"/>
    <x v="72"/>
    <x v="62"/>
    <n v="7938.47"/>
    <s v="kilowatt_hour_(kwh)"/>
    <n v="1190.7645461772693"/>
    <s v="Dcycle France SARLDcycle France SARLelectricity4501245042"/>
    <n v="7938.47"/>
    <n v="1190.7645461772693"/>
    <n v="7938.47"/>
    <n v="1190.7645461772693"/>
  </r>
  <r>
    <x v="4"/>
    <x v="8"/>
    <x v="1"/>
    <x v="34"/>
    <x v="63"/>
    <n v="826"/>
    <s v="kilowatt_hour_(kwh)"/>
    <n v="123.89938050309749"/>
    <s v="Dcycle France SARLDcycle France SARLelectricity4504345072"/>
    <n v="826"/>
    <n v="123.89938050309749"/>
    <n v="826"/>
    <n v="123.89938050309749"/>
  </r>
  <r>
    <x v="4"/>
    <x v="8"/>
    <x v="1"/>
    <x v="73"/>
    <x v="64"/>
    <n v="328"/>
    <s v="kilowatt_hour_(kwh)"/>
    <n v="49.199754001229998"/>
    <s v="Dcycle France SARLDcycle France SARLelectricity4507345103"/>
    <n v="328"/>
    <n v="49.199754001229998"/>
    <n v="328"/>
    <n v="49.199754001229998"/>
  </r>
  <r>
    <x v="4"/>
    <x v="8"/>
    <x v="1"/>
    <x v="74"/>
    <x v="65"/>
    <n v="281"/>
    <s v="kilowatt_hour_(kwh)"/>
    <n v="42.149789251053747"/>
    <s v="Dcycle France SARLDcycle France SARLelectricity4510445133"/>
    <n v="281"/>
    <n v="42.149789251053747"/>
    <n v="281"/>
    <n v="42.149789251053747"/>
  </r>
  <r>
    <x v="4"/>
    <x v="8"/>
    <x v="1"/>
    <x v="43"/>
    <x v="66"/>
    <n v="278"/>
    <s v="kilowatt_hour_(kwh)"/>
    <n v="41.699791501042498"/>
    <s v="Dcycle France SARLDcycle France SARLelectricity4513445164"/>
    <n v="278"/>
    <n v="41.699791501042498"/>
    <n v="278"/>
    <n v="41.699791501042498"/>
  </r>
  <r>
    <x v="4"/>
    <x v="8"/>
    <x v="1"/>
    <x v="75"/>
    <x v="67"/>
    <n v="435"/>
    <s v="kilowatt_hour_(kwh)"/>
    <n v="65.249673751631249"/>
    <s v="Dcycle France SARLDcycle France SARLelectricity4516545195"/>
    <n v="435"/>
    <n v="65.249673751631249"/>
    <n v="435"/>
    <n v="65.249673751631249"/>
  </r>
  <r>
    <x v="4"/>
    <x v="8"/>
    <x v="1"/>
    <x v="76"/>
    <x v="36"/>
    <n v="818"/>
    <s v="kilowatt_hour_(kwh)"/>
    <n v="122.69938650306749"/>
    <s v="Dcycle France SARLDcycle France SARLelectricity4519645226"/>
    <n v="818"/>
    <n v="122.69938650306749"/>
    <n v="818"/>
    <n v="122.69938650306749"/>
  </r>
  <r>
    <x v="4"/>
    <x v="8"/>
    <x v="1"/>
    <x v="77"/>
    <x v="68"/>
    <n v="1460"/>
    <s v="kilowatt_hour_(kwh)"/>
    <n v="218.998905005475"/>
    <s v="Dcycle France SARLDcycle France SARLelectricity4522645257"/>
    <n v="1460"/>
    <n v="218.998905005475"/>
    <n v="1460"/>
    <n v="218.998905005475"/>
  </r>
  <r>
    <x v="4"/>
    <x v="8"/>
    <x v="1"/>
    <x v="78"/>
    <x v="69"/>
    <n v="2209"/>
    <s v="kilowatt_hour_(kwh)"/>
    <n v="331.34834325828371"/>
    <s v="Dcycle France SARLDcycle France SARLelectricity4525745287"/>
    <n v="2209"/>
    <n v="331.34834325828371"/>
    <n v="2209"/>
    <n v="331.34834325828371"/>
  </r>
  <r>
    <x v="5"/>
    <x v="9"/>
    <x v="1"/>
    <x v="79"/>
    <x v="70"/>
    <n v="514"/>
    <s v="kilowatt_hour_(kwh)"/>
    <n v="77.099614501927491"/>
    <s v="Dcycle USA IncDcycle USA Incelectricity4491544945"/>
    <n v="0"/>
    <n v="0"/>
    <n v="0"/>
    <n v="0"/>
  </r>
  <r>
    <x v="5"/>
    <x v="9"/>
    <x v="1"/>
    <x v="79"/>
    <x v="70"/>
    <n v="1179"/>
    <s v="kilowatt_hour_(kwh)"/>
    <n v="176.84911575442123"/>
    <s v="Dcycle USA IncDcycle USA Incelectricity4491544945"/>
    <n v="1179"/>
    <n v="176.84911575442123"/>
    <n v="1179"/>
    <n v="176.84911575442123"/>
  </r>
  <r>
    <x v="5"/>
    <x v="9"/>
    <x v="1"/>
    <x v="80"/>
    <x v="71"/>
    <n v="481"/>
    <s v="kilowatt_hour_(kwh)"/>
    <n v="72.149639251803748"/>
    <s v="Dcycle USA IncDcycle USA Incelectricity4494644974"/>
    <n v="0"/>
    <n v="0"/>
    <n v="0"/>
    <n v="0"/>
  </r>
  <r>
    <x v="5"/>
    <x v="9"/>
    <x v="1"/>
    <x v="80"/>
    <x v="71"/>
    <n v="907"/>
    <s v="kilowatt_hour_(kwh)"/>
    <n v="136.04931975340125"/>
    <s v="Dcycle USA IncDcycle USA Incelectricity4494644974"/>
    <n v="907"/>
    <n v="136.04931975340125"/>
    <n v="907"/>
    <n v="136.04931975340125"/>
  </r>
  <r>
    <x v="5"/>
    <x v="9"/>
    <x v="1"/>
    <x v="81"/>
    <x v="72"/>
    <n v="631"/>
    <s v="kilowatt_hour_(kwh)"/>
    <n v="94.649526752366242"/>
    <s v="Dcycle USA IncDcycle USA Incelectricity4497545006"/>
    <n v="0"/>
    <n v="0"/>
    <n v="0"/>
    <n v="0"/>
  </r>
  <r>
    <x v="5"/>
    <x v="9"/>
    <x v="1"/>
    <x v="81"/>
    <x v="72"/>
    <n v="735"/>
    <s v="kilowatt_hour_(kwh)"/>
    <n v="110.24944875275624"/>
    <s v="Dcycle USA IncDcycle USA Incelectricity4497545006"/>
    <n v="735"/>
    <n v="110.24944875275624"/>
    <n v="735"/>
    <n v="110.24944875275624"/>
  </r>
  <r>
    <x v="5"/>
    <x v="9"/>
    <x v="1"/>
    <x v="82"/>
    <x v="73"/>
    <n v="832"/>
    <s v="kilowatt_hour_(kwh)"/>
    <n v="124.79937600311999"/>
    <s v="Dcycle USA IncDcycle USA Incelectricity4500745035"/>
    <n v="0"/>
    <n v="0"/>
    <n v="0"/>
    <n v="0"/>
  </r>
  <r>
    <x v="5"/>
    <x v="9"/>
    <x v="1"/>
    <x v="82"/>
    <x v="73"/>
    <n v="1241"/>
    <s v="kilowatt_hour_(kwh)"/>
    <n v="186.14906925465374"/>
    <s v="Dcycle USA IncDcycle USA Incelectricity4500745035"/>
    <n v="1241"/>
    <n v="186.14906925465374"/>
    <n v="1241"/>
    <n v="186.14906925465374"/>
  </r>
  <r>
    <x v="5"/>
    <x v="9"/>
    <x v="1"/>
    <x v="83"/>
    <x v="74"/>
    <n v="1254"/>
    <s v="kilowatt_hour_(kwh)"/>
    <n v="188.0990595047025"/>
    <s v="Dcycle USA IncDcycle USA Incelectricity4503645064"/>
    <n v="0"/>
    <n v="0"/>
    <n v="0"/>
    <n v="0"/>
  </r>
  <r>
    <x v="5"/>
    <x v="9"/>
    <x v="1"/>
    <x v="83"/>
    <x v="74"/>
    <n v="1324"/>
    <s v="kilowatt_hour_(kwh)"/>
    <n v="198.59900700496499"/>
    <s v="Dcycle USA IncDcycle USA Incelectricity4503645064"/>
    <n v="1324"/>
    <n v="198.59900700496499"/>
    <n v="1324"/>
    <n v="198.59900700496499"/>
  </r>
  <r>
    <x v="5"/>
    <x v="9"/>
    <x v="1"/>
    <x v="84"/>
    <x v="75"/>
    <n v="1207"/>
    <s v="kilowatt_hour_(kwh)"/>
    <n v="181.04909475452624"/>
    <s v="Dcycle USA IncDcycle USA Incelectricity4506545097"/>
    <n v="0"/>
    <n v="0"/>
    <n v="0"/>
    <n v="0"/>
  </r>
  <r>
    <x v="5"/>
    <x v="9"/>
    <x v="1"/>
    <x v="84"/>
    <x v="75"/>
    <n v="2149"/>
    <s v="kilowatt_hour_(kwh)"/>
    <n v="322.34838825805872"/>
    <s v="Dcycle USA IncDcycle USA Incelectricity4506545097"/>
    <n v="2149"/>
    <n v="322.34838825805872"/>
    <n v="2149"/>
    <n v="322.34838825805872"/>
  </r>
  <r>
    <x v="5"/>
    <x v="9"/>
    <x v="1"/>
    <x v="85"/>
    <x v="76"/>
    <n v="1925"/>
    <s v="kilowatt_hour_(kwh)"/>
    <n v="288.74855625721875"/>
    <s v="Dcycle USA IncDcycle USA Incelectricity4509845126"/>
    <n v="0"/>
    <n v="0"/>
    <n v="0"/>
    <n v="0"/>
  </r>
  <r>
    <x v="5"/>
    <x v="9"/>
    <x v="1"/>
    <x v="85"/>
    <x v="76"/>
    <n v="2107"/>
    <s v="kilowatt_hour_(kwh)"/>
    <n v="316.04841975790123"/>
    <s v="Dcycle USA IncDcycle USA Incelectricity4509845126"/>
    <n v="2107"/>
    <n v="316.04841975790123"/>
    <n v="2107"/>
    <n v="316.04841975790123"/>
  </r>
  <r>
    <x v="5"/>
    <x v="9"/>
    <x v="1"/>
    <x v="86"/>
    <x v="77"/>
    <n v="1905"/>
    <s v="kilowatt_hour_(kwh)"/>
    <n v="285.74857125714374"/>
    <s v="Dcycle USA IncDcycle USA Incelectricity4512745156"/>
    <n v="0"/>
    <n v="0"/>
    <n v="0"/>
    <n v="0"/>
  </r>
  <r>
    <x v="5"/>
    <x v="9"/>
    <x v="1"/>
    <x v="86"/>
    <x v="77"/>
    <n v="2665"/>
    <s v="kilowatt_hour_(kwh)"/>
    <n v="399.74800125999371"/>
    <s v="Dcycle USA IncDcycle USA Incelectricity4512745156"/>
    <n v="2665"/>
    <n v="399.74800125999371"/>
    <n v="2665"/>
    <n v="399.74800125999371"/>
  </r>
  <r>
    <x v="5"/>
    <x v="9"/>
    <x v="1"/>
    <x v="87"/>
    <x v="78"/>
    <n v="1241"/>
    <s v="kilowatt_hour_(kwh)"/>
    <n v="186.14906925465374"/>
    <s v="Dcycle USA IncDcycle USA Incelectricity4515745188"/>
    <n v="0"/>
    <n v="0"/>
    <n v="0"/>
    <n v="0"/>
  </r>
  <r>
    <x v="5"/>
    <x v="9"/>
    <x v="1"/>
    <x v="87"/>
    <x v="78"/>
    <n v="1707"/>
    <s v="kilowatt_hour_(kwh)"/>
    <n v="256.04871975640123"/>
    <s v="Dcycle USA IncDcycle USA Incelectricity4515745188"/>
    <n v="1707"/>
    <n v="256.04871975640123"/>
    <n v="1707"/>
    <n v="256.04871975640123"/>
  </r>
  <r>
    <x v="5"/>
    <x v="9"/>
    <x v="1"/>
    <x v="88"/>
    <x v="79"/>
    <n v="401"/>
    <s v="kilowatt_hour_(kwh)"/>
    <n v="60.149699251503748"/>
    <s v="Dcycle USA IncDcycle USA Incelectricity4518945218"/>
    <n v="0"/>
    <n v="0"/>
    <n v="0"/>
    <n v="0"/>
  </r>
  <r>
    <x v="5"/>
    <x v="9"/>
    <x v="1"/>
    <x v="88"/>
    <x v="79"/>
    <n v="699"/>
    <s v="kilowatt_hour_(kwh)"/>
    <n v="104.84947575262125"/>
    <s v="Dcycle USA IncDcycle USA Incelectricity4518945218"/>
    <n v="699"/>
    <n v="104.84947575262125"/>
    <n v="699"/>
    <n v="104.84947575262125"/>
  </r>
  <r>
    <x v="5"/>
    <x v="9"/>
    <x v="1"/>
    <x v="89"/>
    <x v="80"/>
    <n v="227.18"/>
    <s v="kilowatt_hour_(kwh)"/>
    <n v="34.076829615851921"/>
    <s v="Dcycle USA IncDcycle USA Incelectricity4521945247"/>
    <n v="0"/>
    <n v="0"/>
    <n v="0"/>
    <n v="0"/>
  </r>
  <r>
    <x v="5"/>
    <x v="9"/>
    <x v="1"/>
    <x v="89"/>
    <x v="80"/>
    <n v="516"/>
    <s v="kilowatt_hour_(kwh)"/>
    <n v="77.399613001934995"/>
    <s v="Dcycle USA IncDcycle USA Incelectricity4521945247"/>
    <n v="516"/>
    <n v="77.399613001934995"/>
    <n v="516"/>
    <n v="77.399613001934995"/>
  </r>
  <r>
    <x v="5"/>
    <x v="9"/>
    <x v="1"/>
    <x v="90"/>
    <x v="81"/>
    <n v="280"/>
    <s v="kilowatt_hour_(kwh)"/>
    <n v="41.999790001049995"/>
    <s v="Dcycle USA IncDcycle USA Incelectricity4524845278"/>
    <n v="0"/>
    <n v="0"/>
    <n v="0"/>
    <n v="0"/>
  </r>
  <r>
    <x v="5"/>
    <x v="9"/>
    <x v="1"/>
    <x v="90"/>
    <x v="81"/>
    <n v="543"/>
    <s v="kilowatt_hour_(kwh)"/>
    <n v="81.449592752036239"/>
    <s v="Dcycle USA IncDcycle USA Incelectricity4524845278"/>
    <n v="543"/>
    <n v="81.449592752036239"/>
    <n v="543"/>
    <n v="81.449592752036239"/>
  </r>
  <r>
    <x v="5"/>
    <x v="9"/>
    <x v="2"/>
    <x v="59"/>
    <x v="82"/>
    <n v="138"/>
    <s v="therm_(thm)"/>
    <n v="165.60662426497058"/>
    <s v="Dcycle USA IncDcycle USA Incheat4490044931"/>
    <n v="0"/>
    <n v="0"/>
    <n v="0"/>
    <n v="0"/>
  </r>
  <r>
    <x v="5"/>
    <x v="9"/>
    <x v="2"/>
    <x v="59"/>
    <x v="82"/>
    <n v="210"/>
    <s v="therm_(thm)"/>
    <n v="252.01008040321611"/>
    <s v="Dcycle USA IncDcycle USA Incheat4490044931"/>
    <n v="210"/>
    <n v="252.01008040321611"/>
    <n v="210"/>
    <n v="252.01008040321611"/>
  </r>
  <r>
    <x v="5"/>
    <x v="9"/>
    <x v="2"/>
    <x v="60"/>
    <x v="83"/>
    <n v="53"/>
    <s v="therm_(thm)"/>
    <n v="63.602544101764067"/>
    <s v="Dcycle USA IncDcycle USA Incheat4493144960"/>
    <n v="0"/>
    <n v="0"/>
    <n v="0"/>
    <n v="0"/>
  </r>
  <r>
    <x v="5"/>
    <x v="9"/>
    <x v="2"/>
    <x v="60"/>
    <x v="83"/>
    <n v="215"/>
    <s v="therm_(thm)"/>
    <n v="258.0103204128165"/>
    <s v="Dcycle USA IncDcycle USA Incheat4493144960"/>
    <n v="215"/>
    <n v="258.0103204128165"/>
    <n v="215"/>
    <n v="258.0103204128165"/>
  </r>
  <r>
    <x v="5"/>
    <x v="9"/>
    <x v="2"/>
    <x v="61"/>
    <x v="84"/>
    <n v="29"/>
    <s v="therm_(thm)"/>
    <n v="34.801392055682228"/>
    <s v="Dcycle USA IncDcycle USA Incheat4496044988"/>
    <n v="0"/>
    <n v="0"/>
    <n v="0"/>
    <n v="0"/>
  </r>
  <r>
    <x v="5"/>
    <x v="9"/>
    <x v="2"/>
    <x v="61"/>
    <x v="84"/>
    <n v="110"/>
    <s v="therm_(thm)"/>
    <n v="132.00528021120843"/>
    <s v="Dcycle USA IncDcycle USA Incheat4496044988"/>
    <n v="110"/>
    <n v="132.00528021120843"/>
    <n v="110"/>
    <n v="132.00528021120843"/>
  </r>
  <r>
    <x v="5"/>
    <x v="9"/>
    <x v="2"/>
    <x v="91"/>
    <x v="85"/>
    <n v="61"/>
    <s v="therm_(thm)"/>
    <n v="73.202928117124685"/>
    <s v="Dcycle USA IncDcycle USA Incheat4498845021"/>
    <n v="0"/>
    <n v="0"/>
    <n v="0"/>
    <n v="0"/>
  </r>
  <r>
    <x v="5"/>
    <x v="9"/>
    <x v="2"/>
    <x v="91"/>
    <x v="85"/>
    <n v="98"/>
    <s v="therm_(thm)"/>
    <n v="117.60470418816752"/>
    <s v="Dcycle USA IncDcycle USA Incheat4498845021"/>
    <n v="98"/>
    <n v="117.60470418816752"/>
    <n v="98"/>
    <n v="117.60470418816752"/>
  </r>
  <r>
    <x v="5"/>
    <x v="9"/>
    <x v="2"/>
    <x v="92"/>
    <x v="86"/>
    <n v="1"/>
    <s v="therm_(thm)"/>
    <n v="1.2000480019200768"/>
    <s v="Dcycle USA IncDcycle USA Incheat4502145048"/>
    <n v="0"/>
    <n v="0"/>
    <n v="0"/>
    <n v="0"/>
  </r>
  <r>
    <x v="5"/>
    <x v="9"/>
    <x v="2"/>
    <x v="92"/>
    <x v="86"/>
    <n v="3"/>
    <s v="therm_(thm)"/>
    <n v="3.6001440057602303"/>
    <s v="Dcycle USA IncDcycle USA Incheat4502145048"/>
    <n v="3"/>
    <n v="3.6001440057602303"/>
    <n v="3"/>
    <n v="3.6001440057602303"/>
  </r>
  <r>
    <x v="5"/>
    <x v="9"/>
    <x v="2"/>
    <x v="93"/>
    <x v="87"/>
    <n v="0"/>
    <s v="therm_(thm)"/>
    <n v="0"/>
    <s v="Dcycle USA IncDcycle USA Incheat4504845082"/>
    <n v="0"/>
    <n v="0"/>
    <n v="0"/>
    <n v="0"/>
  </r>
  <r>
    <x v="5"/>
    <x v="9"/>
    <x v="2"/>
    <x v="94"/>
    <x v="88"/>
    <n v="0"/>
    <s v="therm_(thm)"/>
    <n v="0"/>
    <s v="Dcycle USA IncDcycle USA Incheat4508245113"/>
    <n v="0"/>
    <n v="0"/>
    <n v="0"/>
    <n v="0"/>
  </r>
  <r>
    <x v="5"/>
    <x v="9"/>
    <x v="2"/>
    <x v="95"/>
    <x v="89"/>
    <n v="0"/>
    <s v="therm_(thm)"/>
    <n v="0"/>
    <s v="Dcycle USA IncDcycle USA Incheat4511345141"/>
    <n v="0"/>
    <n v="0"/>
    <n v="0"/>
    <n v="0"/>
  </r>
  <r>
    <x v="5"/>
    <x v="9"/>
    <x v="2"/>
    <x v="96"/>
    <x v="90"/>
    <n v="0"/>
    <s v="therm_(thm)"/>
    <n v="0"/>
    <s v="Dcycle USA IncDcycle USA Incheat4514145174"/>
    <n v="0"/>
    <n v="0"/>
    <n v="0"/>
    <n v="0"/>
  </r>
  <r>
    <x v="5"/>
    <x v="9"/>
    <x v="2"/>
    <x v="97"/>
    <x v="91"/>
    <n v="0"/>
    <s v="therm_(thm)"/>
    <n v="0"/>
    <s v="Dcycle USA IncDcycle USA Incheat4517445203"/>
    <n v="0"/>
    <n v="0"/>
    <n v="0"/>
    <n v="0"/>
  </r>
  <r>
    <x v="5"/>
    <x v="9"/>
    <x v="2"/>
    <x v="97"/>
    <x v="92"/>
    <n v="0"/>
    <s v="therm_(thm)"/>
    <n v="0"/>
    <s v="Dcycle USA IncDcycle USA Incheat4517445204"/>
    <n v="0"/>
    <n v="0"/>
    <n v="0"/>
    <n v="0"/>
  </r>
  <r>
    <x v="5"/>
    <x v="9"/>
    <x v="2"/>
    <x v="98"/>
    <x v="93"/>
    <n v="3"/>
    <s v="therm_(thm)"/>
    <n v="3.6001440057602303"/>
    <s v="Dcycle USA IncDcycle USA Incheat4520345232"/>
    <n v="3"/>
    <n v="3.6001440057602303"/>
    <n v="3"/>
    <n v="3.6001440057602303"/>
  </r>
  <r>
    <x v="5"/>
    <x v="9"/>
    <x v="2"/>
    <x v="99"/>
    <x v="93"/>
    <n v="33"/>
    <s v="therm_(thm)"/>
    <n v="39.60158406336253"/>
    <s v="Dcycle USA IncDcycle USA Incheat4520445232"/>
    <n v="33"/>
    <n v="39.60158406336253"/>
    <n v="33"/>
    <n v="39.60158406336253"/>
  </r>
  <r>
    <x v="5"/>
    <x v="9"/>
    <x v="2"/>
    <x v="100"/>
    <x v="94"/>
    <n v="28"/>
    <s v="therm_(thm)"/>
    <n v="33.601344053762148"/>
    <s v="Dcycle USA IncDcycle USA Incheat4523245264"/>
    <n v="28"/>
    <n v="33.601344053762148"/>
    <n v="28"/>
    <n v="33.601344053762148"/>
  </r>
  <r>
    <x v="5"/>
    <x v="9"/>
    <x v="2"/>
    <x v="100"/>
    <x v="95"/>
    <n v="185"/>
    <s v="therm_(thm)"/>
    <n v="222.00888035521419"/>
    <s v="Dcycle USA IncDcycle USA Incheat4523245265"/>
    <n v="185"/>
    <n v="222.00888035521419"/>
    <n v="185"/>
    <n v="222.00888035521419"/>
  </r>
  <r>
    <x v="6"/>
    <x v="10"/>
    <x v="1"/>
    <x v="23"/>
    <x v="20"/>
    <n v="16234.4"/>
    <s v="kilowatt_hour_(kwh)"/>
    <n v="2435.1478242608787"/>
    <s v="Dcycle LtdDcycle Ltdelectricity4492744957"/>
    <n v="16234.4"/>
    <n v="2435.1478242608787"/>
    <n v="16234.4"/>
    <n v="2435.1478242608787"/>
  </r>
  <r>
    <x v="6"/>
    <x v="10"/>
    <x v="1"/>
    <x v="26"/>
    <x v="23"/>
    <n v="14869.4"/>
    <s v="kilowatt_hour_(kwh)"/>
    <n v="2230.3988480057601"/>
    <s v="Dcycle LtdDcycle Ltdelectricity4495844985"/>
    <n v="14869.4"/>
    <n v="2230.3988480057601"/>
    <n v="14869.4"/>
    <n v="2230.3988480057601"/>
  </r>
  <r>
    <x v="6"/>
    <x v="10"/>
    <x v="1"/>
    <x v="30"/>
    <x v="26"/>
    <n v="15430.3"/>
    <s v="kilowatt_hour_(kwh)"/>
    <n v="2314.5334273328635"/>
    <s v="Dcycle LtdDcycle Ltdelectricity4498645016"/>
    <n v="15430.3"/>
    <n v="2314.5334273328635"/>
    <n v="15430.3"/>
    <n v="2314.5334273328635"/>
  </r>
  <r>
    <x v="6"/>
    <x v="10"/>
    <x v="1"/>
    <x v="33"/>
    <x v="29"/>
    <n v="11215.6"/>
    <s v="kilowatt_hour_(kwh)"/>
    <n v="1682.3315883420585"/>
    <s v="Dcycle LtdDcycle Ltdelectricity4501745046"/>
    <n v="11215.6"/>
    <n v="1682.3315883420585"/>
    <n v="11215.6"/>
    <n v="1682.3315883420585"/>
  </r>
  <r>
    <x v="6"/>
    <x v="10"/>
    <x v="1"/>
    <x v="36"/>
    <x v="31"/>
    <n v="10225.4"/>
    <s v="kilowatt_hour_(kwh)"/>
    <n v="1533.8023309883451"/>
    <s v="Dcycle LtdDcycle Ltdelectricity4504745077"/>
    <n v="10225.4"/>
    <n v="1533.8023309883451"/>
    <n v="10225.4"/>
    <n v="1533.8023309883451"/>
  </r>
  <r>
    <x v="6"/>
    <x v="10"/>
    <x v="1"/>
    <x v="39"/>
    <x v="33"/>
    <n v="10765.9"/>
    <s v="kilowatt_hour_(kwh)"/>
    <n v="1614.8769256153719"/>
    <s v="Dcycle LtdDcycle Ltdelectricity4507845107"/>
    <n v="10765.9"/>
    <n v="1614.8769256153719"/>
    <n v="10765.9"/>
    <n v="1614.8769256153719"/>
  </r>
  <r>
    <x v="6"/>
    <x v="10"/>
    <x v="1"/>
    <x v="42"/>
    <x v="35"/>
    <n v="10246.4"/>
    <s v="kilowatt_hour_(kwh)"/>
    <n v="1536.9523152384238"/>
    <s v="Dcycle LtdDcycle Ltdelectricity4510845138"/>
    <n v="10246.4"/>
    <n v="1536.9523152384238"/>
    <n v="10246.4"/>
    <n v="1536.9523152384238"/>
  </r>
  <r>
    <x v="6"/>
    <x v="10"/>
    <x v="1"/>
    <x v="45"/>
    <x v="37"/>
    <n v="11314.7"/>
    <s v="kilowatt_hour_(kwh)"/>
    <n v="1697.1965140174302"/>
    <s v="Dcycle LtdDcycle Ltdelectricity4513945169"/>
    <n v="11314.7"/>
    <n v="1697.1965140174302"/>
    <n v="11314.7"/>
    <n v="1697.1965140174302"/>
  </r>
  <r>
    <x v="6"/>
    <x v="10"/>
    <x v="1"/>
    <x v="49"/>
    <x v="40"/>
    <n v="10600.4"/>
    <s v="kilowatt_hour_(kwh)"/>
    <n v="1590.0520497397513"/>
    <s v="Dcycle LtdDcycle Ltdelectricity4517045199"/>
    <n v="10600.4"/>
    <n v="1590.0520497397513"/>
    <n v="10600.4"/>
    <n v="1590.0520497397513"/>
  </r>
  <r>
    <x v="6"/>
    <x v="10"/>
    <x v="1"/>
    <x v="53"/>
    <x v="44"/>
    <n v="11864.5"/>
    <s v="kilowatt_hour_(kwh)"/>
    <n v="1779.6661016694918"/>
    <s v="Dcycle LtdDcycle Ltdelectricity4520045230"/>
    <n v="11864.5"/>
    <n v="1779.6661016694918"/>
    <n v="11864.5"/>
    <n v="1779.6661016694918"/>
  </r>
  <r>
    <x v="6"/>
    <x v="10"/>
    <x v="1"/>
    <x v="54"/>
    <x v="45"/>
    <n v="15621.8"/>
    <s v="kilowatt_hour_(kwh)"/>
    <n v="2343.2582837085815"/>
    <s v="Dcycle LtdDcycle Ltdelectricity4523145260"/>
    <n v="15621.8"/>
    <n v="2343.2582837085815"/>
    <n v="15621.8"/>
    <n v="2343.2582837085815"/>
  </r>
  <r>
    <x v="6"/>
    <x v="10"/>
    <x v="1"/>
    <x v="55"/>
    <x v="21"/>
    <n v="13489"/>
    <s v="kilowatt_hour_(kwh)"/>
    <n v="2023.3398833005836"/>
    <s v="Dcycle LtdDcycle Ltdelectricity4526145291"/>
    <n v="13489"/>
    <n v="2023.3398833005836"/>
    <n v="13489"/>
    <n v="2023.3398833005836"/>
  </r>
  <r>
    <x v="6"/>
    <x v="10"/>
    <x v="2"/>
    <x v="23"/>
    <x v="20"/>
    <n v="1278.7658963186395"/>
    <s v="therm_(thm)"/>
    <n v="1534.5804588007195"/>
    <s v="Dcycle LtdDcycle Ltdheat4492744957"/>
    <n v="1278.7658963186395"/>
    <n v="1534.5804588007195"/>
    <n v="1278.7658963186395"/>
    <n v="1534.5804588007195"/>
  </r>
  <r>
    <x v="6"/>
    <x v="10"/>
    <x v="2"/>
    <x v="26"/>
    <x v="23"/>
    <n v="1049.8131852008557"/>
    <s v="therm_(thm)"/>
    <n v="1259.8262152896384"/>
    <s v="Dcycle LtdDcycle Ltdheat4495844985"/>
    <n v="1049.8131852008557"/>
    <n v="1259.8262152896384"/>
    <n v="1049.8131852008557"/>
    <n v="1259.8262152896384"/>
  </r>
  <r>
    <x v="6"/>
    <x v="10"/>
    <x v="2"/>
    <x v="30"/>
    <x v="26"/>
    <n v="1105.7112440330159"/>
    <s v="therm_(thm)"/>
    <n v="1326.9065691023832"/>
    <s v="Dcycle LtdDcycle Ltdheat4498645016"/>
    <n v="1105.7112440330159"/>
    <n v="1326.9065691023832"/>
    <n v="1105.7112440330159"/>
    <n v="1326.9065691023832"/>
  </r>
  <r>
    <x v="6"/>
    <x v="10"/>
    <x v="2"/>
    <x v="33"/>
    <x v="29"/>
    <n v="767.25946954833478"/>
    <s v="therm_(thm)"/>
    <n v="920.74819338573707"/>
    <s v="Dcycle LtdDcycle Ltdheat4501745046"/>
    <n v="767.25946954833478"/>
    <n v="920.74819338573707"/>
    <n v="767.25946954833478"/>
    <n v="920.74819338573707"/>
  </r>
  <r>
    <x v="6"/>
    <x v="10"/>
    <x v="2"/>
    <x v="36"/>
    <x v="31"/>
    <n v="262.26170450163954"/>
    <s v="therm_(thm)"/>
    <n v="314.72663446734612"/>
    <s v="Dcycle LtdDcycle Ltdheat4504745077"/>
    <n v="262.26170450163954"/>
    <n v="314.72663446734612"/>
    <n v="262.26170450163954"/>
    <n v="314.72663446734612"/>
  </r>
  <r>
    <x v="6"/>
    <x v="10"/>
    <x v="2"/>
    <x v="39"/>
    <x v="33"/>
    <n v="40.200838704614242"/>
    <s v="therm_(thm)"/>
    <n v="48.242936162983604"/>
    <s v="Dcycle LtdDcycle Ltdheat4507845107"/>
    <n v="40.200838704614242"/>
    <n v="48.242936162983604"/>
    <n v="40.200838704614242"/>
    <n v="48.242936162983604"/>
  </r>
  <r>
    <x v="6"/>
    <x v="10"/>
    <x v="2"/>
    <x v="42"/>
    <x v="35"/>
    <n v="3.0630802774754242"/>
    <s v="therm_(thm)"/>
    <n v="3.6758433667051773"/>
    <s v="Dcycle LtdDcycle Ltdheat4510845138"/>
    <n v="3.0630802774754242"/>
    <n v="3.6758433667051773"/>
    <n v="3.0630802774754242"/>
    <n v="3.6758433667051773"/>
  </r>
  <r>
    <x v="6"/>
    <x v="10"/>
    <x v="2"/>
    <x v="45"/>
    <x v="37"/>
    <n v="0"/>
    <s v="therm_(thm)"/>
    <n v="0"/>
    <s v="Dcycle LtdDcycle Ltdheat4513945169"/>
    <n v="0"/>
    <n v="0"/>
    <n v="0"/>
    <n v="0"/>
  </r>
  <r>
    <x v="6"/>
    <x v="10"/>
    <x v="2"/>
    <x v="49"/>
    <x v="40"/>
    <n v="0"/>
    <s v="therm_(thm)"/>
    <n v="0"/>
    <s v="Dcycle LtdDcycle Ltdheat4517045199"/>
    <n v="0"/>
    <n v="0"/>
    <n v="0"/>
    <n v="0"/>
  </r>
  <r>
    <x v="6"/>
    <x v="10"/>
    <x v="2"/>
    <x v="53"/>
    <x v="44"/>
    <n v="765.81988664862786"/>
    <s v="therm_(thm)"/>
    <n v="919.02062480334553"/>
    <s v="Dcycle LtdDcycle Ltdheat4520045230"/>
    <n v="765.81988664862786"/>
    <n v="919.02062480334553"/>
    <n v="765.81988664862786"/>
    <n v="919.02062480334553"/>
  </r>
  <r>
    <x v="6"/>
    <x v="10"/>
    <x v="2"/>
    <x v="54"/>
    <x v="45"/>
    <n v="741.11734016671733"/>
    <s v="therm_(thm)"/>
    <n v="889.37638325539092"/>
    <s v="Dcycle LtdDcycle Ltdheat4523145260"/>
    <n v="741.11734016671733"/>
    <n v="889.37638325539092"/>
    <n v="741.11734016671733"/>
    <n v="889.37638325539092"/>
  </r>
  <r>
    <x v="6"/>
    <x v="10"/>
    <x v="2"/>
    <x v="55"/>
    <x v="21"/>
    <n v="844.21522429718402"/>
    <s v="therm_(thm)"/>
    <n v="1013.0987931083451"/>
    <s v="Dcycle LtdDcycle Ltdheat4526145291"/>
    <n v="844.21522429718402"/>
    <n v="1013.0987931083451"/>
    <n v="844.21522429718402"/>
    <n v="1013.0987931083451"/>
  </r>
  <r>
    <x v="6"/>
    <x v="10"/>
    <x v="0"/>
    <x v="3"/>
    <x v="1"/>
    <n v="586"/>
    <s v="cubic_metre_(m3)"/>
    <n v="175.81758175817581"/>
    <s v="Dcycle LtdDcycle Ltdwater4456244926"/>
    <n v="586"/>
    <n v="175.81758175817581"/>
    <n v="586"/>
    <n v="175.81758175817581"/>
  </r>
  <r>
    <x v="6"/>
    <x v="10"/>
    <x v="0"/>
    <x v="101"/>
    <x v="96"/>
    <n v="319"/>
    <s v="cubic_metre_(m3)"/>
    <n v="95.709570957095707"/>
    <s v="Dcycle LtdDcycle Ltdwater4480744978"/>
    <n v="319"/>
    <n v="95.709570957095707"/>
    <n v="319"/>
    <n v="95.709570957095707"/>
  </r>
  <r>
    <x v="6"/>
    <x v="10"/>
    <x v="0"/>
    <x v="102"/>
    <x v="90"/>
    <n v="326"/>
    <s v="cubic_metre_(m3)"/>
    <n v="97.809780978097805"/>
    <s v="Dcycle LtdDcycle Ltdwater4497945174"/>
    <n v="326"/>
    <n v="97.809780978097805"/>
    <n v="326"/>
    <n v="97.809780978097805"/>
  </r>
  <r>
    <x v="7"/>
    <x v="11"/>
    <x v="1"/>
    <x v="23"/>
    <x v="20"/>
    <n v="335"/>
    <s v="kilowatt_hour_(kwh)"/>
    <n v="50.249748751256249"/>
    <s v="Dcycle SpA ItalyCoges SpA (Modena)electricity4492744957"/>
    <n v="335"/>
    <n v="50.249748751256249"/>
    <n v="335"/>
    <n v="50.249748751256249"/>
  </r>
  <r>
    <x v="7"/>
    <x v="11"/>
    <x v="1"/>
    <x v="23"/>
    <x v="26"/>
    <n v="726"/>
    <s v="kilowatt_hour_(kwh)"/>
    <n v="108.89945550272249"/>
    <s v="Dcycle SpA ItalyCoges SpA (Modena)electricity4492745016"/>
    <n v="726"/>
    <n v="108.89945550272249"/>
    <n v="726"/>
    <n v="108.89945550272249"/>
  </r>
  <r>
    <x v="7"/>
    <x v="11"/>
    <x v="1"/>
    <x v="26"/>
    <x v="23"/>
    <n v="130"/>
    <s v="kilowatt_hour_(kwh)"/>
    <n v="19.499902500487497"/>
    <s v="Dcycle SpA ItalyCoges SpA (Modena)electricity4495844985"/>
    <n v="130"/>
    <n v="19.499902500487497"/>
    <n v="130"/>
    <n v="19.499902500487497"/>
  </r>
  <r>
    <x v="7"/>
    <x v="11"/>
    <x v="1"/>
    <x v="33"/>
    <x v="29"/>
    <n v="264"/>
    <s v="kilowatt_hour_(kwh)"/>
    <n v="39.599802000989996"/>
    <s v="Dcycle SpA ItalyCoges SpA (Modena)electricity4501745046"/>
    <n v="264"/>
    <n v="39.599802000989996"/>
    <n v="264"/>
    <n v="39.599802000989996"/>
  </r>
  <r>
    <x v="7"/>
    <x v="11"/>
    <x v="1"/>
    <x v="36"/>
    <x v="31"/>
    <n v="211"/>
    <s v="kilowatt_hour_(kwh)"/>
    <n v="31.649841750791246"/>
    <s v="Dcycle SpA ItalyCoges SpA (Modena)electricity4504745077"/>
    <n v="211"/>
    <n v="31.649841750791246"/>
    <n v="211"/>
    <n v="31.649841750791246"/>
  </r>
  <r>
    <x v="7"/>
    <x v="11"/>
    <x v="1"/>
    <x v="39"/>
    <x v="33"/>
    <n v="345"/>
    <s v="kilowatt_hour_(kwh)"/>
    <n v="51.749741251293749"/>
    <s v="Dcycle SpA ItalyCoges SpA (Modena)electricity4507845107"/>
    <n v="345"/>
    <n v="51.749741251293749"/>
    <n v="345"/>
    <n v="51.749741251293749"/>
  </r>
  <r>
    <x v="7"/>
    <x v="11"/>
    <x v="1"/>
    <x v="42"/>
    <x v="35"/>
    <n v="535"/>
    <s v="kilowatt_hour_(kwh)"/>
    <n v="80.24959875200625"/>
    <s v="Dcycle SpA ItalyCoges SpA (Modena)electricity4510845138"/>
    <n v="535"/>
    <n v="80.24959875200625"/>
    <n v="535"/>
    <n v="80.24959875200625"/>
  </r>
  <r>
    <x v="7"/>
    <x v="11"/>
    <x v="1"/>
    <x v="45"/>
    <x v="37"/>
    <n v="335"/>
    <s v="kilowatt_hour_(kwh)"/>
    <n v="50.249748751256249"/>
    <s v="Dcycle SpA ItalyCoges SpA (Modena)electricity4513945169"/>
    <n v="335"/>
    <n v="50.249748751256249"/>
    <n v="335"/>
    <n v="50.249748751256249"/>
  </r>
  <r>
    <x v="7"/>
    <x v="11"/>
    <x v="1"/>
    <x v="49"/>
    <x v="40"/>
    <n v="295"/>
    <s v="kilowatt_hour_(kwh)"/>
    <n v="44.249778751106248"/>
    <s v="Dcycle SpA ItalyCoges SpA (Modena)electricity4517045199"/>
    <n v="295"/>
    <n v="44.249778751106248"/>
    <n v="295"/>
    <n v="44.249778751106248"/>
  </r>
  <r>
    <x v="7"/>
    <x v="11"/>
    <x v="1"/>
    <x v="53"/>
    <x v="44"/>
    <n v="243"/>
    <s v="kilowatt_hour_(kwh)"/>
    <n v="36.449817750911251"/>
    <s v="Dcycle SpA ItalyCoges SpA (Modena)electricity4520045230"/>
    <n v="243"/>
    <n v="36.449817750911251"/>
    <n v="243"/>
    <n v="36.449817750911251"/>
  </r>
  <r>
    <x v="7"/>
    <x v="11"/>
    <x v="1"/>
    <x v="54"/>
    <x v="45"/>
    <n v="259"/>
    <s v="kilowatt_hour_(kwh)"/>
    <n v="38.84980575097125"/>
    <s v="Dcycle SpA ItalyCoges SpA (Modena)electricity4523145260"/>
    <n v="259"/>
    <n v="38.84980575097125"/>
    <n v="259"/>
    <n v="38.84980575097125"/>
  </r>
  <r>
    <x v="7"/>
    <x v="11"/>
    <x v="0"/>
    <x v="103"/>
    <x v="97"/>
    <n v="316.89999999999998"/>
    <s v="cubic_metre_(m3)"/>
    <n v="95.079507950795062"/>
    <s v="Dcycle SpA ItalyCoges SpA (Modena)water4489744973"/>
    <n v="316.89999999999998"/>
    <n v="95.079507950795062"/>
    <n v="316.89999999999998"/>
    <n v="95.079507950795062"/>
  </r>
  <r>
    <x v="7"/>
    <x v="11"/>
    <x v="0"/>
    <x v="26"/>
    <x v="73"/>
    <n v="147.28"/>
    <s v="cubic_metre_(m3)"/>
    <n v="44.188418841884186"/>
    <s v="Dcycle SpA ItalyCoges SpA (Modena)water4495845035"/>
    <n v="147.28"/>
    <n v="44.188418841884186"/>
    <n v="147.28"/>
    <n v="44.188418841884186"/>
  </r>
  <r>
    <x v="7"/>
    <x v="11"/>
    <x v="0"/>
    <x v="33"/>
    <x v="98"/>
    <n v="33.520000000000003"/>
    <s v="cubic_metre_(m3)"/>
    <n v="10.057005700570057"/>
    <s v="Dcycle SpA ItalyCoges SpA (Modena)water4501745096"/>
    <n v="33.520000000000003"/>
    <n v="10.057005700570057"/>
    <n v="33.520000000000003"/>
    <n v="10.057005700570057"/>
  </r>
  <r>
    <x v="7"/>
    <x v="11"/>
    <x v="0"/>
    <x v="45"/>
    <x v="99"/>
    <n v="14.22"/>
    <s v="cubic_metre_(m3)"/>
    <n v="4.2664266426642667"/>
    <s v="Dcycle SpA ItalyCoges SpA (Modena)water4513945216"/>
    <n v="14.22"/>
    <n v="4.2664266426642667"/>
    <n v="14.22"/>
    <n v="4.2664266426642667"/>
  </r>
  <r>
    <x v="7"/>
    <x v="11"/>
    <x v="0"/>
    <x v="53"/>
    <x v="100"/>
    <n v="168.61"/>
    <s v="cubic_metre_(m3)"/>
    <n v="50.588058805880593"/>
    <s v="Dcycle SpA ItalyCoges SpA (Modena)water4520045279"/>
    <n v="168.61"/>
    <n v="50.588058805880593"/>
    <n v="168.61"/>
    <n v="50.588058805880593"/>
  </r>
  <r>
    <x v="7"/>
    <x v="11"/>
    <x v="0"/>
    <x v="104"/>
    <x v="97"/>
    <n v="4"/>
    <s v="cubic_metre_(m3)"/>
    <n v="1.2001200120012001"/>
    <s v="Dcycle SpA ItalyCoges SpA (Modena)water4481944973"/>
    <n v="4"/>
    <n v="1.2001200120012001"/>
    <n v="4"/>
    <n v="1.2001200120012001"/>
  </r>
  <r>
    <x v="7"/>
    <x v="11"/>
    <x v="0"/>
    <x v="61"/>
    <x v="99"/>
    <n v="7"/>
    <s v="cubic_metre_(m3)"/>
    <n v="2.1002100210021002"/>
    <s v="Dcycle SpA ItalyCoges SpA (Modena)water4496045216"/>
    <n v="7"/>
    <n v="2.1002100210021002"/>
    <n v="7"/>
    <n v="2.1002100210021002"/>
  </r>
  <r>
    <x v="7"/>
    <x v="11"/>
    <x v="0"/>
    <x v="105"/>
    <x v="73"/>
    <n v="5"/>
    <s v="cubic_metre_(m3)"/>
    <n v="1.5001500150015001"/>
    <s v="Dcycle SpA ItalyCoges SpA (Modena)water4497445035"/>
    <n v="5"/>
    <n v="1.5001500150015001"/>
    <n v="5"/>
    <n v="1.5001500150015001"/>
  </r>
  <r>
    <x v="7"/>
    <x v="11"/>
    <x v="0"/>
    <x v="83"/>
    <x v="98"/>
    <n v="5"/>
    <s v="cubic_metre_(m3)"/>
    <n v="1.5001500150015001"/>
    <s v="Dcycle SpA ItalyCoges SpA (Modena)water4503645096"/>
    <n v="5"/>
    <n v="1.5001500150015001"/>
    <n v="5"/>
    <n v="1.5001500150015001"/>
  </r>
  <r>
    <x v="7"/>
    <x v="11"/>
    <x v="0"/>
    <x v="106"/>
    <x v="100"/>
    <n v="5"/>
    <s v="cubic_metre_(m3)"/>
    <n v="1.5001500150015001"/>
    <s v="Dcycle SpA ItalyCoges SpA (Modena)water4521745279"/>
    <n v="5"/>
    <n v="1.5001500150015001"/>
    <n v="5"/>
    <n v="1.5001500150015001"/>
  </r>
  <r>
    <x v="7"/>
    <x v="12"/>
    <x v="1"/>
    <x v="20"/>
    <x v="1"/>
    <n v="25252.47"/>
    <s v="kilowatt_hour_(kwh)"/>
    <n v="3787.8515607421969"/>
    <s v="Dcycle SpA ItalyDcycle SpA Italyelectricity4489644926"/>
    <n v="25252.47"/>
    <n v="3787.8515607421969"/>
    <n v="25252.47"/>
    <n v="3787.8515607421969"/>
  </r>
  <r>
    <x v="7"/>
    <x v="12"/>
    <x v="1"/>
    <x v="23"/>
    <x v="20"/>
    <n v="8975.5"/>
    <s v="kilowatt_hour_(kwh)"/>
    <n v="1346.318268408658"/>
    <s v="Dcycle SpA ItalyDcycle SpA Italyelectricity4492744957"/>
    <n v="0"/>
    <n v="0"/>
    <n v="0"/>
    <n v="0"/>
  </r>
  <r>
    <x v="7"/>
    <x v="12"/>
    <x v="1"/>
    <x v="23"/>
    <x v="20"/>
    <n v="26485.86"/>
    <s v="kilowatt_hour_(kwh)"/>
    <n v="3972.8591357043219"/>
    <s v="Dcycle SpA ItalyDcycle SpA Italyelectricity4492744957"/>
    <n v="26485.86"/>
    <n v="3972.8591357043219"/>
    <n v="26485.86"/>
    <n v="3972.8591357043219"/>
  </r>
  <r>
    <x v="7"/>
    <x v="12"/>
    <x v="1"/>
    <x v="26"/>
    <x v="23"/>
    <n v="3052.2"/>
    <s v="kilowatt_hour_(kwh)"/>
    <n v="457.82771086144567"/>
    <s v="Dcycle SpA ItalyDcycle SpA Italyelectricity4495844985"/>
    <n v="0"/>
    <n v="0"/>
    <n v="0"/>
    <n v="0"/>
  </r>
  <r>
    <x v="7"/>
    <x v="12"/>
    <x v="1"/>
    <x v="26"/>
    <x v="23"/>
    <n v="24856.19"/>
    <s v="kilowatt_hour_(kwh)"/>
    <n v="3728.4098579507104"/>
    <s v="Dcycle SpA ItalyDcycle SpA Italyelectricity4495844985"/>
    <n v="24856.19"/>
    <n v="3728.4098579507104"/>
    <n v="24856.19"/>
    <n v="3728.4098579507104"/>
  </r>
  <r>
    <x v="7"/>
    <x v="12"/>
    <x v="1"/>
    <x v="30"/>
    <x v="26"/>
    <n v="3875.3"/>
    <s v="kilowatt_hour_(kwh)"/>
    <n v="581.2920935395324"/>
    <s v="Dcycle SpA ItalyDcycle SpA Italyelectricity4498645016"/>
    <n v="0"/>
    <n v="0"/>
    <n v="0"/>
    <n v="0"/>
  </r>
  <r>
    <x v="7"/>
    <x v="12"/>
    <x v="1"/>
    <x v="30"/>
    <x v="26"/>
    <n v="21487.37"/>
    <s v="kilowatt_hour_(kwh)"/>
    <n v="3223.0893845530773"/>
    <s v="Dcycle SpA ItalyDcycle SpA Italyelectricity4498645016"/>
    <n v="21487.37"/>
    <n v="3223.0893845530773"/>
    <n v="21487.37"/>
    <n v="3223.0893845530773"/>
  </r>
  <r>
    <x v="7"/>
    <x v="12"/>
    <x v="1"/>
    <x v="33"/>
    <x v="29"/>
    <n v="5063.3"/>
    <s v="kilowatt_hour_(kwh)"/>
    <n v="759.49120254398736"/>
    <s v="Dcycle SpA ItalyDcycle SpA Italyelectricity4501745046"/>
    <n v="0"/>
    <n v="0"/>
    <n v="0"/>
    <n v="0"/>
  </r>
  <r>
    <x v="7"/>
    <x v="12"/>
    <x v="1"/>
    <x v="33"/>
    <x v="29"/>
    <n v="17959.38"/>
    <s v="kilowatt_hour_(kwh)"/>
    <n v="2693.8935305323475"/>
    <s v="Dcycle SpA ItalyDcycle SpA Italyelectricity4501745046"/>
    <n v="17959.38"/>
    <n v="2693.8935305323475"/>
    <n v="17959.38"/>
    <n v="2693.8935305323475"/>
  </r>
  <r>
    <x v="7"/>
    <x v="12"/>
    <x v="1"/>
    <x v="36"/>
    <x v="31"/>
    <n v="4496.7"/>
    <s v="kilowatt_hour_(kwh)"/>
    <n v="674.50162749186256"/>
    <s v="Dcycle SpA ItalyDcycle SpA Italyelectricity4504745077"/>
    <n v="0"/>
    <n v="0"/>
    <n v="0"/>
    <n v="0"/>
  </r>
  <r>
    <x v="7"/>
    <x v="12"/>
    <x v="1"/>
    <x v="36"/>
    <x v="31"/>
    <n v="13334.7"/>
    <s v="kilowatt_hour_(kwh)"/>
    <n v="2000.194999025005"/>
    <s v="Dcycle SpA ItalyDcycle SpA Italyelectricity4504745077"/>
    <n v="13334.7"/>
    <n v="2000.194999025005"/>
    <n v="13334.7"/>
    <n v="2000.194999025005"/>
  </r>
  <r>
    <x v="7"/>
    <x v="12"/>
    <x v="1"/>
    <x v="39"/>
    <x v="33"/>
    <n v="11349.78"/>
    <s v="kilowatt_hour_(kwh)"/>
    <n v="1702.4584877075617"/>
    <s v="Dcycle SpA ItalyDcycle SpA Italyelectricity4507845107"/>
    <n v="11349.78"/>
    <n v="1702.4584877075617"/>
    <n v="11349.78"/>
    <n v="1702.4584877075617"/>
  </r>
  <r>
    <x v="7"/>
    <x v="12"/>
    <x v="1"/>
    <x v="42"/>
    <x v="35"/>
    <n v="15799.58"/>
    <s v="kilowatt_hour_(kwh)"/>
    <n v="2369.9251503742485"/>
    <s v="Dcycle SpA ItalyDcycle SpA Italyelectricity4510845138"/>
    <n v="15799.58"/>
    <n v="2369.9251503742485"/>
    <n v="15799.58"/>
    <n v="2369.9251503742485"/>
  </r>
  <r>
    <x v="7"/>
    <x v="12"/>
    <x v="1"/>
    <x v="45"/>
    <x v="37"/>
    <n v="10751.98"/>
    <s v="kilowatt_hour_(kwh)"/>
    <n v="1612.7889360553197"/>
    <s v="Dcycle SpA ItalyDcycle SpA Italyelectricity4513945169"/>
    <n v="10751.98"/>
    <n v="1612.7889360553197"/>
    <n v="10751.98"/>
    <n v="1612.7889360553197"/>
  </r>
  <r>
    <x v="7"/>
    <x v="12"/>
    <x v="1"/>
    <x v="49"/>
    <x v="40"/>
    <n v="10038.290000000001"/>
    <s v="kilowatt_hour_(kwh)"/>
    <n v="1505.7359713201436"/>
    <s v="Dcycle SpA ItalyDcycle SpA Italyelectricity4517045199"/>
    <n v="10038.290000000001"/>
    <n v="1505.7359713201436"/>
    <n v="10038.290000000001"/>
    <n v="1505.7359713201436"/>
  </r>
  <r>
    <x v="7"/>
    <x v="12"/>
    <x v="1"/>
    <x v="53"/>
    <x v="44"/>
    <n v="10860.8"/>
    <s v="kilowatt_hour_(kwh)"/>
    <n v="1629.1118544407277"/>
    <s v="Dcycle SpA ItalyDcycle SpA Italyelectricity4520045230"/>
    <n v="10860.8"/>
    <n v="1629.1118544407277"/>
    <n v="10860.8"/>
    <n v="1629.1118544407277"/>
  </r>
  <r>
    <x v="7"/>
    <x v="12"/>
    <x v="1"/>
    <x v="54"/>
    <x v="45"/>
    <n v="25423.759999999998"/>
    <s v="kilowatt_hour_(kwh)"/>
    <n v="3813.5449322753384"/>
    <s v="Dcycle SpA ItalyDcycle SpA Italyelectricity4523145260"/>
    <n v="25423.759999999998"/>
    <n v="3813.5449322753384"/>
    <n v="25423.759999999998"/>
    <n v="3813.5449322753384"/>
  </r>
  <r>
    <x v="7"/>
    <x v="12"/>
    <x v="1"/>
    <x v="55"/>
    <x v="21"/>
    <n v="23643.38"/>
    <s v="kilowatt_hour_(kwh)"/>
    <n v="3546.4892675536626"/>
    <s v="Dcycle SpA ItalyDcycle SpA Italyelectricity4526145291"/>
    <n v="23643.38"/>
    <n v="3546.4892675536626"/>
    <n v="23643.38"/>
    <n v="3546.4892675536626"/>
  </r>
  <r>
    <x v="7"/>
    <x v="12"/>
    <x v="0"/>
    <x v="23"/>
    <x v="20"/>
    <n v="8101"/>
    <s v="cubic_metre_(m3)"/>
    <n v="2430.5430543054304"/>
    <s v="Dcycle SpA ItalyDcycle SpA Italywater4492744957"/>
    <n v="0"/>
    <n v="0"/>
    <n v="0"/>
    <n v="0"/>
  </r>
  <r>
    <x v="7"/>
    <x v="12"/>
    <x v="0"/>
    <x v="23"/>
    <x v="20"/>
    <n v="16918"/>
    <s v="cubic_metre_(m3)"/>
    <n v="5075.9075907590759"/>
    <s v="Dcycle SpA ItalyDcycle SpA Italywater4492744957"/>
    <n v="16918"/>
    <n v="5075.9075907590759"/>
    <n v="16918"/>
    <n v="5075.9075907590759"/>
  </r>
  <r>
    <x v="7"/>
    <x v="12"/>
    <x v="0"/>
    <x v="26"/>
    <x v="23"/>
    <n v="0"/>
    <s v="cubic_metre_(m3)"/>
    <n v="0"/>
    <s v="Dcycle SpA ItalyDcycle SpA Italywater4495844985"/>
    <n v="0"/>
    <n v="0"/>
    <n v="0"/>
    <n v="0"/>
  </r>
  <r>
    <x v="7"/>
    <x v="12"/>
    <x v="0"/>
    <x v="26"/>
    <x v="23"/>
    <n v="15259"/>
    <s v="cubic_metre_(m3)"/>
    <n v="4578.1578157815775"/>
    <s v="Dcycle SpA ItalyDcycle SpA Italywater4495844985"/>
    <n v="15259"/>
    <n v="4578.1578157815775"/>
    <n v="15259"/>
    <n v="4578.1578157815775"/>
  </r>
  <r>
    <x v="7"/>
    <x v="12"/>
    <x v="0"/>
    <x v="30"/>
    <x v="26"/>
    <n v="0"/>
    <s v="cubic_metre_(m3)"/>
    <n v="0"/>
    <s v="Dcycle SpA ItalyDcycle SpA Italywater4498645016"/>
    <n v="0"/>
    <n v="0"/>
    <n v="0"/>
    <n v="0"/>
  </r>
  <r>
    <x v="7"/>
    <x v="12"/>
    <x v="0"/>
    <x v="30"/>
    <x v="26"/>
    <n v="8547"/>
    <s v="cubic_metre_(m3)"/>
    <n v="2564.3564356435641"/>
    <s v="Dcycle SpA ItalyDcycle SpA Italywater4498645016"/>
    <n v="8547"/>
    <n v="2564.3564356435641"/>
    <n v="8547"/>
    <n v="2564.3564356435641"/>
  </r>
  <r>
    <x v="7"/>
    <x v="12"/>
    <x v="0"/>
    <x v="33"/>
    <x v="29"/>
    <n v="0"/>
    <s v="cubic_metre_(m3)"/>
    <n v="0"/>
    <s v="Dcycle SpA ItalyDcycle SpA Italywater4501745046"/>
    <n v="0"/>
    <n v="0"/>
    <n v="0"/>
    <n v="0"/>
  </r>
  <r>
    <x v="7"/>
    <x v="12"/>
    <x v="0"/>
    <x v="33"/>
    <x v="29"/>
    <n v="1668"/>
    <s v="cubic_metre_(m3)"/>
    <n v="500.4500450045004"/>
    <s v="Dcycle SpA ItalyDcycle SpA Italywater4501745046"/>
    <n v="1668"/>
    <n v="500.4500450045004"/>
    <n v="1668"/>
    <n v="500.4500450045004"/>
  </r>
  <r>
    <x v="7"/>
    <x v="12"/>
    <x v="0"/>
    <x v="36"/>
    <x v="101"/>
    <n v="2"/>
    <s v="cubic_metre_(m3)"/>
    <n v="0.60006000600060005"/>
    <s v="Dcycle SpA ItalyDcycle SpA Italywater4504745076"/>
    <n v="2"/>
    <n v="0.60006000600060005"/>
    <n v="2"/>
    <n v="0.60006000600060005"/>
  </r>
  <r>
    <x v="7"/>
    <x v="12"/>
    <x v="0"/>
    <x v="36"/>
    <x v="31"/>
    <n v="0"/>
    <s v="cubic_metre_(m3)"/>
    <n v="0"/>
    <s v="Dcycle SpA ItalyDcycle SpA Italywater4504745077"/>
    <n v="0"/>
    <n v="0"/>
    <n v="0"/>
    <n v="0"/>
  </r>
  <r>
    <x v="7"/>
    <x v="12"/>
    <x v="0"/>
    <x v="39"/>
    <x v="33"/>
    <n v="0"/>
    <s v="cubic_metre_(m3)"/>
    <n v="0"/>
    <s v="Dcycle SpA ItalyDcycle SpA Italywater4507845107"/>
    <n v="0"/>
    <n v="0"/>
    <n v="0"/>
    <n v="0"/>
  </r>
  <r>
    <x v="7"/>
    <x v="12"/>
    <x v="0"/>
    <x v="42"/>
    <x v="35"/>
    <n v="0"/>
    <s v="cubic_metre_(m3)"/>
    <n v="0"/>
    <s v="Dcycle SpA ItalyDcycle SpA Italywater4510845138"/>
    <n v="0"/>
    <n v="0"/>
    <n v="0"/>
    <n v="0"/>
  </r>
  <r>
    <x v="7"/>
    <x v="12"/>
    <x v="0"/>
    <x v="45"/>
    <x v="37"/>
    <n v="0"/>
    <s v="cubic_metre_(m3)"/>
    <n v="0"/>
    <s v="Dcycle SpA ItalyDcycle SpA Italywater4513945169"/>
    <n v="0"/>
    <n v="0"/>
    <n v="0"/>
    <n v="0"/>
  </r>
  <r>
    <x v="7"/>
    <x v="12"/>
    <x v="0"/>
    <x v="49"/>
    <x v="40"/>
    <n v="0"/>
    <s v="cubic_metre_(m3)"/>
    <n v="0"/>
    <s v="Dcycle SpA ItalyDcycle SpA Italywater4517045199"/>
    <n v="0"/>
    <n v="0"/>
    <n v="0"/>
    <n v="0"/>
  </r>
  <r>
    <x v="7"/>
    <x v="12"/>
    <x v="0"/>
    <x v="53"/>
    <x v="44"/>
    <n v="4"/>
    <s v="cubic_metre_(m3)"/>
    <n v="1.2001200120012001"/>
    <s v="Dcycle SpA ItalyDcycle SpA Italywater4520045230"/>
    <n v="4"/>
    <n v="1.2001200120012001"/>
    <n v="4"/>
    <n v="1.2001200120012001"/>
  </r>
  <r>
    <x v="7"/>
    <x v="12"/>
    <x v="0"/>
    <x v="54"/>
    <x v="45"/>
    <n v="12285"/>
    <s v="cubic_metre_(m3)"/>
    <n v="3685.8685868586858"/>
    <s v="Dcycle SpA ItalyDcycle SpA Italywater4523145260"/>
    <n v="12285"/>
    <n v="3685.8685868586858"/>
    <n v="12285"/>
    <n v="3685.8685868586858"/>
  </r>
  <r>
    <x v="7"/>
    <x v="12"/>
    <x v="0"/>
    <x v="55"/>
    <x v="21"/>
    <n v="13681"/>
    <s v="cubic_metre_(m3)"/>
    <n v="4104.7104710471049"/>
    <s v="Dcycle SpA ItalyDcycle SpA Italywater4526145291"/>
    <n v="13681"/>
    <n v="4104.7104710471049"/>
    <n v="13681"/>
    <n v="4104.7104710471049"/>
  </r>
  <r>
    <x v="7"/>
    <x v="12"/>
    <x v="0"/>
    <x v="103"/>
    <x v="20"/>
    <n v="309"/>
    <s v="cubic_metre_(m3)"/>
    <n v="92.709270927092703"/>
    <s v="Dcycle SpA ItalyDcycle SpA Italywater4489744957"/>
    <n v="309"/>
    <n v="92.709270927092703"/>
    <n v="309"/>
    <n v="92.709270927092703"/>
  </r>
  <r>
    <x v="7"/>
    <x v="12"/>
    <x v="0"/>
    <x v="107"/>
    <x v="102"/>
    <n v="0"/>
    <s v="cubic_metre_(m3)"/>
    <n v="0"/>
    <s v="Dcycle SpA ItalyDcycle SpA Italywater4490945005"/>
    <n v="0"/>
    <n v="0"/>
    <n v="0"/>
    <n v="0"/>
  </r>
  <r>
    <x v="7"/>
    <x v="12"/>
    <x v="0"/>
    <x v="23"/>
    <x v="20"/>
    <n v="68"/>
    <s v="cubic_metre_(m3)"/>
    <n v="20.402040204020402"/>
    <s v="Dcycle SpA ItalyDcycle SpA Italywater4492744957"/>
    <n v="0"/>
    <n v="0"/>
    <n v="0"/>
    <n v="0"/>
  </r>
  <r>
    <x v="7"/>
    <x v="12"/>
    <x v="0"/>
    <x v="26"/>
    <x v="85"/>
    <n v="0"/>
    <s v="cubic_metre_(m3)"/>
    <n v="0"/>
    <s v="Dcycle SpA ItalyDcycle SpA Italywater4495845021"/>
    <n v="0"/>
    <n v="0"/>
    <n v="0"/>
    <n v="0"/>
  </r>
  <r>
    <x v="7"/>
    <x v="12"/>
    <x v="0"/>
    <x v="108"/>
    <x v="103"/>
    <n v="264"/>
    <s v="cubic_metre_(m3)"/>
    <n v="79.207920792079207"/>
    <s v="Dcycle SpA ItalyDcycle SpA Italywater4495945022"/>
    <n v="264"/>
    <n v="79.207920792079207"/>
    <n v="264"/>
    <n v="79.207920792079207"/>
  </r>
  <r>
    <x v="7"/>
    <x v="12"/>
    <x v="0"/>
    <x v="109"/>
    <x v="87"/>
    <n v="79"/>
    <s v="cubic_metre_(m3)"/>
    <n v="23.7023702370237"/>
    <s v="Dcycle SpA ItalyDcycle SpA Italywater4500645082"/>
    <n v="79"/>
    <n v="23.7023702370237"/>
    <n v="79"/>
    <n v="23.7023702370237"/>
  </r>
  <r>
    <x v="7"/>
    <x v="12"/>
    <x v="0"/>
    <x v="110"/>
    <x v="31"/>
    <n v="255"/>
    <s v="cubic_metre_(m3)"/>
    <n v="76.507650765076505"/>
    <s v="Dcycle SpA ItalyDcycle SpA Italywater4502245077"/>
    <n v="255"/>
    <n v="76.507650765076505"/>
    <n v="255"/>
    <n v="76.507650765076505"/>
  </r>
  <r>
    <x v="7"/>
    <x v="12"/>
    <x v="0"/>
    <x v="111"/>
    <x v="87"/>
    <n v="59"/>
    <s v="cubic_metre_(m3)"/>
    <n v="17.7017701770177"/>
    <s v="Dcycle SpA ItalyDcycle SpA Italywater4502345082"/>
    <n v="59"/>
    <n v="17.7017701770177"/>
    <n v="59"/>
    <n v="17.7017701770177"/>
  </r>
  <r>
    <x v="7"/>
    <x v="12"/>
    <x v="0"/>
    <x v="39"/>
    <x v="104"/>
    <n v="0"/>
    <s v="cubic_metre_(m3)"/>
    <n v="0"/>
    <s v="Dcycle SpA ItalyDcycle SpA Italywater4507845146"/>
    <n v="0"/>
    <n v="0"/>
    <n v="0"/>
    <n v="0"/>
  </r>
  <r>
    <x v="7"/>
    <x v="12"/>
    <x v="0"/>
    <x v="112"/>
    <x v="105"/>
    <n v="356"/>
    <s v="cubic_metre_(m3)"/>
    <n v="106.8106810681068"/>
    <s v="Dcycle SpA ItalyDcycle SpA Italywater4508345148"/>
    <n v="356"/>
    <n v="106.8106810681068"/>
    <n v="356"/>
    <n v="106.8106810681068"/>
  </r>
  <r>
    <x v="7"/>
    <x v="12"/>
    <x v="0"/>
    <x v="113"/>
    <x v="91"/>
    <n v="260"/>
    <s v="cubic_metre_(m3)"/>
    <n v="78.007800780078"/>
    <s v="Dcycle SpA ItalyDcycle SpA Italywater4514745203"/>
    <n v="260"/>
    <n v="78.007800780078"/>
    <n v="260"/>
    <n v="78.007800780078"/>
  </r>
  <r>
    <x v="7"/>
    <x v="12"/>
    <x v="0"/>
    <x v="114"/>
    <x v="92"/>
    <n v="89"/>
    <s v="cubic_metre_(m3)"/>
    <n v="26.702670267026701"/>
    <s v="Dcycle SpA ItalyDcycle SpA Italywater4514945204"/>
    <n v="89"/>
    <n v="26.702670267026701"/>
    <n v="89"/>
    <n v="26.702670267026701"/>
  </r>
  <r>
    <x v="7"/>
    <x v="12"/>
    <x v="0"/>
    <x v="115"/>
    <x v="81"/>
    <n v="199"/>
    <s v="cubic_metre_(m3)"/>
    <n v="59.705970597059704"/>
    <s v="Dcycle SpA ItalyDcycle SpA Italywater4520545278"/>
    <n v="199"/>
    <n v="59.705970597059704"/>
    <n v="199"/>
    <n v="59.705970597059704"/>
  </r>
  <r>
    <x v="8"/>
    <x v="13"/>
    <x v="1"/>
    <x v="23"/>
    <x v="20"/>
    <n v="3011"/>
    <s v="kilowatt_hour_(kwh)"/>
    <n v="451.64774176129123"/>
    <s v="Dcycle SIADcycle SIAelectricity4492744957"/>
    <n v="3011"/>
    <n v="451.64774176129123"/>
    <n v="3011"/>
    <n v="451.64774176129123"/>
  </r>
  <r>
    <x v="8"/>
    <x v="13"/>
    <x v="1"/>
    <x v="26"/>
    <x v="23"/>
    <n v="2706"/>
    <s v="kilowatt_hour_(kwh)"/>
    <n v="405.89797051014745"/>
    <s v="Dcycle SIADcycle SIAelectricity4495844985"/>
    <n v="2706"/>
    <n v="405.89797051014745"/>
    <n v="2706"/>
    <n v="405.89797051014745"/>
  </r>
  <r>
    <x v="8"/>
    <x v="13"/>
    <x v="1"/>
    <x v="30"/>
    <x v="26"/>
    <n v="2549"/>
    <s v="kilowatt_hour_(kwh)"/>
    <n v="382.34808825955872"/>
    <s v="Dcycle SIADcycle SIAelectricity4498645016"/>
    <n v="2549"/>
    <n v="382.34808825955872"/>
    <n v="2549"/>
    <n v="382.34808825955872"/>
  </r>
  <r>
    <x v="8"/>
    <x v="13"/>
    <x v="1"/>
    <x v="33"/>
    <x v="29"/>
    <n v="2418"/>
    <s v="kilowatt_hour_(kwh)"/>
    <n v="362.69818650906745"/>
    <s v="Dcycle SIADcycle SIAelectricity4501745046"/>
    <n v="2418"/>
    <n v="362.69818650906745"/>
    <n v="2418"/>
    <n v="362.69818650906745"/>
  </r>
  <r>
    <x v="8"/>
    <x v="13"/>
    <x v="1"/>
    <x v="36"/>
    <x v="31"/>
    <n v="2569"/>
    <s v="kilowatt_hour_(kwh)"/>
    <n v="385.34807325963374"/>
    <s v="Dcycle SIADcycle SIAelectricity4504745077"/>
    <n v="2569"/>
    <n v="385.34807325963374"/>
    <n v="2569"/>
    <n v="385.34807325963374"/>
  </r>
  <r>
    <x v="8"/>
    <x v="13"/>
    <x v="1"/>
    <x v="39"/>
    <x v="33"/>
    <n v="3006"/>
    <s v="kilowatt_hour_(kwh)"/>
    <n v="450.89774551127249"/>
    <s v="Dcycle SIADcycle SIAelectricity4507845107"/>
    <n v="3006"/>
    <n v="450.89774551127249"/>
    <n v="3006"/>
    <n v="450.89774551127249"/>
  </r>
  <r>
    <x v="8"/>
    <x v="13"/>
    <x v="1"/>
    <x v="42"/>
    <x v="35"/>
    <n v="2882"/>
    <s v="kilowatt_hour_(kwh)"/>
    <n v="432.29783851080748"/>
    <s v="Dcycle SIADcycle SIAelectricity4510845138"/>
    <n v="2882"/>
    <n v="432.29783851080748"/>
    <n v="2882"/>
    <n v="432.29783851080748"/>
  </r>
  <r>
    <x v="8"/>
    <x v="13"/>
    <x v="1"/>
    <x v="45"/>
    <x v="37"/>
    <n v="3111"/>
    <s v="kilowatt_hour_(kwh)"/>
    <n v="466.64766676166624"/>
    <s v="Dcycle SIADcycle SIAelectricity4513945169"/>
    <n v="3111"/>
    <n v="466.64766676166624"/>
    <n v="3111"/>
    <n v="466.64766676166624"/>
  </r>
  <r>
    <x v="8"/>
    <x v="13"/>
    <x v="1"/>
    <x v="49"/>
    <x v="40"/>
    <n v="2983"/>
    <s v="kilowatt_hour_(kwh)"/>
    <n v="447.4477627611862"/>
    <s v="Dcycle SIADcycle SIAelectricity4517045199"/>
    <n v="2983"/>
    <n v="447.4477627611862"/>
    <n v="2983"/>
    <n v="447.4477627611862"/>
  </r>
  <r>
    <x v="8"/>
    <x v="13"/>
    <x v="1"/>
    <x v="53"/>
    <x v="44"/>
    <n v="3500"/>
    <s v="kilowatt_hour_(kwh)"/>
    <n v="524.99737501312495"/>
    <s v="Dcycle SIADcycle SIAelectricity4520045230"/>
    <n v="3500"/>
    <n v="524.99737501312495"/>
    <n v="3500"/>
    <n v="524.99737501312495"/>
  </r>
  <r>
    <x v="8"/>
    <x v="13"/>
    <x v="1"/>
    <x v="54"/>
    <x v="45"/>
    <n v="3100"/>
    <s v="kilowatt_hour_(kwh)"/>
    <n v="464.99767501162495"/>
    <s v="Dcycle SIADcycle SIAelectricity4523145260"/>
    <n v="3100"/>
    <n v="464.99767501162495"/>
    <n v="3100"/>
    <n v="464.99767501162495"/>
  </r>
  <r>
    <x v="8"/>
    <x v="13"/>
    <x v="1"/>
    <x v="55"/>
    <x v="21"/>
    <n v="2929"/>
    <s v="kilowatt_hour_(kwh)"/>
    <n v="439.34780326098371"/>
    <s v="Dcycle SIADcycle SIAelectricity4526145291"/>
    <n v="2929"/>
    <n v="439.34780326098371"/>
    <n v="2929"/>
    <n v="439.34780326098371"/>
  </r>
  <r>
    <x v="8"/>
    <x v="13"/>
    <x v="2"/>
    <x v="23"/>
    <x v="20"/>
    <n v="913.7088"/>
    <s v="therm_(thm)"/>
    <n v="2778.6869874636659"/>
    <s v="Dcycle SIADcycle SIAheat4492744957"/>
    <n v="913.7088"/>
    <n v="1096.4944197767911"/>
    <n v="913.7088"/>
    <n v="1096.4944197767911"/>
  </r>
  <r>
    <x v="8"/>
    <x v="13"/>
    <x v="2"/>
    <x v="26"/>
    <x v="23"/>
    <n v="939.96480000000008"/>
    <s v="therm_(thm)"/>
    <n v="2858.5343146896339"/>
    <s v="Dcycle SIADcycle SIAheat4495844985"/>
    <n v="939.96480000000008"/>
    <n v="1128.0028801152046"/>
    <n v="939.96480000000008"/>
    <n v="1128.0028801152046"/>
  </r>
  <r>
    <x v="8"/>
    <x v="13"/>
    <x v="2"/>
    <x v="30"/>
    <x v="26"/>
    <n v="367.584"/>
    <s v="therm_(thm)"/>
    <n v="1117.8625811635438"/>
    <s v="Dcycle SIADcycle SIAheat4498645016"/>
    <n v="367.584"/>
    <n v="441.1184447377895"/>
    <n v="367.584"/>
    <n v="441.1184447377895"/>
  </r>
  <r>
    <x v="8"/>
    <x v="13"/>
    <x v="2"/>
    <x v="33"/>
    <x v="29"/>
    <n v="173.28960000000001"/>
    <s v="therm_(thm)"/>
    <n v="526.99235969138499"/>
    <s v="Dcycle SIADcycle SIAheat4501745046"/>
    <n v="173.28960000000001"/>
    <n v="207.95583823352933"/>
    <n v="173.28960000000001"/>
    <n v="207.95583823352933"/>
  </r>
  <r>
    <x v="8"/>
    <x v="13"/>
    <x v="2"/>
    <x v="36"/>
    <x v="31"/>
    <n v="157.536"/>
    <s v="therm_(thm)"/>
    <n v="479.08396335580449"/>
    <s v="Dcycle SIADcycle SIAheat4504745077"/>
    <n v="157.536"/>
    <n v="189.05076203048122"/>
    <n v="157.536"/>
    <n v="189.05076203048122"/>
  </r>
  <r>
    <x v="8"/>
    <x v="13"/>
    <x v="2"/>
    <x v="39"/>
    <x v="33"/>
    <n v="31.507199999999997"/>
    <s v="therm_(thm)"/>
    <n v="95.816792671160911"/>
    <s v="Dcycle SIADcycle SIAheat4507845107"/>
    <n v="31.507199999999997"/>
    <n v="37.810152406096236"/>
    <n v="31.507199999999997"/>
    <n v="37.810152406096236"/>
  </r>
  <r>
    <x v="8"/>
    <x v="13"/>
    <x v="2"/>
    <x v="42"/>
    <x v="35"/>
    <n v="31.507199999999997"/>
    <s v="therm_(thm)"/>
    <n v="95.816792671160911"/>
    <s v="Dcycle SIADcycle SIAheat4510845138"/>
    <n v="31.507199999999997"/>
    <n v="37.810152406096236"/>
    <n v="31.507199999999997"/>
    <n v="37.810152406096236"/>
  </r>
  <r>
    <x v="8"/>
    <x v="13"/>
    <x v="2"/>
    <x v="45"/>
    <x v="37"/>
    <n v="36.758400000000002"/>
    <s v="therm_(thm)"/>
    <n v="111.7862581163544"/>
    <s v="Dcycle SIADcycle SIAheat4513945169"/>
    <n v="36.758400000000002"/>
    <n v="44.111844473778952"/>
    <n v="36.758400000000002"/>
    <n v="44.111844473778952"/>
  </r>
  <r>
    <x v="8"/>
    <x v="13"/>
    <x v="2"/>
    <x v="49"/>
    <x v="40"/>
    <n v="36.758400000000002"/>
    <s v="therm_(thm)"/>
    <n v="111.7862581163544"/>
    <s v="Dcycle SIADcycle SIAheat4517045199"/>
    <n v="36.758400000000002"/>
    <n v="44.111844473778952"/>
    <n v="36.758400000000002"/>
    <n v="44.111844473778952"/>
  </r>
  <r>
    <x v="8"/>
    <x v="13"/>
    <x v="2"/>
    <x v="53"/>
    <x v="44"/>
    <n v="351.8304"/>
    <s v="therm_(thm)"/>
    <n v="1069.9541848279634"/>
    <s v="Dcycle SIADcycle SIAheat4520045230"/>
    <n v="351.8304"/>
    <n v="422.21336853474139"/>
    <n v="351.8304"/>
    <n v="422.21336853474139"/>
  </r>
  <r>
    <x v="8"/>
    <x v="13"/>
    <x v="2"/>
    <x v="54"/>
    <x v="45"/>
    <n v="420.096"/>
    <s v="therm_(thm)"/>
    <n v="1277.5572356154787"/>
    <s v="Dcycle SIADcycle SIAheat4523145260"/>
    <n v="420.096"/>
    <n v="504.13536541461656"/>
    <n v="420.096"/>
    <n v="504.13536541461656"/>
  </r>
  <r>
    <x v="8"/>
    <x v="13"/>
    <x v="2"/>
    <x v="55"/>
    <x v="21"/>
    <n v="724.66559999999993"/>
    <s v="therm_(thm)"/>
    <n v="2203.7862314367007"/>
    <s v="Dcycle SIADcycle SIAheat4526145291"/>
    <n v="724.66559999999993"/>
    <n v="869.63350534021345"/>
    <n v="724.66559999999993"/>
    <n v="869.63350534021345"/>
  </r>
  <r>
    <x v="8"/>
    <x v="13"/>
    <x v="0"/>
    <x v="23"/>
    <x v="20"/>
    <n v="15.2"/>
    <s v="cubic_metre_(m3)"/>
    <n v="4.5604560456045604"/>
    <s v="Dcycle SIADcycle SIAwater4492744957"/>
    <n v="15.2"/>
    <n v="4.5604560456045604"/>
    <n v="15.2"/>
    <n v="4.5604560456045604"/>
  </r>
  <r>
    <x v="8"/>
    <x v="13"/>
    <x v="0"/>
    <x v="26"/>
    <x v="23"/>
    <n v="20.7"/>
    <s v="cubic_metre_(m3)"/>
    <n v="6.2106210621062097"/>
    <s v="Dcycle SIADcycle SIAwater4495844985"/>
    <n v="20.7"/>
    <n v="6.2106210621062097"/>
    <n v="20.7"/>
    <n v="6.2106210621062097"/>
  </r>
  <r>
    <x v="8"/>
    <x v="13"/>
    <x v="0"/>
    <x v="30"/>
    <x v="26"/>
    <n v="16"/>
    <s v="cubic_metre_(m3)"/>
    <n v="4.8004800480048004"/>
    <s v="Dcycle SIADcycle SIAwater4498645016"/>
    <n v="16"/>
    <n v="4.8004800480048004"/>
    <n v="16"/>
    <n v="4.8004800480048004"/>
  </r>
  <r>
    <x v="8"/>
    <x v="13"/>
    <x v="0"/>
    <x v="33"/>
    <x v="29"/>
    <n v="18.2"/>
    <s v="cubic_metre_(m3)"/>
    <n v="5.4605460546054596"/>
    <s v="Dcycle SIADcycle SIAwater4501745046"/>
    <n v="18.2"/>
    <n v="5.4605460546054596"/>
    <n v="18.2"/>
    <n v="5.4605460546054596"/>
  </r>
  <r>
    <x v="8"/>
    <x v="13"/>
    <x v="0"/>
    <x v="36"/>
    <x v="31"/>
    <n v="16.399999999999999"/>
    <s v="cubic_metre_(m3)"/>
    <n v="4.9204920492049196"/>
    <s v="Dcycle SIADcycle SIAwater4504745077"/>
    <n v="16.399999999999999"/>
    <n v="4.9204920492049196"/>
    <n v="16.399999999999999"/>
    <n v="4.9204920492049196"/>
  </r>
  <r>
    <x v="8"/>
    <x v="13"/>
    <x v="0"/>
    <x v="39"/>
    <x v="33"/>
    <n v="16.600000000000001"/>
    <s v="cubic_metre_(m3)"/>
    <n v="4.9804980498049805"/>
    <s v="Dcycle SIADcycle SIAwater4507845107"/>
    <n v="16.600000000000001"/>
    <n v="4.9804980498049805"/>
    <n v="16.600000000000001"/>
    <n v="4.9804980498049805"/>
  </r>
  <r>
    <x v="8"/>
    <x v="13"/>
    <x v="0"/>
    <x v="42"/>
    <x v="35"/>
    <n v="8.1"/>
    <s v="cubic_metre_(m3)"/>
    <n v="2.4302430243024302"/>
    <s v="Dcycle SIADcycle SIAwater4510845138"/>
    <n v="8.1"/>
    <n v="2.4302430243024302"/>
    <n v="8.1"/>
    <n v="2.4302430243024302"/>
  </r>
  <r>
    <x v="8"/>
    <x v="13"/>
    <x v="0"/>
    <x v="45"/>
    <x v="37"/>
    <n v="13.8"/>
    <s v="cubic_metre_(m3)"/>
    <n v="4.1404140414041404"/>
    <s v="Dcycle SIADcycle SIAwater4513945169"/>
    <n v="13.8"/>
    <n v="4.1404140414041404"/>
    <n v="13.8"/>
    <n v="4.1404140414041404"/>
  </r>
  <r>
    <x v="8"/>
    <x v="13"/>
    <x v="0"/>
    <x v="49"/>
    <x v="40"/>
    <n v="13"/>
    <s v="cubic_metre_(m3)"/>
    <n v="3.9003900390039004"/>
    <s v="Dcycle SIADcycle SIAwater4517045199"/>
    <n v="13"/>
    <n v="3.9003900390039004"/>
    <n v="13"/>
    <n v="3.9003900390039004"/>
  </r>
  <r>
    <x v="8"/>
    <x v="13"/>
    <x v="0"/>
    <x v="53"/>
    <x v="44"/>
    <n v="16.2"/>
    <s v="cubic_metre_(m3)"/>
    <n v="4.8604860486048604"/>
    <s v="Dcycle SIADcycle SIAwater4520045230"/>
    <n v="16.2"/>
    <n v="4.8604860486048604"/>
    <n v="16.2"/>
    <n v="4.8604860486048604"/>
  </r>
  <r>
    <x v="8"/>
    <x v="13"/>
    <x v="0"/>
    <x v="54"/>
    <x v="45"/>
    <n v="15.7"/>
    <s v="cubic_metre_(m3)"/>
    <n v="4.7104710471047104"/>
    <s v="Dcycle SIADcycle SIAwater4523145260"/>
    <n v="15.7"/>
    <n v="4.7104710471047104"/>
    <n v="15.7"/>
    <n v="4.7104710471047104"/>
  </r>
  <r>
    <x v="8"/>
    <x v="13"/>
    <x v="0"/>
    <x v="55"/>
    <x v="21"/>
    <n v="11.2"/>
    <s v="cubic_metre_(m3)"/>
    <n v="3.3603360336033599"/>
    <s v="Dcycle SIADcycle SIAwater4526145291"/>
    <n v="11.2"/>
    <n v="3.3603360336033599"/>
    <n v="11.2"/>
    <n v="3.3603360336033599"/>
  </r>
  <r>
    <x v="1"/>
    <x v="4"/>
    <x v="3"/>
    <x v="23"/>
    <x v="21"/>
    <n v="20517"/>
    <s v="Kilogram_(kg)"/>
    <n v="820.68"/>
    <s v="Dcycle Factory SLDcycle Factory SLwaste4492745291"/>
    <n v="20517"/>
    <n v="820.68"/>
    <n v="20517000"/>
    <n v="820680"/>
  </r>
  <r>
    <x v="1"/>
    <x v="4"/>
    <x v="3"/>
    <x v="23"/>
    <x v="21"/>
    <n v="20634"/>
    <s v="Kilogram_(kg)"/>
    <n v="825.36"/>
    <s v="Dcycle Factory SLDcycle Factory SLwaste4492745291"/>
    <n v="20634"/>
    <n v="825.36"/>
    <n v="20634000"/>
    <n v="825360"/>
  </r>
  <r>
    <x v="2"/>
    <x v="6"/>
    <x v="3"/>
    <x v="45"/>
    <x v="37"/>
    <n v="48"/>
    <s v="Kilogram_(kg)"/>
    <n v="1.92"/>
    <s v="Dcycle Andina SASD - Bodega 2 (almacén)waste4513945169"/>
    <n v="48"/>
    <n v="87.149564252178749"/>
    <n v="48000"/>
    <n v="1920"/>
  </r>
  <r>
    <x v="2"/>
    <x v="6"/>
    <x v="3"/>
    <x v="45"/>
    <x v="37"/>
    <n v="334"/>
    <s v="Kilogram_(kg)"/>
    <n v="13.36"/>
    <s v="Dcycle Andina SASD - Bodega 2 (almacén)waste4513945169"/>
    <n v="334"/>
    <n v="0.32"/>
    <n v="334000"/>
    <n v="13360"/>
  </r>
  <r>
    <x v="2"/>
    <x v="5"/>
    <x v="1"/>
    <x v="116"/>
    <x v="106"/>
    <n v="1908"/>
    <s v="kilowatt_hour_(kwh)"/>
    <n v="286.19856900715496"/>
    <s v="Dcycle Andina SASD - Bodega 1electricity4514345173"/>
    <n v="1908"/>
    <n v="53.999730001349995"/>
    <n v="360"/>
    <n v="53.999730001349995"/>
  </r>
  <r>
    <x v="2"/>
    <x v="6"/>
    <x v="1"/>
    <x v="116"/>
    <x v="106"/>
    <n v="461"/>
    <s v="kilowatt_hour_(kwh)"/>
    <n v="69.149654251728748"/>
    <s v="Dcycle Andina SASD - Bodega 2 (almacén)electricity4514345173"/>
    <n v="461"/>
    <n v="14.6"/>
    <n v="365"/>
    <n v="14.6"/>
  </r>
  <r>
    <x v="2"/>
    <x v="5"/>
    <x v="0"/>
    <x v="117"/>
    <x v="107"/>
    <n v="6.1399350199999994E-2"/>
    <s v="cubic_metre_(m3)"/>
    <n v="1.8421647224722469E-2"/>
    <s v="Dcycle Andina SASD - Bodega 1water4516645166"/>
    <n v="6.1399350199999994E-2"/>
    <n v="179.24910375448124"/>
    <n v="1195"/>
    <n v="179.24910375448124"/>
  </r>
  <r>
    <x v="2"/>
    <x v="5"/>
    <x v="0"/>
    <x v="46"/>
    <x v="34"/>
    <n v="6.0566559999999998E-2"/>
    <s v="cubic_metre_(m3)"/>
    <n v="1.8171785178517849E-2"/>
    <s v="Dcycle Andina SASD - Bodega 1water4516745167"/>
    <n v="6.0566559999999998E-2"/>
    <n v="50.999745001274995"/>
    <n v="340"/>
    <n v="50.999745001274995"/>
  </r>
  <r>
    <x v="2"/>
    <x v="5"/>
    <x v="0"/>
    <x v="49"/>
    <x v="40"/>
    <n v="13"/>
    <s v="cubic_metre_(m3)"/>
    <n v="3.9003900390039004"/>
    <s v="Dcycle Andina SASD - Bodega 1water4517045199"/>
    <n v="13"/>
    <n v="6.8"/>
    <n v="170"/>
    <n v="6.8"/>
  </r>
  <r>
    <x v="2"/>
    <x v="6"/>
    <x v="0"/>
    <x v="49"/>
    <x v="40"/>
    <n v="5"/>
    <s v="cubic_metre_(m3)"/>
    <n v="1.5001500150015001"/>
    <s v="Dcycle Andina SASD - Bodega 2 (almacén)water4517045199"/>
    <n v="5"/>
    <n v="2.2714731473147315E-2"/>
    <n v="7.5708200000000003E-2"/>
    <n v="2.2714731473147315E-2"/>
  </r>
  <r>
    <x v="2"/>
    <x v="6"/>
    <x v="3"/>
    <x v="49"/>
    <x v="40"/>
    <n v="40"/>
    <s v="Kilogram_(kg)"/>
    <n v="1.6"/>
    <s v="Dcycle Andina SASD - Bodega 2 (almacén)waste4517045199"/>
    <n v="40"/>
    <n v="1.5001500150015001"/>
    <n v="40000"/>
    <n v="1600"/>
  </r>
  <r>
    <x v="2"/>
    <x v="6"/>
    <x v="3"/>
    <x v="49"/>
    <x v="40"/>
    <n v="44"/>
    <s v="Kilogram_(kg)"/>
    <n v="1.76"/>
    <s v="Dcycle Andina SASD - Bodega 2 (almacén)waste4517045199"/>
    <n v="44"/>
    <n v="8.2799999999999994"/>
    <n v="44000"/>
    <n v="1760"/>
  </r>
  <r>
    <x v="2"/>
    <x v="6"/>
    <x v="3"/>
    <x v="49"/>
    <x v="40"/>
    <n v="207"/>
    <s v="Kilogram_(kg)"/>
    <n v="8.2799999999999994"/>
    <s v="Dcycle Andina SASD - Bodega 2 (almacén)waste4517045199"/>
    <n v="207"/>
    <n v="3.9003900390039004"/>
    <n v="207000"/>
    <n v="8280"/>
  </r>
  <r>
    <x v="2"/>
    <x v="5"/>
    <x v="1"/>
    <x v="97"/>
    <x v="91"/>
    <n v="1841"/>
    <s v="kilowatt_hour_(kwh)"/>
    <n v="276.14861925690371"/>
    <s v="Dcycle Andina SASD - Bodega 1electricity4517445203"/>
    <n v="1841"/>
    <n v="2.7002700270027002"/>
    <n v="9"/>
    <n v="2.7002700270027002"/>
  </r>
  <r>
    <x v="2"/>
    <x v="6"/>
    <x v="1"/>
    <x v="97"/>
    <x v="91"/>
    <n v="581"/>
    <s v="kilowatt_hour_(kwh)"/>
    <n v="87.149564252178749"/>
    <s v="Dcycle Andina SASD - Bodega 2 (almacén)electricity4517445203"/>
    <n v="581"/>
    <n v="240.29879850600747"/>
    <n v="1602"/>
    <n v="240.29879850600747"/>
  </r>
  <r>
    <x v="2"/>
    <x v="6"/>
    <x v="3"/>
    <x v="118"/>
    <x v="108"/>
    <n v="645"/>
    <s v="Kilogram_(kg)"/>
    <n v="25.8"/>
    <s v="Dcycle Andina SASD - Bodega 2 (almacén)waste4519845228"/>
    <n v="645"/>
    <n v="271.94864025679874"/>
    <n v="645000"/>
    <n v="25800"/>
  </r>
  <r>
    <x v="2"/>
    <x v="5"/>
    <x v="0"/>
    <x v="53"/>
    <x v="44"/>
    <n v="14"/>
    <s v="cubic_metre_(m3)"/>
    <n v="4.2004200420042004"/>
    <s v="Dcycle Andina SASD - Bodega 1water4520045230"/>
    <n v="14"/>
    <n v="32.479999999999997"/>
    <n v="812"/>
    <n v="32.479999999999997"/>
  </r>
  <r>
    <x v="2"/>
    <x v="6"/>
    <x v="0"/>
    <x v="53"/>
    <x v="44"/>
    <n v="4"/>
    <s v="cubic_metre_(m3)"/>
    <n v="1.2001200120012001"/>
    <s v="Dcycle Andina SASD - Bodega 2 (almacén)water4520045230"/>
    <n v="4"/>
    <n v="8.1008100810081007"/>
    <n v="27"/>
    <n v="8.1008100810081007"/>
  </r>
  <r>
    <x v="2"/>
    <x v="6"/>
    <x v="3"/>
    <x v="53"/>
    <x v="44"/>
    <n v="182"/>
    <s v="Kilogram_(kg)"/>
    <n v="7.28"/>
    <s v="Dcycle Andina SASD - Bodega 2 (almacén)waste4520045230"/>
    <n v="182"/>
    <n v="76.199619001904992"/>
    <n v="182000"/>
    <n v="7280"/>
  </r>
  <r>
    <x v="2"/>
    <x v="5"/>
    <x v="1"/>
    <x v="99"/>
    <x v="109"/>
    <n v="1717"/>
    <s v="kilowatt_hour_(kwh)"/>
    <n v="257.54871225643871"/>
    <s v="Dcycle Andina SASD - Bodega 1electricity4520445233"/>
    <n v="1717"/>
    <n v="2.1002100210021002"/>
    <n v="7"/>
    <n v="2.1002100210021002"/>
  </r>
  <r>
    <x v="2"/>
    <x v="6"/>
    <x v="1"/>
    <x v="99"/>
    <x v="109"/>
    <n v="508"/>
    <s v="kilowatt_hour_(kwh)"/>
    <n v="76.199619001904992"/>
    <s v="Dcycle Andina SASD - Bodega 2 (almacén)electricity4520445233"/>
    <n v="508"/>
    <n v="59.249703751481249"/>
    <n v="395"/>
    <n v="59.249703751481249"/>
  </r>
  <r>
    <x v="2"/>
    <x v="5"/>
    <x v="0"/>
    <x v="54"/>
    <x v="45"/>
    <n v="13"/>
    <s v="cubic_metre_(m3)"/>
    <n v="3.9003900390039004"/>
    <s v="Dcycle Andina SASD - Bodega 1water4523145260"/>
    <n v="13"/>
    <n v="202.79898600506999"/>
    <n v="1352"/>
    <n v="202.79898600506999"/>
  </r>
  <r>
    <x v="2"/>
    <x v="6"/>
    <x v="0"/>
    <x v="54"/>
    <x v="45"/>
    <n v="5"/>
    <s v="cubic_metre_(m3)"/>
    <n v="1.5001500150015001"/>
    <s v="Dcycle Andina SASD - Bodega 2 (almacén)water4523145260"/>
    <n v="5"/>
    <n v="1.5001500150015001"/>
    <n v="5"/>
    <n v="1.5001500150015001"/>
  </r>
  <r>
    <x v="2"/>
    <x v="6"/>
    <x v="3"/>
    <x v="54"/>
    <x v="45"/>
    <n v="3.5"/>
    <s v="Kilogram_(kg)"/>
    <n v="0.14000000000000001"/>
    <s v="Dcycle Andina SASD - Bodega 2 (almacén)waste4523145260"/>
    <n v="3.5"/>
    <n v="13.36"/>
    <n v="3500"/>
    <n v="140"/>
  </r>
  <r>
    <x v="2"/>
    <x v="6"/>
    <x v="3"/>
    <x v="54"/>
    <x v="45"/>
    <n v="5.3"/>
    <s v="Kilogram_(kg)"/>
    <n v="0.21199999999999999"/>
    <s v="Dcycle Andina SASD - Bodega 2 (almacén)waste4523145260"/>
    <n v="5.3"/>
    <n v="286.19856900715496"/>
    <n v="5300"/>
    <n v="212"/>
  </r>
  <r>
    <x v="2"/>
    <x v="6"/>
    <x v="3"/>
    <x v="54"/>
    <x v="45"/>
    <n v="8"/>
    <s v="Kilogram_(kg)"/>
    <n v="0.32"/>
    <s v="Dcycle Andina SASD - Bodega 2 (almacén)waste4523145260"/>
    <n v="8"/>
    <n v="69.149654251728748"/>
    <n v="8000"/>
    <n v="320"/>
  </r>
  <r>
    <x v="2"/>
    <x v="6"/>
    <x v="3"/>
    <x v="54"/>
    <x v="45"/>
    <n v="11"/>
    <s v="Kilogram_(kg)"/>
    <n v="0.44"/>
    <s v="Dcycle Andina SASD - Bodega 2 (almacén)waste4523145260"/>
    <n v="11"/>
    <n v="1.8421647224722469E-2"/>
    <n v="11000"/>
    <n v="440"/>
  </r>
  <r>
    <x v="2"/>
    <x v="6"/>
    <x v="3"/>
    <x v="54"/>
    <x v="45"/>
    <n v="14"/>
    <s v="Kilogram_(kg)"/>
    <n v="0.56000000000000005"/>
    <s v="Dcycle Andina SASD - Bodega 2 (almacén)waste4523145260"/>
    <n v="14"/>
    <n v="1.8171785178517849E-2"/>
    <n v="14000"/>
    <n v="560"/>
  </r>
  <r>
    <x v="2"/>
    <x v="6"/>
    <x v="3"/>
    <x v="54"/>
    <x v="45"/>
    <n v="77"/>
    <s v="Kilogram_(kg)"/>
    <n v="3.08"/>
    <s v="Dcycle Andina SASD - Bodega 2 (almacén)waste4523145260"/>
    <n v="77"/>
    <n v="1.2001200120012001"/>
    <n v="77000"/>
    <n v="3080"/>
  </r>
  <r>
    <x v="2"/>
    <x v="6"/>
    <x v="3"/>
    <x v="54"/>
    <x v="45"/>
    <n v="108"/>
    <s v="Kilogram_(kg)"/>
    <n v="4.32"/>
    <s v="Dcycle Andina SASD - Bodega 2 (almacén)waste4523145260"/>
    <n v="108"/>
    <n v="7.28"/>
    <n v="108000"/>
    <n v="4320"/>
  </r>
  <r>
    <x v="2"/>
    <x v="6"/>
    <x v="3"/>
    <x v="54"/>
    <x v="45"/>
    <n v="398"/>
    <s v="Kilogram_(kg)"/>
    <n v="15.92"/>
    <s v="Dcycle Andina SASD - Bodega 2 (almacén)waste4523145260"/>
    <n v="398"/>
    <n v="4.32"/>
    <n v="398000"/>
    <n v="15920"/>
  </r>
  <r>
    <x v="2"/>
    <x v="5"/>
    <x v="1"/>
    <x v="119"/>
    <x v="94"/>
    <n v="1813"/>
    <s v="kilowatt_hour_(kwh)"/>
    <n v="271.94864025679874"/>
    <s v="Dcycle Andina SASD - Bodega 1electricity4523445264"/>
    <n v="1813"/>
    <n v="1.68"/>
    <n v="42"/>
    <n v="1.68"/>
  </r>
  <r>
    <x v="2"/>
    <x v="6"/>
    <x v="1"/>
    <x v="119"/>
    <x v="94"/>
    <n v="316"/>
    <s v="kilowatt_hour_(kwh)"/>
    <n v="47.399763001184994"/>
    <s v="Dcycle Andina SASD - Bodega 2 (almacén)electricity4523445264"/>
    <n v="316"/>
    <n v="3.0003000300030003"/>
    <n v="10"/>
    <n v="3.0003000300030003"/>
  </r>
  <r>
    <x v="2"/>
    <x v="6"/>
    <x v="3"/>
    <x v="55"/>
    <x v="21"/>
    <n v="515"/>
    <s v="Kilogram_(kg)"/>
    <n v="20.6"/>
    <s v="Dcycle Andina SASD - Bodega 2 (almacén)waste4526145291"/>
    <n v="515"/>
    <n v="15.92"/>
    <n v="515000"/>
    <n v="20600"/>
  </r>
  <r>
    <x v="2"/>
    <x v="5"/>
    <x v="1"/>
    <x v="120"/>
    <x v="110"/>
    <n v="1721"/>
    <s v="kilowatt_hour_(kwh)"/>
    <n v="258.14870925645374"/>
    <s v="Dcycle Andina SASD - Bodega 1electricity4526545294"/>
    <n v="1721"/>
    <n v="8.32"/>
    <n v="208"/>
    <n v="8.32"/>
  </r>
  <r>
    <x v="2"/>
    <x v="6"/>
    <x v="1"/>
    <x v="120"/>
    <x v="110"/>
    <n v="275"/>
    <s v="kilowatt_hour_(kwh)"/>
    <n v="41.249793751031248"/>
    <s v="Dcycle Andina SASD - Bodega 2 (almacén)electricity4526545294"/>
    <n v="275"/>
    <n v="6.6006600660066006"/>
    <n v="22"/>
    <n v="6.6006600660066006"/>
  </r>
  <r>
    <x v="0"/>
    <x v="0"/>
    <x v="1"/>
    <x v="49"/>
    <x v="40"/>
    <n v="1720"/>
    <s v="kilowatt_hour_(kwh)"/>
    <n v="257.99871000644998"/>
    <s v="DCYCLE SAMadridelectricity4517045199"/>
    <n v="0"/>
    <n v="80"/>
    <n v="2000"/>
    <n v="80"/>
  </r>
  <r>
    <x v="0"/>
    <x v="0"/>
    <x v="1"/>
    <x v="49"/>
    <x v="40"/>
    <n v="15362.22"/>
    <s v="kilowatt_hour_(kwh)"/>
    <n v="2304.3214783926082"/>
    <s v="DCYCLE SAMadridelectricity4517045199"/>
    <n v="0"/>
    <n v="88.8"/>
    <n v="2220"/>
    <n v="88.8"/>
  </r>
  <r>
    <x v="0"/>
    <x v="0"/>
    <x v="1"/>
    <x v="49"/>
    <x v="40"/>
    <n v="50961"/>
    <s v="kilowatt_hour_(kwh)"/>
    <n v="7644.111779441103"/>
    <s v="DCYCLE SAMadridelectricity4517045199"/>
    <n v="50961"/>
    <n v="69.306930693069305"/>
    <n v="231"/>
    <n v="69.306930693069305"/>
  </r>
  <r>
    <x v="0"/>
    <x v="2"/>
    <x v="1"/>
    <x v="49"/>
    <x v="40"/>
    <n v="2821.07"/>
    <s v="kilowatt_hour_(kwh)"/>
    <n v="423.15838420807899"/>
    <s v="DCYCLE SATajonarelectricity4517045199"/>
    <n v="2821.07"/>
    <n v="29.102910291029101"/>
    <n v="97"/>
    <n v="29.102910291029101"/>
  </r>
  <r>
    <x v="0"/>
    <x v="0"/>
    <x v="3"/>
    <x v="49"/>
    <x v="40"/>
    <n v="1360"/>
    <s v="Kilogram_(kg)"/>
    <n v="54.4"/>
    <s v="DCYCLE SAMadridwaste4517045199"/>
    <n v="1360"/>
    <n v="4.498949894989499"/>
    <n v="1360000"/>
    <n v="54400"/>
  </r>
  <r>
    <x v="0"/>
    <x v="0"/>
    <x v="3"/>
    <x v="49"/>
    <x v="40"/>
    <n v="3020"/>
    <s v="Kilogram_(kg)"/>
    <n v="120.8"/>
    <s v="DCYCLE SAMadridwaste4517045199"/>
    <n v="3020"/>
    <n v="0"/>
    <n v="3020000"/>
    <n v="120800"/>
  </r>
  <r>
    <x v="0"/>
    <x v="3"/>
    <x v="1"/>
    <x v="53"/>
    <x v="44"/>
    <n v="8168"/>
    <s v="kilowatt_hour_(kwh)"/>
    <n v="1225.19387403063"/>
    <s v="DCYCLE SABCNelectricity4520045230"/>
    <n v="8168"/>
    <n v="1197.3823296111484"/>
    <n v="997.77869526497"/>
    <n v="1197.3823296111484"/>
  </r>
  <r>
    <x v="0"/>
    <x v="1"/>
    <x v="1"/>
    <x v="53"/>
    <x v="44"/>
    <n v="7126.7"/>
    <s v="kilowatt_hour_(kwh)"/>
    <n v="1068.9996550017249"/>
    <s v="DCYCLE SAMadrid (A2)electricity4520045230"/>
    <n v="0"/>
    <n v="4.5004500450045004"/>
    <n v="15"/>
    <n v="4.5004500450045004"/>
  </r>
  <r>
    <x v="0"/>
    <x v="1"/>
    <x v="1"/>
    <x v="53"/>
    <x v="44"/>
    <n v="33305"/>
    <s v="kilowatt_hour_(kwh)"/>
    <n v="4995.725021374893"/>
    <s v="DCYCLE SAMadrid (A2)electricity4520045230"/>
    <n v="33305"/>
    <n v="1801.9409902950486"/>
    <n v="12013"/>
    <n v="1801.9409902950486"/>
  </r>
  <r>
    <x v="0"/>
    <x v="1"/>
    <x v="2"/>
    <x v="53"/>
    <x v="44"/>
    <n v="0"/>
    <s v="therm_(thm)"/>
    <n v="0"/>
    <s v="DCYCLE SAMadrid (A2)heat4520045230"/>
    <n v="0"/>
    <n v="79.207920792079207"/>
    <n v="264"/>
    <n v="79.207920792079207"/>
  </r>
  <r>
    <x v="0"/>
    <x v="0"/>
    <x v="1"/>
    <x v="53"/>
    <x v="44"/>
    <n v="1787"/>
    <s v="kilowatt_hour_(kwh)"/>
    <n v="268.04865975670123"/>
    <s v="DCYCLE SAMadridelectricity4520045230"/>
    <n v="0"/>
    <n v="0"/>
    <n v="0"/>
    <n v="0"/>
  </r>
  <r>
    <x v="0"/>
    <x v="0"/>
    <x v="1"/>
    <x v="53"/>
    <x v="44"/>
    <n v="11790.07"/>
    <s v="kilowatt_hour_(kwh)"/>
    <n v="1768.5016574917126"/>
    <s v="DCYCLE SAMadridelectricity4520045230"/>
    <n v="0"/>
    <n v="0"/>
    <n v="0"/>
    <n v="0"/>
  </r>
  <r>
    <x v="0"/>
    <x v="0"/>
    <x v="1"/>
    <x v="53"/>
    <x v="44"/>
    <n v="50305"/>
    <s v="kilowatt_hour_(kwh)"/>
    <n v="7545.7122714386433"/>
    <s v="DCYCLE SAMadridelectricity4520045230"/>
    <n v="50305"/>
    <n v="90.309030903090303"/>
    <n v="301"/>
    <n v="90.309030903090303"/>
  </r>
  <r>
    <x v="0"/>
    <x v="2"/>
    <x v="1"/>
    <x v="53"/>
    <x v="44"/>
    <n v="2819.46"/>
    <s v="kilowatt_hour_(kwh)"/>
    <n v="422.91688541557295"/>
    <s v="DCYCLE SATajonarelectricity4520045230"/>
    <n v="2819.46"/>
    <n v="284.998575007125"/>
    <n v="1900"/>
    <n v="284.998575007125"/>
  </r>
  <r>
    <x v="0"/>
    <x v="0"/>
    <x v="3"/>
    <x v="53"/>
    <x v="44"/>
    <n v="2400"/>
    <s v="Kilogram_(kg)"/>
    <n v="96"/>
    <s v="DCYCLE SAMadridwaste4520045230"/>
    <n v="2400"/>
    <n v="1428.4428577857111"/>
    <n v="2400000"/>
    <n v="96000"/>
  </r>
  <r>
    <x v="0"/>
    <x v="0"/>
    <x v="3"/>
    <x v="53"/>
    <x v="44"/>
    <n v="3080"/>
    <s v="Kilogram_(kg)"/>
    <n v="123.2"/>
    <s v="DCYCLE SAMadridwaste4520045230"/>
    <n v="3080"/>
    <n v="0"/>
    <n v="3080000"/>
    <n v="123200"/>
  </r>
  <r>
    <x v="0"/>
    <x v="0"/>
    <x v="3"/>
    <x v="53"/>
    <x v="44"/>
    <n v="4720"/>
    <s v="Kilogram_(kg)"/>
    <n v="188.8"/>
    <s v="DCYCLE SAMadridwaste4520045230"/>
    <n v="4720"/>
    <n v="6"/>
    <n v="4720000"/>
    <n v="188800"/>
  </r>
  <r>
    <x v="0"/>
    <x v="0"/>
    <x v="3"/>
    <x v="53"/>
    <x v="44"/>
    <n v="7920"/>
    <s v="Kilogram_(kg)"/>
    <n v="316.8"/>
    <s v="DCYCLE SAMadridwaste4520045230"/>
    <n v="7920"/>
    <n v="1.4"/>
    <n v="7920000"/>
    <n v="316800"/>
  </r>
  <r>
    <x v="0"/>
    <x v="0"/>
    <x v="0"/>
    <x v="121"/>
    <x v="111"/>
    <n v="14.995000000000001"/>
    <s v="cubic_metre_(m3)"/>
    <n v="4.498949894989499"/>
    <s v="DCYCLE SAMadridwater4520145258"/>
    <n v="14.995000000000001"/>
    <n v="245.6"/>
    <n v="6140"/>
    <n v="245.6"/>
  </r>
  <r>
    <x v="0"/>
    <x v="3"/>
    <x v="0"/>
    <x v="122"/>
    <x v="112"/>
    <n v="11"/>
    <s v="cubic_metre_(m3)"/>
    <n v="3.3003300330033003"/>
    <s v="DCYCLE SABCNwater4522745290"/>
    <n v="11"/>
    <n v="71.494068377712367"/>
    <n v="59.576007179147716"/>
    <n v="71.494068377712367"/>
  </r>
  <r>
    <x v="0"/>
    <x v="3"/>
    <x v="1"/>
    <x v="54"/>
    <x v="45"/>
    <n v="7867"/>
    <s v="kilowatt_hour_(kwh)"/>
    <n v="1180.0440997795013"/>
    <s v="DCYCLE SABCNelectricity4523145260"/>
    <n v="7867"/>
    <n v="74818.125909370458"/>
    <n v="498790"/>
    <n v="74818.125909370458"/>
  </r>
  <r>
    <x v="0"/>
    <x v="1"/>
    <x v="1"/>
    <x v="54"/>
    <x v="45"/>
    <n v="5666.7"/>
    <s v="kilowatt_hour_(kwh)"/>
    <n v="850.00074999625008"/>
    <s v="DCYCLE SAMadrid (A2)electricity4523145260"/>
    <n v="0"/>
    <n v="8069.5096524517385"/>
    <n v="53797"/>
    <n v="8069.5096524517385"/>
  </r>
  <r>
    <x v="0"/>
    <x v="1"/>
    <x v="1"/>
    <x v="54"/>
    <x v="45"/>
    <n v="37328"/>
    <s v="kilowatt_hour_(kwh)"/>
    <n v="5599.1720041399794"/>
    <s v="DCYCLE SAMadrid (A2)electricity4523145260"/>
    <n v="37328"/>
    <n v="0"/>
    <n v="0"/>
    <n v="0"/>
  </r>
  <r>
    <x v="0"/>
    <x v="0"/>
    <x v="1"/>
    <x v="54"/>
    <x v="45"/>
    <n v="1724"/>
    <s v="kilowatt_hour_(kwh)"/>
    <n v="258.59870700646496"/>
    <s v="DCYCLE SAMadridelectricity4523145260"/>
    <n v="0"/>
    <n v="1433.2428337858312"/>
    <n v="9555"/>
    <n v="1433.2428337858312"/>
  </r>
  <r>
    <x v="0"/>
    <x v="0"/>
    <x v="1"/>
    <x v="54"/>
    <x v="45"/>
    <n v="10142.35"/>
    <s v="kilowatt_hour_(kwh)"/>
    <n v="1521.3448932755337"/>
    <s v="DCYCLE SAMadridelectricity4523145260"/>
    <n v="0"/>
    <n v="4547.8272608636962"/>
    <n v="30319"/>
    <n v="4547.8272608636962"/>
  </r>
  <r>
    <x v="0"/>
    <x v="0"/>
    <x v="1"/>
    <x v="54"/>
    <x v="45"/>
    <n v="59924"/>
    <s v="kilowatt_hour_(kwh)"/>
    <n v="8988.5550572247139"/>
    <s v="DCYCLE SAMadridelectricity4523145260"/>
    <n v="59924"/>
    <n v="0"/>
    <n v="0"/>
    <n v="0"/>
  </r>
  <r>
    <x v="0"/>
    <x v="2"/>
    <x v="1"/>
    <x v="54"/>
    <x v="45"/>
    <n v="3207.97"/>
    <s v="kilowatt_hour_(kwh)"/>
    <n v="481.19309403452985"/>
    <s v="DCYCLE SATajonarelectricity4523145260"/>
    <n v="3207.97"/>
    <n v="1482.8925855370724"/>
    <n v="9886"/>
    <n v="1482.8925855370724"/>
  </r>
  <r>
    <x v="0"/>
    <x v="0"/>
    <x v="3"/>
    <x v="54"/>
    <x v="45"/>
    <n v="1840"/>
    <s v="Kilogram_(kg)"/>
    <n v="73.599999999999994"/>
    <s v="DCYCLE SAMadridwaste4523145260"/>
    <n v="1840"/>
    <n v="1180.0440997795013"/>
    <n v="1840000"/>
    <n v="73600"/>
  </r>
  <r>
    <x v="0"/>
    <x v="0"/>
    <x v="3"/>
    <x v="54"/>
    <x v="45"/>
    <n v="3200"/>
    <s v="Kilogram_(kg)"/>
    <n v="128"/>
    <s v="DCYCLE SAMadridwaste4523145260"/>
    <n v="3200"/>
    <n v="587.41356293218541"/>
    <n v="3200000"/>
    <n v="128000"/>
  </r>
  <r>
    <x v="0"/>
    <x v="0"/>
    <x v="3"/>
    <x v="54"/>
    <x v="45"/>
    <n v="3860"/>
    <s v="Kilogram_(kg)"/>
    <n v="154.4"/>
    <s v="DCYCLE SAMadridwaste4523145260"/>
    <n v="3860"/>
    <n v="3"/>
    <n v="3860000"/>
    <n v="154400"/>
  </r>
  <r>
    <x v="0"/>
    <x v="0"/>
    <x v="3"/>
    <x v="54"/>
    <x v="45"/>
    <n v="6320"/>
    <s v="Kilogram_(kg)"/>
    <n v="252.8"/>
    <s v="DCYCLE SAMadridwaste4523145260"/>
    <n v="6320"/>
    <n v="77.599999999999994"/>
    <n v="6320000"/>
    <n v="252800"/>
  </r>
  <r>
    <x v="0"/>
    <x v="1"/>
    <x v="2"/>
    <x v="123"/>
    <x v="45"/>
    <n v="151.08966769144678"/>
    <s v="therm_(thm)"/>
    <n v="181.31485382388908"/>
    <s v="DCYCLE SAMadrid (A2)heat4524545260"/>
    <n v="151.08966769144678"/>
    <n v="5.6990699069906992"/>
    <n v="18.995000000000001"/>
    <n v="5.6990699069906992"/>
  </r>
  <r>
    <x v="0"/>
    <x v="0"/>
    <x v="0"/>
    <x v="124"/>
    <x v="111"/>
    <n v="15.054"/>
    <s v="cubic_metre_(m3)"/>
    <n v="4.5166516651665161"/>
    <s v="DCYCLE SAMadridwater4525845258"/>
    <n v="15.054"/>
    <n v="256"/>
    <n v="6400"/>
    <n v="256"/>
  </r>
  <r>
    <x v="0"/>
    <x v="3"/>
    <x v="1"/>
    <x v="55"/>
    <x v="21"/>
    <n v="9523"/>
    <s v="kilowatt_hour_(kwh)"/>
    <n v="1428.4428577857111"/>
    <s v="DCYCLE SABCNelectricity4526145291"/>
    <n v="9523"/>
    <n v="27.902790279027901"/>
    <n v="93"/>
    <n v="27.902790279027901"/>
  </r>
  <r>
    <x v="0"/>
    <x v="1"/>
    <x v="1"/>
    <x v="55"/>
    <x v="21"/>
    <n v="3664.5"/>
    <s v="kilowatt_hour_(kwh)"/>
    <n v="549.67225163874184"/>
    <s v="DCYCLE SAMadrid (A2)electricity4526145291"/>
    <n v="0"/>
    <n v="12792.38603806981"/>
    <n v="85283"/>
    <n v="12792.38603806981"/>
  </r>
  <r>
    <x v="0"/>
    <x v="1"/>
    <x v="1"/>
    <x v="55"/>
    <x v="21"/>
    <n v="33985"/>
    <s v="kilowatt_hour_(kwh)"/>
    <n v="5097.7245113774434"/>
    <s v="DCYCLE SAMadrid (A2)electricity4526145291"/>
    <n v="33985"/>
    <n v="913.19543402282989"/>
    <n v="6088"/>
    <n v="913.19543402282989"/>
  </r>
  <r>
    <x v="0"/>
    <x v="1"/>
    <x v="2"/>
    <x v="55"/>
    <x v="21"/>
    <n v="386.18628250492202"/>
    <s v="therm_(thm)"/>
    <n v="463.44207668897394"/>
    <s v="DCYCLE SAMadrid (A2)heat4526145291"/>
    <n v="386.18628250492202"/>
    <n v="1168.7941560292199"/>
    <n v="7792"/>
    <n v="1168.7941560292199"/>
  </r>
  <r>
    <x v="0"/>
    <x v="0"/>
    <x v="1"/>
    <x v="55"/>
    <x v="21"/>
    <n v="2264"/>
    <s v="kilowatt_hour_(kwh)"/>
    <n v="339.59830200848995"/>
    <s v="DCYCLE SAMadridelectricity4526145291"/>
    <n v="0"/>
    <n v="8966.9551652241753"/>
    <n v="59780"/>
    <n v="8966.9551652241753"/>
  </r>
  <r>
    <x v="0"/>
    <x v="0"/>
    <x v="1"/>
    <x v="55"/>
    <x v="21"/>
    <n v="6799.38"/>
    <s v="kilowatt_hour_(kwh)"/>
    <n v="1019.9019004904976"/>
    <s v="DCYCLE SAMadridelectricity4526145291"/>
    <n v="0"/>
    <n v="469.04765476172622"/>
    <n v="3127"/>
    <n v="469.04765476172622"/>
  </r>
  <r>
    <x v="0"/>
    <x v="0"/>
    <x v="1"/>
    <x v="55"/>
    <x v="21"/>
    <n v="55553"/>
    <s v="kilowatt_hour_(kwh)"/>
    <n v="8332.9083354583236"/>
    <s v="DCYCLE SAMadridelectricity4526145291"/>
    <n v="55553"/>
    <n v="2313.1084344578276"/>
    <n v="15420.8"/>
    <n v="2313.1084344578276"/>
  </r>
  <r>
    <x v="0"/>
    <x v="2"/>
    <x v="1"/>
    <x v="55"/>
    <x v="21"/>
    <n v="3916.11"/>
    <s v="kilowatt_hour_(kwh)"/>
    <n v="587.41356293218541"/>
    <s v="DCYCLE SATajonarelectricity4526145291"/>
    <n v="3916.11"/>
    <n v="0"/>
    <n v="0"/>
    <n v="0"/>
  </r>
  <r>
    <x v="0"/>
    <x v="0"/>
    <x v="3"/>
    <x v="55"/>
    <x v="21"/>
    <n v="45"/>
    <s v="Kilogram_(kg)"/>
    <n v="1.8"/>
    <s v="DCYCLE SAMadridwaste4526145291"/>
    <n v="45"/>
    <n v="7644.111779441103"/>
    <n v="45000"/>
    <n v="1800"/>
  </r>
  <r>
    <x v="0"/>
    <x v="0"/>
    <x v="3"/>
    <x v="55"/>
    <x v="21"/>
    <n v="75"/>
    <s v="Kilogram_(kg)"/>
    <n v="3"/>
    <s v="DCYCLE SAMadridwaste4526145291"/>
    <n v="75"/>
    <n v="54.4"/>
    <n v="75000"/>
    <n v="3000"/>
  </r>
  <r>
    <x v="0"/>
    <x v="0"/>
    <x v="3"/>
    <x v="55"/>
    <x v="21"/>
    <n v="140"/>
    <s v="Kilogram_(kg)"/>
    <n v="5.6"/>
    <s v="DCYCLE SAMadridwaste4526145291"/>
    <n v="140"/>
    <n v="1225.19387403063"/>
    <n v="140000"/>
    <n v="5600"/>
  </r>
  <r>
    <x v="0"/>
    <x v="0"/>
    <x v="3"/>
    <x v="55"/>
    <x v="21"/>
    <n v="150"/>
    <s v="Kilogram_(kg)"/>
    <n v="6"/>
    <s v="DCYCLE SAMadridwaste4526145291"/>
    <n v="150"/>
    <n v="0"/>
    <n v="150000"/>
    <n v="6000"/>
  </r>
  <r>
    <x v="0"/>
    <x v="0"/>
    <x v="3"/>
    <x v="55"/>
    <x v="21"/>
    <n v="195"/>
    <s v="Kilogram_(kg)"/>
    <n v="7.8"/>
    <s v="DCYCLE SAMadridwaste4526145291"/>
    <n v="195"/>
    <n v="0"/>
    <n v="195000"/>
    <n v="7800"/>
  </r>
  <r>
    <x v="0"/>
    <x v="0"/>
    <x v="3"/>
    <x v="55"/>
    <x v="21"/>
    <n v="200"/>
    <s v="Kilogram_(kg)"/>
    <n v="8"/>
    <s v="DCYCLE SAMadridwaste4526145291"/>
    <n v="200"/>
    <n v="7545.7122714386433"/>
    <n v="200000"/>
    <n v="8000"/>
  </r>
  <r>
    <x v="0"/>
    <x v="0"/>
    <x v="3"/>
    <x v="55"/>
    <x v="21"/>
    <n v="830"/>
    <s v="Kilogram_(kg)"/>
    <n v="33.200000000000003"/>
    <s v="DCYCLE SAMadridwaste4526145291"/>
    <n v="830"/>
    <n v="123.2"/>
    <n v="830000"/>
    <n v="33200"/>
  </r>
  <r>
    <x v="0"/>
    <x v="0"/>
    <x v="3"/>
    <x v="55"/>
    <x v="21"/>
    <n v="970"/>
    <s v="Kilogram_(kg)"/>
    <n v="38.799999999999997"/>
    <s v="DCYCLE SAMadridwaste4526145291"/>
    <n v="970"/>
    <n v="188.8"/>
    <n v="970000"/>
    <n v="38800"/>
  </r>
  <r>
    <x v="0"/>
    <x v="0"/>
    <x v="3"/>
    <x v="55"/>
    <x v="21"/>
    <n v="1940"/>
    <s v="Kilogram_(kg)"/>
    <n v="77.599999999999994"/>
    <s v="DCYCLE SAMadridwaste4526145291"/>
    <n v="1940"/>
    <n v="0"/>
    <n v="1940000"/>
    <n v="77600"/>
  </r>
  <r>
    <x v="0"/>
    <x v="0"/>
    <x v="3"/>
    <x v="55"/>
    <x v="21"/>
    <n v="2360"/>
    <s v="Kilogram_(kg)"/>
    <n v="94.4"/>
    <s v="DCYCLE SAMadridwaste4526145291"/>
    <n v="2360"/>
    <n v="4.5166516651665161"/>
    <n v="2360000"/>
    <n v="94400"/>
  </r>
  <r>
    <x v="0"/>
    <x v="0"/>
    <x v="3"/>
    <x v="125"/>
    <x v="113"/>
    <n v="35"/>
    <s v="Kilogram_(kg)"/>
    <n v="1.4"/>
    <s v="DCYCLE SAMadridwaste4529245316"/>
    <n v="35"/>
    <n v="0"/>
    <n v="35000"/>
    <n v="1400"/>
  </r>
  <r>
    <x v="6"/>
    <x v="10"/>
    <x v="3"/>
    <x v="3"/>
    <x v="1"/>
    <n v="103"/>
    <s v="Kilogram_(kg)"/>
    <n v="4.12"/>
    <s v="Dcycle LtdDcycle Ltdwaste4456244926"/>
    <n v="103"/>
    <n v="4.12"/>
    <n v="103000"/>
    <n v="4120"/>
  </r>
  <r>
    <x v="6"/>
    <x v="10"/>
    <x v="3"/>
    <x v="23"/>
    <x v="21"/>
    <n v="138.44999999999999"/>
    <s v="Kilogram_(kg)"/>
    <n v="5.5380000000000003"/>
    <s v="Dcycle LtdDcycle Ltdwaste4492745291"/>
    <n v="138.44999999999999"/>
    <n v="5.5379999999999994"/>
    <n v="138450"/>
    <n v="5538"/>
  </r>
  <r>
    <x v="6"/>
    <x v="10"/>
    <x v="3"/>
    <x v="3"/>
    <x v="1"/>
    <n v="268.60000000000002"/>
    <s v="Kilogram_(kg)"/>
    <n v="10.744"/>
    <s v="Dcycle LtdDcycle Ltdwaste4456244926"/>
    <n v="268.60000000000002"/>
    <n v="10.744000000000002"/>
    <n v="268600"/>
    <n v="10744"/>
  </r>
  <r>
    <x v="6"/>
    <x v="10"/>
    <x v="3"/>
    <x v="23"/>
    <x v="21"/>
    <n v="280"/>
    <s v="Kilogram_(kg)"/>
    <n v="11.2"/>
    <s v="Dcycle LtdDcycle Ltdwaste4492745291"/>
    <n v="280"/>
    <n v="11.2"/>
    <n v="280000"/>
    <n v="11200"/>
  </r>
  <r>
    <x v="6"/>
    <x v="10"/>
    <x v="3"/>
    <x v="23"/>
    <x v="21"/>
    <n v="3280"/>
    <s v="Kilogram_(kg)"/>
    <n v="131.19999999999999"/>
    <s v="Dcycle LtdDcycle Ltdwaste4492745291"/>
    <n v="3280"/>
    <n v="131.19999999999999"/>
    <n v="3280000"/>
    <n v="131200"/>
  </r>
  <r>
    <x v="6"/>
    <x v="10"/>
    <x v="3"/>
    <x v="3"/>
    <x v="1"/>
    <n v="4160"/>
    <s v="Kilogram_(kg)"/>
    <n v="166.4"/>
    <s v="Dcycle LtdDcycle Ltdwaste4456244926"/>
    <n v="4160"/>
    <n v="166.4"/>
    <n v="4160000"/>
    <n v="166400"/>
  </r>
  <r>
    <x v="6"/>
    <x v="10"/>
    <x v="3"/>
    <x v="3"/>
    <x v="1"/>
    <n v="13640"/>
    <s v="Kilogram_(kg)"/>
    <n v="545.6"/>
    <s v="Dcycle LtdDcycle Ltdwaste4456244926"/>
    <n v="13640"/>
    <n v="545.6"/>
    <n v="13640000"/>
    <n v="545600"/>
  </r>
  <r>
    <x v="6"/>
    <x v="10"/>
    <x v="3"/>
    <x v="23"/>
    <x v="21"/>
    <n v="14322"/>
    <s v="Kilogram_(kg)"/>
    <n v="572.88"/>
    <s v="Dcycle LtdDcycle Ltdwaste4492745291"/>
    <n v="14322"/>
    <n v="572.88"/>
    <n v="14322000"/>
    <n v="572880"/>
  </r>
  <r>
    <x v="6"/>
    <x v="10"/>
    <x v="3"/>
    <x v="3"/>
    <x v="1"/>
    <n v="21000"/>
    <s v="Kilogram_(kg)"/>
    <n v="840"/>
    <s v="Dcycle LtdDcycle Ltdwaste4456244926"/>
    <n v="21000"/>
    <n v="840"/>
    <n v="21000000"/>
    <n v="840000"/>
  </r>
  <r>
    <x v="6"/>
    <x v="10"/>
    <x v="3"/>
    <x v="23"/>
    <x v="21"/>
    <n v="23300"/>
    <s v="Kilogram_(kg)"/>
    <n v="932"/>
    <s v="Dcycle LtdDcycle Ltdwaste4492745291"/>
    <n v="23300"/>
    <n v="932"/>
    <n v="23300000"/>
    <n v="932000"/>
  </r>
  <r>
    <x v="7"/>
    <x v="12"/>
    <x v="3"/>
    <x v="3"/>
    <x v="1"/>
    <n v="25"/>
    <s v="Kilogram_(kg)"/>
    <n v="1"/>
    <s v="Dcycle SpA ItalyDcycle SpA Italywaste4456244926"/>
    <n v="25"/>
    <n v="1"/>
    <n v="25000"/>
    <n v="1000"/>
  </r>
  <r>
    <x v="7"/>
    <x v="12"/>
    <x v="3"/>
    <x v="126"/>
    <x v="114"/>
    <n v="25"/>
    <s v="Kilogram_(kg)"/>
    <n v="1"/>
    <s v="Dcycle SpA ItalyDcycle SpA Italywaste4501945020"/>
    <n v="25"/>
    <n v="1"/>
    <n v="25000"/>
    <n v="1000"/>
  </r>
  <r>
    <x v="7"/>
    <x v="12"/>
    <x v="3"/>
    <x v="127"/>
    <x v="115"/>
    <n v="50"/>
    <s v="Kilogram_(kg)"/>
    <n v="2"/>
    <s v="Dcycle SpA ItalyDcycle SpA Italywaste4496644967"/>
    <n v="50"/>
    <n v="2"/>
    <n v="50000"/>
    <n v="2000"/>
  </r>
  <r>
    <x v="7"/>
    <x v="12"/>
    <x v="3"/>
    <x v="3"/>
    <x v="1"/>
    <n v="56"/>
    <s v="Kilogram_(kg)"/>
    <n v="2.2400000000000002"/>
    <s v="Dcycle SpA ItalyDcycle SpA Italywaste4456244926"/>
    <n v="56"/>
    <n v="2.2400000000000002"/>
    <n v="56000"/>
    <n v="2240"/>
  </r>
  <r>
    <x v="7"/>
    <x v="12"/>
    <x v="3"/>
    <x v="3"/>
    <x v="1"/>
    <n v="60"/>
    <s v="Kilogram_(kg)"/>
    <n v="2.4"/>
    <s v="Dcycle SpA ItalyDcycle SpA Italywaste4456244926"/>
    <n v="60"/>
    <n v="2.4"/>
    <n v="60000"/>
    <n v="2400"/>
  </r>
  <r>
    <x v="7"/>
    <x v="12"/>
    <x v="3"/>
    <x v="128"/>
    <x v="116"/>
    <n v="120"/>
    <s v="Kilogram_(kg)"/>
    <n v="4.8"/>
    <s v="Dcycle SpA ItalyDcycle SpA Italywaste4517345275"/>
    <n v="120"/>
    <n v="4.8"/>
    <n v="120000"/>
    <n v="4800"/>
  </r>
  <r>
    <x v="7"/>
    <x v="12"/>
    <x v="3"/>
    <x v="126"/>
    <x v="114"/>
    <n v="340"/>
    <s v="Kilogram_(kg)"/>
    <n v="13.6"/>
    <s v="Dcycle SpA ItalyDcycle SpA Italywaste4501945020"/>
    <n v="340"/>
    <n v="13.6"/>
    <n v="340000"/>
    <n v="13600"/>
  </r>
  <r>
    <x v="7"/>
    <x v="12"/>
    <x v="3"/>
    <x v="128"/>
    <x v="116"/>
    <n v="350"/>
    <s v="Kilogram_(kg)"/>
    <n v="14"/>
    <s v="Dcycle SpA ItalyDcycle SpA Italywaste4517345275"/>
    <n v="350"/>
    <n v="14"/>
    <n v="350000"/>
    <n v="14000"/>
  </r>
  <r>
    <x v="7"/>
    <x v="12"/>
    <x v="3"/>
    <x v="83"/>
    <x v="106"/>
    <n v="355"/>
    <s v="Kilogram_(kg)"/>
    <n v="14.2"/>
    <s v="Dcycle SpA ItalyDcycle SpA Italywaste4503645173"/>
    <n v="355"/>
    <n v="14.2"/>
    <n v="355000"/>
    <n v="14200"/>
  </r>
  <r>
    <x v="7"/>
    <x v="12"/>
    <x v="3"/>
    <x v="3"/>
    <x v="1"/>
    <n v="380"/>
    <s v="Kilogram_(kg)"/>
    <n v="15.2"/>
    <s v="Dcycle SpA ItalyDcycle SpA Italywaste4456244926"/>
    <n v="380"/>
    <n v="15.2"/>
    <n v="380000"/>
    <n v="15200"/>
  </r>
  <r>
    <x v="7"/>
    <x v="12"/>
    <x v="3"/>
    <x v="129"/>
    <x v="106"/>
    <n v="400"/>
    <s v="Kilogram_(kg)"/>
    <n v="16"/>
    <s v="Dcycle SpA ItalyDcycle SpA Italywaste4500545173"/>
    <n v="400"/>
    <n v="16"/>
    <n v="400000"/>
    <n v="16000"/>
  </r>
  <r>
    <x v="7"/>
    <x v="12"/>
    <x v="3"/>
    <x v="3"/>
    <x v="1"/>
    <n v="425"/>
    <s v="Kilogram_(kg)"/>
    <n v="17"/>
    <s v="Dcycle SpA ItalyDcycle SpA Italywaste4456244926"/>
    <n v="425"/>
    <n v="17"/>
    <n v="425000"/>
    <n v="17000"/>
  </r>
  <r>
    <x v="7"/>
    <x v="12"/>
    <x v="3"/>
    <x v="128"/>
    <x v="116"/>
    <n v="440"/>
    <s v="Kilogram_(kg)"/>
    <n v="17.600000000000001"/>
    <s v="Dcycle SpA ItalyDcycle SpA Italywaste4517345275"/>
    <n v="440"/>
    <n v="17.600000000000001"/>
    <n v="440000"/>
    <n v="17600"/>
  </r>
  <r>
    <x v="7"/>
    <x v="12"/>
    <x v="3"/>
    <x v="54"/>
    <x v="116"/>
    <n v="500"/>
    <s v="Kilogram_(kg)"/>
    <n v="20"/>
    <s v="Dcycle SpA ItalyDcycle SpA Italywaste4523145275"/>
    <n v="500"/>
    <n v="20"/>
    <n v="500000"/>
    <n v="20000"/>
  </r>
  <r>
    <x v="7"/>
    <x v="12"/>
    <x v="3"/>
    <x v="126"/>
    <x v="114"/>
    <n v="600"/>
    <s v="Kilogram_(kg)"/>
    <n v="24"/>
    <s v="Dcycle SpA ItalyDcycle SpA Italywaste4501945020"/>
    <n v="600"/>
    <n v="24"/>
    <n v="600000"/>
    <n v="24000"/>
  </r>
  <r>
    <x v="7"/>
    <x v="12"/>
    <x v="3"/>
    <x v="3"/>
    <x v="1"/>
    <n v="780"/>
    <s v="Kilogram_(kg)"/>
    <n v="31.2"/>
    <s v="Dcycle SpA ItalyDcycle SpA Italywaste4456244926"/>
    <n v="780"/>
    <n v="31.2"/>
    <n v="780000"/>
    <n v="31200"/>
  </r>
  <r>
    <x v="7"/>
    <x v="12"/>
    <x v="3"/>
    <x v="128"/>
    <x v="116"/>
    <n v="1641"/>
    <s v="Kilogram_(kg)"/>
    <n v="65.64"/>
    <s v="Dcycle SpA ItalyDcycle SpA Italywaste4517345275"/>
    <n v="1641"/>
    <n v="65.64"/>
    <n v="1641000"/>
    <n v="65640"/>
  </r>
  <r>
    <x v="7"/>
    <x v="12"/>
    <x v="3"/>
    <x v="130"/>
    <x v="116"/>
    <n v="4000"/>
    <s v="Kilogram_(kg)"/>
    <n v="160"/>
    <s v="Dcycle SpA ItalyDcycle SpA Italywaste4519745275"/>
    <n v="4000"/>
    <n v="160"/>
    <n v="4000000"/>
    <n v="160000"/>
  </r>
  <r>
    <x v="7"/>
    <x v="12"/>
    <x v="3"/>
    <x v="30"/>
    <x v="57"/>
    <n v="7290"/>
    <s v="Kilogram_(kg)"/>
    <n v="291.60000000000002"/>
    <s v="Dcycle SpA ItalyDcycle SpA Italywaste4498645142"/>
    <n v="7290"/>
    <n v="291.60000000000002"/>
    <n v="7290000"/>
    <n v="291600"/>
  </r>
  <r>
    <x v="7"/>
    <x v="12"/>
    <x v="3"/>
    <x v="131"/>
    <x v="117"/>
    <n v="8000"/>
    <s v="Kilogram_(kg)"/>
    <n v="320"/>
    <s v="Dcycle SpA ItalyDcycle SpA Italywaste4498045127"/>
    <n v="8000"/>
    <n v="320"/>
    <n v="8000000"/>
    <n v="320000"/>
  </r>
  <r>
    <x v="7"/>
    <x v="12"/>
    <x v="3"/>
    <x v="3"/>
    <x v="1"/>
    <n v="8780"/>
    <s v="Kilogram_(kg)"/>
    <n v="351.2"/>
    <s v="Dcycle SpA ItalyDcycle SpA Italywaste4456244926"/>
    <n v="8780"/>
    <n v="351.2"/>
    <n v="8780000"/>
    <n v="351200"/>
  </r>
  <r>
    <x v="7"/>
    <x v="12"/>
    <x v="3"/>
    <x v="132"/>
    <x v="118"/>
    <n v="10350"/>
    <s v="Kilogram_(kg)"/>
    <n v="414"/>
    <s v="Dcycle SpA ItalyDcycle SpA Italywaste4493644939"/>
    <n v="10350"/>
    <n v="414"/>
    <n v="10350000"/>
    <n v="414000"/>
  </r>
  <r>
    <x v="7"/>
    <x v="12"/>
    <x v="3"/>
    <x v="3"/>
    <x v="1"/>
    <n v="11240"/>
    <s v="Kilogram_(kg)"/>
    <n v="449.6"/>
    <s v="Dcycle SpA ItalyDcycle SpA Italywaste4456244926"/>
    <n v="11240"/>
    <n v="449.6"/>
    <n v="11240000"/>
    <n v="449600"/>
  </r>
  <r>
    <x v="7"/>
    <x v="12"/>
    <x v="3"/>
    <x v="3"/>
    <x v="1"/>
    <n v="13516"/>
    <s v="Kilogram_(kg)"/>
    <n v="540.64"/>
    <s v="Dcycle SpA ItalyDcycle SpA Italywaste4456244926"/>
    <n v="13516"/>
    <n v="540.64"/>
    <n v="13516000"/>
    <n v="5406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7">
  <r>
    <x v="0"/>
    <x v="0"/>
    <x v="0"/>
    <d v="2021-09-07T00:00:00"/>
    <x v="0"/>
    <n v="5"/>
    <s v="cubic_metre_(m3)"/>
    <n v="1.5001500150015001"/>
    <s v="DCYCLE SAMadridwater4444644606"/>
    <n v="5"/>
    <n v="2.7002700270027002"/>
  </r>
  <r>
    <x v="0"/>
    <x v="1"/>
    <x v="0"/>
    <d v="2021-11-08T00:00:00"/>
    <x v="0"/>
    <n v="103"/>
    <s v="cubic_metre_(m3)"/>
    <n v="30.903090309030901"/>
    <s v="DCYCLE SAMadrid (A2)water4450844606"/>
    <n v="103"/>
    <n v="6248.2187589062059"/>
  </r>
  <r>
    <x v="0"/>
    <x v="0"/>
    <x v="0"/>
    <d v="2021-11-08T00:00:00"/>
    <x v="0"/>
    <n v="71"/>
    <s v="cubic_metre_(m3)"/>
    <n v="21.3021302130213"/>
    <s v="DCYCLE SAMadridwater4450844606"/>
    <n v="0"/>
    <n v="1762.9411852940736"/>
  </r>
  <r>
    <x v="0"/>
    <x v="0"/>
    <x v="0"/>
    <d v="2021-11-08T00:00:00"/>
    <x v="0"/>
    <n v="161"/>
    <s v="cubic_metre_(m3)"/>
    <n v="48.304830483048299"/>
    <s v="DCYCLE SAMadridwater4450844606"/>
    <n v="161"/>
    <n v="4585.627071864641"/>
  </r>
  <r>
    <x v="0"/>
    <x v="2"/>
    <x v="1"/>
    <d v="2021-12-31T00:00:00"/>
    <x v="1"/>
    <n v="39186"/>
    <s v="kilowatt_hour_(kwh)"/>
    <n v="5877.8706106469472"/>
    <s v="DCYCLE SATajonarelectricity4456144926"/>
    <n v="39186"/>
    <n v="6809.6659516702421"/>
  </r>
  <r>
    <x v="0"/>
    <x v="3"/>
    <x v="1"/>
    <d v="2022-01-01T00:00:00"/>
    <x v="1"/>
    <n v="114258"/>
    <s v="kilowatt_hour_(kwh)"/>
    <n v="17138.614306928466"/>
    <s v="DCYCLE SABCNelectricity4456244926"/>
    <n v="114258"/>
    <n v="1.5001500150015001"/>
  </r>
  <r>
    <x v="0"/>
    <x v="1"/>
    <x v="2"/>
    <d v="2022-01-01T00:00:00"/>
    <x v="2"/>
    <n v="1102.3267399367389"/>
    <s v="therm_(thm)"/>
    <n v="1322.8450017241555"/>
    <s v="DCYCLE SAMadrid (A2)heat4456244592"/>
    <n v="1102.3267399367389"/>
    <n v="898.97550512247437"/>
  </r>
  <r>
    <x v="0"/>
    <x v="0"/>
    <x v="1"/>
    <d v="2022-01-01T00:00:00"/>
    <x v="1"/>
    <n v="910440"/>
    <s v="kilowatt_hour_(kwh)"/>
    <n v="136565.31717341414"/>
    <s v="DCYCLE SAMadridelectricity4456244926"/>
    <n v="910440"/>
    <n v="83.2"/>
  </r>
  <r>
    <x v="0"/>
    <x v="0"/>
    <x v="0"/>
    <d v="2022-01-01T00:00:00"/>
    <x v="1"/>
    <n v="59.81"/>
    <s v="cubic_metre_(m3)"/>
    <n v="17.944794479447946"/>
    <s v="DCYCLE SAMadridwater4456244926"/>
    <n v="59.81"/>
    <n v="0"/>
  </r>
  <r>
    <x v="0"/>
    <x v="2"/>
    <x v="0"/>
    <d v="2022-01-01T00:00:00"/>
    <x v="1"/>
    <n v="5.76"/>
    <s v="cubic_metre_(m3)"/>
    <n v="1.7281728172817281"/>
    <s v="DCYCLE SATajonarwater4456244926"/>
    <n v="5.76"/>
    <n v="4233.278833605832"/>
  </r>
  <r>
    <x v="0"/>
    <x v="1"/>
    <x v="2"/>
    <d v="2022-02-01T00:00:00"/>
    <x v="3"/>
    <n v="997.77869526497"/>
    <s v="therm_(thm)"/>
    <n v="1197.3823296111484"/>
    <s v="DCYCLE SAMadrid (A2)heat4459344620"/>
    <n v="997.77869526497"/>
    <n v="1477.2983957222832"/>
  </r>
  <r>
    <x v="0"/>
    <x v="1"/>
    <x v="1"/>
    <d v="2022-02-09T00:00:00"/>
    <x v="4"/>
    <n v="498790"/>
    <s v="kilowatt_hour_(kwh)"/>
    <n v="74818.125909370458"/>
    <s v="DCYCLE SAMadrid (A2)electricity4460144936"/>
    <n v="498790"/>
    <n v="55.5055505550555"/>
  </r>
  <r>
    <x v="0"/>
    <x v="1"/>
    <x v="0"/>
    <d v="2022-02-14T00:00:00"/>
    <x v="5"/>
    <n v="93"/>
    <s v="cubic_metre_(m3)"/>
    <n v="27.902790279027901"/>
    <s v="DCYCLE SAMadrid (A2)water4460644685"/>
    <n v="93"/>
    <n v="0"/>
  </r>
  <r>
    <x v="0"/>
    <x v="0"/>
    <x v="0"/>
    <d v="2022-02-14T00:00:00"/>
    <x v="5"/>
    <n v="64"/>
    <s v="cubic_metre_(m3)"/>
    <n v="19.201920192019202"/>
    <s v="DCYCLE SAMadridwater4460644685"/>
    <n v="0"/>
    <n v="0"/>
  </r>
  <r>
    <x v="0"/>
    <x v="0"/>
    <x v="0"/>
    <d v="2022-02-14T00:00:00"/>
    <x v="5"/>
    <n v="67"/>
    <s v="cubic_metre_(m3)"/>
    <n v="20.1020102010201"/>
    <s v="DCYCLE SAMadridwater4460644685"/>
    <n v="0"/>
    <n v="9662.3516882415588"/>
  </r>
  <r>
    <x v="0"/>
    <x v="0"/>
    <x v="0"/>
    <d v="2022-02-14T00:00:00"/>
    <x v="5"/>
    <n v="209"/>
    <s v="cubic_metre_(m3)"/>
    <n v="62.7062706270627"/>
    <s v="DCYCLE SAMadridwater4460644685"/>
    <n v="209"/>
    <n v="391.79804100979499"/>
  </r>
  <r>
    <x v="0"/>
    <x v="0"/>
    <x v="0"/>
    <d v="2022-02-14T00:00:00"/>
    <x v="6"/>
    <n v="9"/>
    <s v="cubic_metre_(m3)"/>
    <n v="2.7002700270027002"/>
    <s v="DCYCLE SAMadridwater4460644778"/>
    <n v="9"/>
    <n v="2277.3186134069333"/>
  </r>
  <r>
    <x v="0"/>
    <x v="1"/>
    <x v="2"/>
    <d v="2022-03-01T00:00:00"/>
    <x v="7"/>
    <n v="977.71529765824664"/>
    <s v="therm_(thm)"/>
    <n v="1173.305289401472"/>
    <s v="DCYCLE SAMadrid (A2)heat4462144651"/>
    <n v="977.71529765824664"/>
    <n v="1.9711971197119711"/>
  </r>
  <r>
    <x v="0"/>
    <x v="1"/>
    <x v="2"/>
    <d v="2022-04-01T00:00:00"/>
    <x v="8"/>
    <n v="516.25715270361115"/>
    <s v="therm_(thm)"/>
    <n v="619.53336457891646"/>
    <s v="DCYCLE SAMadrid (A2)heat4465244681"/>
    <n v="516.25715270361115"/>
    <n v="117.6"/>
  </r>
  <r>
    <x v="0"/>
    <x v="1"/>
    <x v="2"/>
    <d v="2022-05-01T00:00:00"/>
    <x v="9"/>
    <n v="59.576007179147716"/>
    <s v="therm_(thm)"/>
    <n v="71.494068377712367"/>
    <s v="DCYCLE SAMadrid (A2)heat4468244712"/>
    <n v="59.576007179147716"/>
    <n v="124"/>
  </r>
  <r>
    <x v="0"/>
    <x v="1"/>
    <x v="0"/>
    <d v="2022-05-04T00:00:00"/>
    <x v="6"/>
    <n v="185"/>
    <s v="cubic_metre_(m3)"/>
    <n v="55.5055505550555"/>
    <s v="DCYCLE SAMadrid (A2)water4468544778"/>
    <n v="185"/>
    <n v="11565.392173039136"/>
  </r>
  <r>
    <x v="0"/>
    <x v="0"/>
    <x v="0"/>
    <d v="2022-05-04T00:00:00"/>
    <x v="6"/>
    <n v="49"/>
    <s v="cubic_metre_(m3)"/>
    <n v="14.701470147014701"/>
    <s v="DCYCLE SAMadridwater4468544778"/>
    <n v="0"/>
    <n v="0"/>
  </r>
  <r>
    <x v="0"/>
    <x v="0"/>
    <x v="0"/>
    <d v="2022-05-04T00:00:00"/>
    <x v="6"/>
    <n v="367"/>
    <s v="cubic_metre_(m3)"/>
    <n v="110.11101110111011"/>
    <s v="DCYCLE SAMadridwater4468544778"/>
    <n v="367"/>
    <n v="2846.3002684986577"/>
  </r>
  <r>
    <x v="0"/>
    <x v="1"/>
    <x v="2"/>
    <d v="2022-06-01T00:00:00"/>
    <x v="10"/>
    <n v="0"/>
    <s v="therm_(thm)"/>
    <n v="0"/>
    <s v="DCYCLE SAMadrid (A2)heat4471344742"/>
    <n v="0"/>
    <n v="137.6"/>
  </r>
  <r>
    <x v="0"/>
    <x v="1"/>
    <x v="2"/>
    <d v="2022-07-01T00:00:00"/>
    <x v="11"/>
    <n v="0"/>
    <s v="therm_(thm)"/>
    <n v="0"/>
    <s v="DCYCLE SAMadrid (A2)heat4474344773"/>
    <n v="0"/>
    <n v="207.2"/>
  </r>
  <r>
    <x v="0"/>
    <x v="1"/>
    <x v="2"/>
    <d v="2022-08-01T00:00:00"/>
    <x v="12"/>
    <n v="0"/>
    <s v="therm_(thm)"/>
    <n v="0"/>
    <s v="DCYCLE SAMadrid (A2)heat4477444804"/>
    <n v="0"/>
    <n v="4.5004500450045004"/>
  </r>
  <r>
    <x v="0"/>
    <x v="1"/>
    <x v="0"/>
    <d v="2022-08-05T00:00:00"/>
    <x v="13"/>
    <n v="91"/>
    <s v="cubic_metre_(m3)"/>
    <n v="27.302730273027301"/>
    <s v="DCYCLE SAMadrid (A2)water4477844874"/>
    <n v="91"/>
    <n v="573.29713351433247"/>
  </r>
  <r>
    <x v="0"/>
    <x v="0"/>
    <x v="0"/>
    <d v="2022-08-05T00:00:00"/>
    <x v="13"/>
    <n v="4"/>
    <s v="cubic_metre_(m3)"/>
    <n v="1.2001200120012001"/>
    <s v="DCYCLE SAMadridwater4477844874"/>
    <n v="0"/>
    <n v="0.76"/>
  </r>
  <r>
    <x v="0"/>
    <x v="0"/>
    <x v="0"/>
    <d v="2022-08-05T00:00:00"/>
    <x v="13"/>
    <n v="77"/>
    <s v="cubic_metre_(m3)"/>
    <n v="23.1023102310231"/>
    <s v="DCYCLE SAMadridwater4477844874"/>
    <n v="0"/>
    <n v="2.6"/>
  </r>
  <r>
    <x v="0"/>
    <x v="0"/>
    <x v="0"/>
    <d v="2022-08-05T00:00:00"/>
    <x v="13"/>
    <n v="239"/>
    <s v="cubic_metre_(m3)"/>
    <n v="71.707170717071705"/>
    <s v="DCYCLE SAMadridwater4477844874"/>
    <n v="239"/>
    <n v="5.6"/>
  </r>
  <r>
    <x v="0"/>
    <x v="1"/>
    <x v="2"/>
    <d v="2022-09-01T00:00:00"/>
    <x v="14"/>
    <n v="0"/>
    <s v="therm_(thm)"/>
    <n v="0"/>
    <s v="DCYCLE SAMadrid (A2)heat4480544834"/>
    <n v="0"/>
    <n v="1692.5915370423149"/>
  </r>
  <r>
    <x v="0"/>
    <x v="1"/>
    <x v="2"/>
    <d v="2022-10-01T00:00:00"/>
    <x v="15"/>
    <n v="0"/>
    <s v="therm_(thm)"/>
    <n v="0"/>
    <s v="DCYCLE SAMadrid (A2)heat4483544865"/>
    <n v="0"/>
    <n v="7122.5643871780649"/>
  </r>
  <r>
    <x v="0"/>
    <x v="3"/>
    <x v="0"/>
    <d v="2022-10-28T00:00:00"/>
    <x v="16"/>
    <n v="12"/>
    <s v="cubic_metre_(m3)"/>
    <n v="3.6003600360036003"/>
    <s v="DCYCLE SABCNwater4486244925"/>
    <n v="12"/>
    <n v="0"/>
  </r>
  <r>
    <x v="0"/>
    <x v="1"/>
    <x v="2"/>
    <d v="2022-11-01T00:00:00"/>
    <x v="17"/>
    <n v="433.17148404311587"/>
    <s v="therm_(thm)"/>
    <n v="519.82657391469559"/>
    <s v="DCYCLE SAMadrid (A2)heat4486644895"/>
    <n v="433.17148404311587"/>
    <n v="0"/>
  </r>
  <r>
    <x v="0"/>
    <x v="1"/>
    <x v="0"/>
    <d v="2022-11-09T00:00:00"/>
    <x v="18"/>
    <n v="104"/>
    <s v="cubic_metre_(m3)"/>
    <n v="31.203120312031203"/>
    <s v="DCYCLE SAMadrid (A2)water4487444964"/>
    <n v="104"/>
    <n v="4.8004800480048004"/>
  </r>
  <r>
    <x v="0"/>
    <x v="0"/>
    <x v="0"/>
    <d v="2022-11-09T00:00:00"/>
    <x v="18"/>
    <n v="33"/>
    <s v="cubic_metre_(m3)"/>
    <n v="9.9009900990099009"/>
    <s v="DCYCLE SAMadridwater4487444964"/>
    <n v="0"/>
    <n v="6"/>
  </r>
  <r>
    <x v="0"/>
    <x v="0"/>
    <x v="0"/>
    <d v="2022-11-09T00:00:00"/>
    <x v="18"/>
    <n v="67"/>
    <s v="cubic_metre_(m3)"/>
    <n v="20.1020102010201"/>
    <s v="DCYCLE SAMadridwater4487444964"/>
    <n v="0"/>
    <n v="6.6"/>
  </r>
  <r>
    <x v="0"/>
    <x v="0"/>
    <x v="0"/>
    <d v="2022-11-09T00:00:00"/>
    <x v="18"/>
    <n v="248"/>
    <s v="cubic_metre_(m3)"/>
    <n v="74.407440744074407"/>
    <s v="DCYCLE SAMadridwater4487444964"/>
    <n v="248"/>
    <n v="8"/>
  </r>
  <r>
    <x v="0"/>
    <x v="1"/>
    <x v="2"/>
    <d v="2022-12-01T00:00:00"/>
    <x v="1"/>
    <n v="644.69019452624116"/>
    <s v="therm_(thm)"/>
    <n v="773.65917979868129"/>
    <s v="DCYCLE SAMadrid (A2)heat4489644926"/>
    <n v="644.69019452624116"/>
    <n v="11971.140144299279"/>
  </r>
  <r>
    <x v="0"/>
    <x v="3"/>
    <x v="0"/>
    <d v="2022-12-30T00:00:00"/>
    <x v="19"/>
    <n v="15"/>
    <s v="cubic_metre_(m3)"/>
    <n v="4.5004500450045004"/>
    <s v="DCYCLE SABCNwater4492544986"/>
    <n v="15"/>
    <n v="0"/>
  </r>
  <r>
    <x v="0"/>
    <x v="3"/>
    <x v="1"/>
    <d v="2022-12-31T00:00:00"/>
    <x v="20"/>
    <n v="12013"/>
    <s v="kilowatt_hour_(kwh)"/>
    <n v="1801.9409902950486"/>
    <s v="DCYCLE SABCNelectricity4492644957"/>
    <n v="12013"/>
    <n v="30.903090309030901"/>
  </r>
  <r>
    <x v="0"/>
    <x v="1"/>
    <x v="1"/>
    <d v="2022-12-31T00:00:00"/>
    <x v="20"/>
    <n v="53797"/>
    <s v="kilowatt_hour_(kwh)"/>
    <n v="8069.5096524517385"/>
    <s v="DCYCLE SAMadrid (A2)electricity4492644957"/>
    <n v="53797"/>
    <n v="0"/>
  </r>
  <r>
    <x v="0"/>
    <x v="0"/>
    <x v="1"/>
    <d v="2022-12-31T00:00:00"/>
    <x v="20"/>
    <n v="2646"/>
    <s v="kilowatt_hour_(kwh)"/>
    <n v="396.89801550992246"/>
    <s v="DCYCLE SAMadridelectricity4492644957"/>
    <n v="0"/>
    <n v="88"/>
  </r>
  <r>
    <x v="0"/>
    <x v="0"/>
    <x v="1"/>
    <d v="2022-12-31T00:00:00"/>
    <x v="20"/>
    <n v="85283"/>
    <s v="kilowatt_hour_(kwh)"/>
    <n v="12792.38603806981"/>
    <s v="DCYCLE SAMadridelectricity4492644957"/>
    <n v="85283"/>
    <n v="252"/>
  </r>
  <r>
    <x v="0"/>
    <x v="2"/>
    <x v="1"/>
    <d v="2022-12-31T00:00:00"/>
    <x v="20"/>
    <n v="6088"/>
    <s v="kilowatt_hour_(kwh)"/>
    <n v="913.19543402282989"/>
    <s v="DCYCLE SATajonarelectricity4492644957"/>
    <n v="6088"/>
    <n v="265.49867250663749"/>
  </r>
  <r>
    <x v="0"/>
    <x v="1"/>
    <x v="1"/>
    <d v="2023-01-01T00:00:00"/>
    <x v="20"/>
    <n v="5993.2"/>
    <s v="kilowatt_hour_(kwh)"/>
    <n v="898.97550512247437"/>
    <s v="DCYCLE SAMadrid (A2)electricity4492744957"/>
    <n v="5993.2"/>
    <n v="110.11101110111011"/>
  </r>
  <r>
    <x v="0"/>
    <x v="1"/>
    <x v="2"/>
    <d v="2023-01-01T00:00:00"/>
    <x v="20"/>
    <n v="1231.0327531553787"/>
    <s v="therm_(thm)"/>
    <n v="1477.2983957222832"/>
    <s v="DCYCLE SAMadrid (A2)heat4492744957"/>
    <n v="1231.0327531553787"/>
    <n v="772.49613751931247"/>
  </r>
  <r>
    <x v="0"/>
    <x v="2"/>
    <x v="0"/>
    <d v="2023-01-01T00:00:00"/>
    <x v="21"/>
    <n v="6.57"/>
    <s v="cubic_metre_(m3)"/>
    <n v="1.9711971197119711"/>
    <s v="DCYCLE SATajonarwater4492745291"/>
    <n v="6.57"/>
    <n v="0"/>
  </r>
  <r>
    <x v="0"/>
    <x v="0"/>
    <x v="3"/>
    <d v="2023-01-01T00:00:00"/>
    <x v="20"/>
    <n v="2940"/>
    <s v="Kilogram_(kg)"/>
    <n v="117.6"/>
    <s v="DCYCLE SAMadridwaste4492744957"/>
    <n v="2940"/>
    <n v="463.44207668897394"/>
  </r>
  <r>
    <x v="0"/>
    <x v="0"/>
    <x v="3"/>
    <d v="2023-01-01T00:00:00"/>
    <x v="20"/>
    <n v="3100"/>
    <s v="Kilogram_(kg)"/>
    <n v="124"/>
    <s v="DCYCLE SAMadridwaste4492744957"/>
    <n v="3100"/>
    <n v="8332.9083354583236"/>
  </r>
  <r>
    <x v="0"/>
    <x v="0"/>
    <x v="3"/>
    <d v="2023-01-01T00:00:00"/>
    <x v="20"/>
    <n v="3440"/>
    <s v="Kilogram_(kg)"/>
    <n v="137.6"/>
    <s v="DCYCLE SAMadridwaste4492744957"/>
    <n v="3440"/>
    <n v="1.8"/>
  </r>
  <r>
    <x v="0"/>
    <x v="0"/>
    <x v="3"/>
    <d v="2023-01-01T00:00:00"/>
    <x v="20"/>
    <n v="5180"/>
    <s v="Kilogram_(kg)"/>
    <n v="207.2"/>
    <s v="DCYCLE SAMadridwaste4492744957"/>
    <n v="5180"/>
    <n v="7.8"/>
  </r>
  <r>
    <x v="0"/>
    <x v="0"/>
    <x v="0"/>
    <d v="2023-01-17T00:00:00"/>
    <x v="22"/>
    <n v="15"/>
    <s v="cubic_metre_(m3)"/>
    <n v="4.5004500450045004"/>
    <s v="DCYCLE SAMadridwater4494344965"/>
    <n v="15"/>
    <n v="2984.6085769571155"/>
  </r>
  <r>
    <x v="0"/>
    <x v="3"/>
    <x v="1"/>
    <d v="2023-01-31T00:00:00"/>
    <x v="23"/>
    <n v="11284"/>
    <s v="kilowatt_hour_(kwh)"/>
    <n v="1692.5915370423149"/>
    <s v="DCYCLE SABCNelectricity4495744985"/>
    <n v="11284"/>
    <n v="0"/>
  </r>
  <r>
    <x v="0"/>
    <x v="1"/>
    <x v="1"/>
    <d v="2023-01-31T00:00:00"/>
    <x v="23"/>
    <n v="47484"/>
    <s v="kilowatt_hour_(kwh)"/>
    <n v="7122.5643871780649"/>
    <s v="DCYCLE SAMadrid (A2)electricity4495744985"/>
    <n v="47484"/>
    <n v="0"/>
  </r>
  <r>
    <x v="0"/>
    <x v="0"/>
    <x v="1"/>
    <d v="2023-01-31T00:00:00"/>
    <x v="23"/>
    <n v="2018"/>
    <s v="kilowatt_hour_(kwh)"/>
    <n v="302.69848650756745"/>
    <s v="DCYCLE SAMadridelectricity4495744985"/>
    <n v="0"/>
    <n v="5.6996699669966997"/>
  </r>
  <r>
    <x v="0"/>
    <x v="0"/>
    <x v="1"/>
    <d v="2023-01-31T00:00:00"/>
    <x v="23"/>
    <n v="79808"/>
    <s v="kilowatt_hour_(kwh)"/>
    <n v="11971.140144299279"/>
    <s v="DCYCLE SAMadridelectricity4495744985"/>
    <n v="79808"/>
    <n v="794.24602876985614"/>
  </r>
  <r>
    <x v="0"/>
    <x v="2"/>
    <x v="1"/>
    <d v="2023-01-31T00:00:00"/>
    <x v="23"/>
    <n v="5150"/>
    <s v="kilowatt_hour_(kwh)"/>
    <n v="772.49613751931247"/>
    <s v="DCYCLE SATajonarelectricity4495744985"/>
    <n v="5150"/>
    <n v="1739.9913000434999"/>
  </r>
  <r>
    <x v="0"/>
    <x v="1"/>
    <x v="1"/>
    <d v="2023-02-01T00:00:00"/>
    <x v="23"/>
    <n v="6786.6"/>
    <s v="kilowatt_hour_(kwh)"/>
    <n v="1017.9849100754498"/>
    <s v="DCYCLE SAMadrid (A2)electricity4495844985"/>
    <n v="6786.6"/>
    <n v="0"/>
  </r>
  <r>
    <x v="0"/>
    <x v="1"/>
    <x v="2"/>
    <d v="2023-02-01T00:00:00"/>
    <x v="23"/>
    <n v="1008.4928225583562"/>
    <s v="therm_(thm)"/>
    <n v="1210.2397966618939"/>
    <s v="DCYCLE SAMadrid (A2)heat4495844985"/>
    <n v="1008.4928225583562"/>
    <n v="1017.9849100754498"/>
  </r>
  <r>
    <x v="0"/>
    <x v="0"/>
    <x v="3"/>
    <d v="2023-02-01T00:00:00"/>
    <x v="23"/>
    <n v="2100"/>
    <s v="Kilogram_(kg)"/>
    <n v="84"/>
    <s v="DCYCLE SAMadridwaste4495844985"/>
    <n v="2100"/>
    <n v="73.599999999999994"/>
  </r>
  <r>
    <x v="0"/>
    <x v="0"/>
    <x v="3"/>
    <d v="2023-02-01T00:00:00"/>
    <x v="23"/>
    <n v="2100"/>
    <s v="Kilogram_(kg)"/>
    <n v="84"/>
    <s v="DCYCLE SAMadridwaste4495844985"/>
    <n v="2100"/>
    <n v="128"/>
  </r>
  <r>
    <x v="0"/>
    <x v="0"/>
    <x v="3"/>
    <d v="2023-02-01T00:00:00"/>
    <x v="23"/>
    <n v="2860"/>
    <s v="Kilogram_(kg)"/>
    <n v="114.4"/>
    <s v="DCYCLE SAMadridwaste4495844985"/>
    <n v="2860"/>
    <n v="5097.7245113774434"/>
  </r>
  <r>
    <x v="0"/>
    <x v="1"/>
    <x v="0"/>
    <d v="2023-02-07T00:00:00"/>
    <x v="24"/>
    <n v="117"/>
    <s v="cubic_metre_(m3)"/>
    <n v="35.103510351035105"/>
    <s v="DCYCLE SAMadrid (A2)water4496445050"/>
    <n v="117"/>
    <n v="1673.1966340168301"/>
  </r>
  <r>
    <x v="0"/>
    <x v="0"/>
    <x v="0"/>
    <d v="2023-02-07T00:00:00"/>
    <x v="24"/>
    <n v="42"/>
    <s v="cubic_metre_(m3)"/>
    <n v="12.601260126012601"/>
    <s v="DCYCLE SAMadridwater4496445050"/>
    <n v="0"/>
    <n v="22.4"/>
  </r>
  <r>
    <x v="0"/>
    <x v="0"/>
    <x v="0"/>
    <d v="2023-02-07T00:00:00"/>
    <x v="24"/>
    <n v="50"/>
    <s v="cubic_metre_(m3)"/>
    <n v="15.001500150015001"/>
    <s v="DCYCLE SAMadridwater4496445050"/>
    <n v="0"/>
    <n v="73.599999999999994"/>
  </r>
  <r>
    <x v="0"/>
    <x v="0"/>
    <x v="0"/>
    <d v="2023-02-07T00:00:00"/>
    <x v="24"/>
    <n v="264"/>
    <s v="cubic_metre_(m3)"/>
    <n v="79.207920792079207"/>
    <s v="DCYCLE SAMadridwater4496445050"/>
    <n v="264"/>
    <n v="78"/>
  </r>
  <r>
    <x v="0"/>
    <x v="0"/>
    <x v="0"/>
    <d v="2023-02-08T00:00:00"/>
    <x v="25"/>
    <n v="18.995000000000001"/>
    <s v="cubic_metre_(m3)"/>
    <n v="5.6990699069906992"/>
    <s v="DCYCLE SAMadridwater4496544992"/>
    <n v="18.995000000000001"/>
    <n v="80"/>
  </r>
  <r>
    <x v="0"/>
    <x v="3"/>
    <x v="1"/>
    <d v="2023-02-28T00:00:00"/>
    <x v="26"/>
    <n v="7792"/>
    <s v="kilowatt_hour_(kwh)"/>
    <n v="1168.7941560292199"/>
    <s v="DCYCLE SABCNelectricity4498545016"/>
    <n v="7792"/>
    <n v="48.304830483048299"/>
  </r>
  <r>
    <x v="0"/>
    <x v="1"/>
    <x v="1"/>
    <d v="2023-02-28T00:00:00"/>
    <x v="26"/>
    <n v="41655"/>
    <s v="kilowatt_hour_(kwh)"/>
    <n v="6248.2187589062059"/>
    <s v="DCYCLE SAMadrid (A2)electricity4498545016"/>
    <n v="41655"/>
    <n v="0"/>
  </r>
  <r>
    <x v="0"/>
    <x v="0"/>
    <x v="1"/>
    <d v="2023-02-28T00:00:00"/>
    <x v="26"/>
    <n v="2076"/>
    <s v="kilowatt_hour_(kwh)"/>
    <n v="311.39844300778498"/>
    <s v="DCYCLE SAMadridelectricity4498545016"/>
    <n v="0"/>
    <n v="3527.8323608381961"/>
  </r>
  <r>
    <x v="0"/>
    <x v="0"/>
    <x v="1"/>
    <d v="2023-02-28T00:00:00"/>
    <x v="26"/>
    <n v="77103"/>
    <s v="kilowatt_hour_(kwh)"/>
    <n v="11565.392173039136"/>
    <s v="DCYCLE SAMadridelectricity4498545016"/>
    <n v="77103"/>
    <n v="0"/>
  </r>
  <r>
    <x v="0"/>
    <x v="2"/>
    <x v="1"/>
    <d v="2023-02-28T00:00:00"/>
    <x v="26"/>
    <n v="3822"/>
    <s v="kilowatt_hour_(kwh)"/>
    <n v="573.29713351433247"/>
    <s v="DCYCLE SATajonarelectricity4498545016"/>
    <n v="3822"/>
    <n v="1340.558297208514"/>
  </r>
  <r>
    <x v="0"/>
    <x v="3"/>
    <x v="0"/>
    <d v="2023-03-01T00:00:00"/>
    <x v="27"/>
    <n v="16"/>
    <s v="cubic_metre_(m3)"/>
    <n v="4.8004800480048004"/>
    <s v="DCYCLE SABCNwater4498645043"/>
    <n v="16"/>
    <n v="62.7062706270627"/>
  </r>
  <r>
    <x v="0"/>
    <x v="1"/>
    <x v="1"/>
    <d v="2023-03-01T00:00:00"/>
    <x v="26"/>
    <n v="11154.7"/>
    <s v="kilowatt_hour_(kwh)"/>
    <n v="1673.1966340168301"/>
    <s v="DCYCLE SAMadrid (A2)electricity4498645016"/>
    <n v="11154.7"/>
    <n v="27.302730273027301"/>
  </r>
  <r>
    <x v="0"/>
    <x v="1"/>
    <x v="2"/>
    <d v="2023-03-01T00:00:00"/>
    <x v="26"/>
    <n v="497.55861207693704"/>
    <s v="therm_(thm)"/>
    <n v="597.09421826105483"/>
    <s v="DCYCLE SAMadrid (A2)heat4498645016"/>
    <n v="497.55861207693704"/>
    <n v="1210.2397966618939"/>
  </r>
  <r>
    <x v="0"/>
    <x v="0"/>
    <x v="3"/>
    <d v="2023-03-01T00:00:00"/>
    <x v="26"/>
    <n v="1960"/>
    <s v="Kilogram_(kg)"/>
    <n v="78.400000000000006"/>
    <s v="DCYCLE SAMadridwaste4498645016"/>
    <n v="1960"/>
    <n v="0"/>
  </r>
  <r>
    <x v="0"/>
    <x v="0"/>
    <x v="3"/>
    <d v="2023-03-01T00:00:00"/>
    <x v="26"/>
    <n v="2080"/>
    <s v="Kilogram_(kg)"/>
    <n v="83.2"/>
    <s v="DCYCLE SAMadridwaste4498645016"/>
    <n v="2080"/>
    <n v="481.19309403452985"/>
  </r>
  <r>
    <x v="0"/>
    <x v="0"/>
    <x v="3"/>
    <d v="2023-03-01T00:00:00"/>
    <x v="26"/>
    <n v="2200"/>
    <s v="Kilogram_(kg)"/>
    <n v="88"/>
    <s v="DCYCLE SAMadridwaste4498645016"/>
    <n v="2200"/>
    <n v="252.8"/>
  </r>
  <r>
    <x v="0"/>
    <x v="0"/>
    <x v="3"/>
    <d v="2023-03-01T00:00:00"/>
    <x v="26"/>
    <n v="6300"/>
    <s v="Kilogram_(kg)"/>
    <n v="252"/>
    <s v="DCYCLE SAMadridwaste4498645016"/>
    <n v="6300"/>
    <n v="38.799999999999997"/>
  </r>
  <r>
    <x v="0"/>
    <x v="0"/>
    <x v="0"/>
    <d v="2023-03-07T00:00:00"/>
    <x v="28"/>
    <n v="18.997"/>
    <s v="cubic_metre_(m3)"/>
    <n v="5.6996699669966997"/>
    <s v="DCYCLE SAMadridwater4499245201"/>
    <n v="18.997"/>
    <n v="86"/>
  </r>
  <r>
    <x v="0"/>
    <x v="3"/>
    <x v="1"/>
    <d v="2023-03-31T00:00:00"/>
    <x v="29"/>
    <n v="5295"/>
    <s v="kilowatt_hour_(kwh)"/>
    <n v="794.24602876985614"/>
    <s v="DCYCLE SABCNelectricity4501645046"/>
    <n v="5295"/>
    <n v="5877.8706106469472"/>
  </r>
  <r>
    <x v="0"/>
    <x v="1"/>
    <x v="1"/>
    <d v="2023-03-31T00:00:00"/>
    <x v="29"/>
    <n v="23519"/>
    <s v="kilowatt_hour_(kwh)"/>
    <n v="3527.8323608381961"/>
    <s v="DCYCLE SAMadrid (A2)electricity4501645046"/>
    <n v="23519"/>
    <n v="0"/>
  </r>
  <r>
    <x v="0"/>
    <x v="0"/>
    <x v="1"/>
    <d v="2023-03-31T00:00:00"/>
    <x v="29"/>
    <n v="1790"/>
    <s v="kilowatt_hour_(kwh)"/>
    <n v="268.4986575067125"/>
    <s v="DCYCLE SAMadridelectricity4501645046"/>
    <n v="0"/>
    <n v="9485.9525702371502"/>
  </r>
  <r>
    <x v="0"/>
    <x v="0"/>
    <x v="1"/>
    <d v="2023-03-31T00:00:00"/>
    <x v="29"/>
    <n v="63240"/>
    <s v="kilowatt_hour_(kwh)"/>
    <n v="9485.9525702371502"/>
    <s v="DCYCLE SAMadridelectricity4501645046"/>
    <n v="63240"/>
    <n v="389.39805300973495"/>
  </r>
  <r>
    <x v="0"/>
    <x v="2"/>
    <x v="1"/>
    <d v="2023-03-31T00:00:00"/>
    <x v="29"/>
    <n v="2596"/>
    <s v="kilowatt_hour_(kwh)"/>
    <n v="389.39805300973495"/>
    <s v="DCYCLE SATajonarelectricity4501645046"/>
    <n v="2596"/>
    <n v="0"/>
  </r>
  <r>
    <x v="0"/>
    <x v="1"/>
    <x v="1"/>
    <d v="2023-04-01T00:00:00"/>
    <x v="29"/>
    <n v="12068.4"/>
    <s v="kilowatt_hour_(kwh)"/>
    <n v="1810.2509487452562"/>
    <s v="DCYCLE SAMadrid (A2)electricity4501745046"/>
    <n v="12068.4"/>
    <n v="0"/>
  </r>
  <r>
    <x v="0"/>
    <x v="1"/>
    <x v="2"/>
    <d v="2023-04-01T00:00:00"/>
    <x v="29"/>
    <n v="177.29492170839148"/>
    <s v="therm_(thm)"/>
    <n v="212.76241654673163"/>
    <s v="DCYCLE SAMadrid (A2)heat4501745046"/>
    <n v="177.29492170839148"/>
    <n v="84"/>
  </r>
  <r>
    <x v="0"/>
    <x v="0"/>
    <x v="3"/>
    <d v="2023-04-01T00:00:00"/>
    <x v="29"/>
    <n v="1220"/>
    <s v="Kilogram_(kg)"/>
    <n v="48.8"/>
    <s v="DCYCLE SAMadridwaste4501745046"/>
    <n v="1220"/>
    <n v="316.8"/>
  </r>
  <r>
    <x v="0"/>
    <x v="3"/>
    <x v="0"/>
    <d v="2023-04-27T00:00:00"/>
    <x v="30"/>
    <n v="12"/>
    <s v="cubic_metre_(m3)"/>
    <n v="3.6003600360036003"/>
    <s v="DCYCLE SABCNwater4504345105"/>
    <n v="12"/>
    <n v="2.7002700270027002"/>
  </r>
  <r>
    <x v="0"/>
    <x v="3"/>
    <x v="1"/>
    <d v="2023-04-30T00:00:00"/>
    <x v="31"/>
    <n v="6773"/>
    <s v="kilowatt_hour_(kwh)"/>
    <n v="1015.9449202753987"/>
    <s v="DCYCLE SABCNelectricity4504645077"/>
    <n v="6773"/>
    <n v="17138.614306928466"/>
  </r>
  <r>
    <x v="0"/>
    <x v="1"/>
    <x v="1"/>
    <d v="2023-04-30T00:00:00"/>
    <x v="31"/>
    <n v="24330"/>
    <s v="kilowatt_hour_(kwh)"/>
    <n v="3649.4817525912372"/>
    <s v="DCYCLE SAMadrid (A2)electricity4504645077"/>
    <n v="24330"/>
    <n v="71.707170717071705"/>
  </r>
  <r>
    <x v="0"/>
    <x v="0"/>
    <x v="1"/>
    <d v="2023-04-30T00:00:00"/>
    <x v="31"/>
    <n v="1826"/>
    <s v="kilowatt_hour_(kwh)"/>
    <n v="273.8986305068475"/>
    <s v="DCYCLE SAMadridelectricity4504645077"/>
    <n v="0"/>
    <n v="1810.2509487452562"/>
  </r>
  <r>
    <x v="0"/>
    <x v="0"/>
    <x v="1"/>
    <d v="2023-04-30T00:00:00"/>
    <x v="31"/>
    <n v="61980"/>
    <s v="kilowatt_hour_(kwh)"/>
    <n v="9296.9535152324243"/>
    <s v="DCYCLE SAMadridelectricity4504645077"/>
    <n v="61980"/>
    <n v="212.76241654673163"/>
  </r>
  <r>
    <x v="0"/>
    <x v="2"/>
    <x v="1"/>
    <d v="2023-04-30T00:00:00"/>
    <x v="31"/>
    <n v="2934"/>
    <s v="kilowatt_hour_(kwh)"/>
    <n v="440.09779951100245"/>
    <s v="DCYCLE SATajonarelectricity4504645077"/>
    <n v="2934"/>
    <n v="2149.3692531537345"/>
  </r>
  <r>
    <x v="0"/>
    <x v="1"/>
    <x v="1"/>
    <d v="2023-05-01T00:00:00"/>
    <x v="31"/>
    <n v="14379.4"/>
    <s v="kilowatt_hour_(kwh)"/>
    <n v="2156.8992155039227"/>
    <s v="DCYCLE SAMadrid (A2)electricity4504745077"/>
    <n v="14379.4"/>
    <n v="0"/>
  </r>
  <r>
    <x v="0"/>
    <x v="1"/>
    <x v="2"/>
    <d v="2023-05-01T00:00:00"/>
    <x v="31"/>
    <n v="0"/>
    <s v="therm_(thm)"/>
    <n v="0"/>
    <s v="DCYCLE SAMadrid (A2)heat4504745077"/>
    <n v="0"/>
    <n v="84"/>
  </r>
  <r>
    <x v="0"/>
    <x v="0"/>
    <x v="3"/>
    <d v="2023-05-01T00:00:00"/>
    <x v="31"/>
    <n v="820"/>
    <s v="Kilogram_(kg)"/>
    <n v="32.799999999999997"/>
    <s v="DCYCLE SAMadridwaste4504745077"/>
    <n v="820"/>
    <n v="96"/>
  </r>
  <r>
    <x v="0"/>
    <x v="0"/>
    <x v="3"/>
    <d v="2023-05-01T00:00:00"/>
    <x v="31"/>
    <n v="2000"/>
    <s v="Kilogram_(kg)"/>
    <n v="80"/>
    <s v="DCYCLE SAMadridwaste4504745077"/>
    <n v="2000"/>
    <n v="0"/>
  </r>
  <r>
    <x v="0"/>
    <x v="0"/>
    <x v="3"/>
    <d v="2023-05-01T00:00:00"/>
    <x v="31"/>
    <n v="2220"/>
    <s v="Kilogram_(kg)"/>
    <n v="88.8"/>
    <s v="DCYCLE SAMadridwaste4504745077"/>
    <n v="2220"/>
    <n v="181.31485382388908"/>
  </r>
  <r>
    <x v="0"/>
    <x v="1"/>
    <x v="0"/>
    <d v="2023-05-04T00:00:00"/>
    <x v="32"/>
    <n v="231"/>
    <s v="cubic_metre_(m3)"/>
    <n v="69.306930693069305"/>
    <s v="DCYCLE SAMadrid (A2)water4505045134"/>
    <n v="231"/>
    <n v="597.09421826105483"/>
  </r>
  <r>
    <x v="0"/>
    <x v="0"/>
    <x v="0"/>
    <d v="2023-05-04T00:00:00"/>
    <x v="32"/>
    <n v="55"/>
    <s v="cubic_metre_(m3)"/>
    <n v="16.5016501650165"/>
    <s v="DCYCLE SAMadridwater4505045134"/>
    <n v="0"/>
    <n v="213.6"/>
  </r>
  <r>
    <x v="0"/>
    <x v="0"/>
    <x v="0"/>
    <d v="2023-05-04T00:00:00"/>
    <x v="32"/>
    <n v="74"/>
    <s v="cubic_metre_(m3)"/>
    <n v="22.202220222022202"/>
    <s v="DCYCLE SAMadridwater4505045134"/>
    <n v="0"/>
    <n v="7.5007500750075007"/>
  </r>
  <r>
    <x v="0"/>
    <x v="0"/>
    <x v="0"/>
    <d v="2023-05-04T00:00:00"/>
    <x v="32"/>
    <n v="301"/>
    <s v="cubic_metre_(m3)"/>
    <n v="90.309030903090303"/>
    <s v="DCYCLE SAMadridwater4505045134"/>
    <n v="301"/>
    <n v="0"/>
  </r>
  <r>
    <x v="0"/>
    <x v="3"/>
    <x v="1"/>
    <d v="2023-05-31T00:00:00"/>
    <x v="33"/>
    <n v="9555"/>
    <s v="kilowatt_hour_(kwh)"/>
    <n v="1433.2428337858312"/>
    <s v="DCYCLE SABCNelectricity4507745107"/>
    <n v="9555"/>
    <n v="1322.8450017241555"/>
  </r>
  <r>
    <x v="0"/>
    <x v="1"/>
    <x v="1"/>
    <d v="2023-05-31T00:00:00"/>
    <x v="33"/>
    <n v="30319"/>
    <s v="kilowatt_hour_(kwh)"/>
    <n v="4547.8272608636962"/>
    <s v="DCYCLE SAMadrid (A2)electricity4507745107"/>
    <n v="30319"/>
    <n v="0"/>
  </r>
  <r>
    <x v="0"/>
    <x v="0"/>
    <x v="1"/>
    <d v="2023-05-31T00:00:00"/>
    <x v="33"/>
    <n v="1912"/>
    <s v="kilowatt_hour_(kwh)"/>
    <n v="286.79856600717"/>
    <s v="DCYCLE SAMadridelectricity4507745107"/>
    <n v="0"/>
    <n v="48.8"/>
  </r>
  <r>
    <x v="0"/>
    <x v="0"/>
    <x v="1"/>
    <d v="2023-05-31T00:00:00"/>
    <x v="33"/>
    <n v="59780"/>
    <s v="kilowatt_hour_(kwh)"/>
    <n v="8966.9551652241753"/>
    <s v="DCYCLE SAMadridelectricity4507745107"/>
    <n v="59780"/>
    <n v="3.6003600360036003"/>
  </r>
  <r>
    <x v="0"/>
    <x v="2"/>
    <x v="1"/>
    <d v="2023-05-31T00:00:00"/>
    <x v="33"/>
    <n v="3127"/>
    <s v="kilowatt_hour_(kwh)"/>
    <n v="469.04765476172622"/>
    <s v="DCYCLE SATajonarelectricity4507745107"/>
    <n v="3127"/>
    <n v="361.56719216403923"/>
  </r>
  <r>
    <x v="0"/>
    <x v="1"/>
    <x v="1"/>
    <d v="2023-06-01T00:00:00"/>
    <x v="33"/>
    <n v="15420.8"/>
    <s v="kilowatt_hour_(kwh)"/>
    <n v="2313.1084344578276"/>
    <s v="DCYCLE SAMadrid (A2)electricity4507845107"/>
    <n v="15420.8"/>
    <n v="3.6003600360036003"/>
  </r>
  <r>
    <x v="0"/>
    <x v="1"/>
    <x v="2"/>
    <d v="2023-06-01T00:00:00"/>
    <x v="33"/>
    <n v="0"/>
    <s v="therm_(thm)"/>
    <n v="0"/>
    <s v="DCYCLE SAMadrid (A2)heat4507845107"/>
    <n v="0"/>
    <n v="114.4"/>
  </r>
  <r>
    <x v="0"/>
    <x v="0"/>
    <x v="1"/>
    <d v="2023-06-01T00:00:00"/>
    <x v="33"/>
    <n v="19897.490000000002"/>
    <s v="kilowatt_hour_(kwh)"/>
    <n v="2984.6085769571155"/>
    <s v="DCYCLE SAMadridelectricity4507845107"/>
    <n v="19897.490000000002"/>
    <n v="1015.9449202753987"/>
  </r>
  <r>
    <x v="0"/>
    <x v="0"/>
    <x v="3"/>
    <d v="2023-06-01T00:00:00"/>
    <x v="33"/>
    <n v="2000"/>
    <s v="Kilogram_(kg)"/>
    <n v="80"/>
    <s v="DCYCLE SAMadridwaste4507845107"/>
    <n v="2000"/>
    <n v="8988.5550572247139"/>
  </r>
  <r>
    <x v="0"/>
    <x v="0"/>
    <x v="3"/>
    <d v="2023-06-01T00:00:00"/>
    <x v="33"/>
    <n v="2150"/>
    <s v="Kilogram_(kg)"/>
    <n v="86"/>
    <s v="DCYCLE SAMadridwaste4507845107"/>
    <n v="2150"/>
    <n v="154.4"/>
  </r>
  <r>
    <x v="0"/>
    <x v="0"/>
    <x v="3"/>
    <d v="2023-06-01T00:00:00"/>
    <x v="33"/>
    <n v="6140"/>
    <s v="Kilogram_(kg)"/>
    <n v="245.6"/>
    <s v="DCYCLE SAMadridwaste4507845107"/>
    <n v="6140"/>
    <n v="33.200000000000003"/>
  </r>
  <r>
    <x v="0"/>
    <x v="0"/>
    <x v="3"/>
    <d v="2023-06-01T00:00:00"/>
    <x v="33"/>
    <n v="6400"/>
    <s v="Kilogram_(kg)"/>
    <n v="256"/>
    <s v="DCYCLE SAMadridwaste4507845107"/>
    <n v="6400"/>
    <n v="94.4"/>
  </r>
  <r>
    <x v="0"/>
    <x v="3"/>
    <x v="0"/>
    <d v="2023-06-28T00:00:00"/>
    <x v="34"/>
    <n v="9"/>
    <s v="cubic_metre_(m3)"/>
    <n v="2.7002700270027002"/>
    <s v="DCYCLE SABCNwater4510545167"/>
    <n v="9"/>
    <n v="1173.305289401472"/>
  </r>
  <r>
    <x v="0"/>
    <x v="3"/>
    <x v="1"/>
    <d v="2023-06-30T00:00:00"/>
    <x v="35"/>
    <n v="11753"/>
    <s v="kilowatt_hour_(kwh)"/>
    <n v="1762.9411852940736"/>
    <s v="DCYCLE SABCNelectricity4510745138"/>
    <n v="11753"/>
    <n v="136565.31717341414"/>
  </r>
  <r>
    <x v="0"/>
    <x v="1"/>
    <x v="1"/>
    <d v="2023-06-30T00:00:00"/>
    <x v="35"/>
    <n v="30571"/>
    <s v="kilowatt_hour_(kwh)"/>
    <n v="4585.627071864641"/>
    <s v="DCYCLE SAMadrid (A2)electricity4510745138"/>
    <n v="30571"/>
    <n v="519.82657391469559"/>
  </r>
  <r>
    <x v="0"/>
    <x v="0"/>
    <x v="1"/>
    <d v="2023-06-30T00:00:00"/>
    <x v="35"/>
    <n v="2598"/>
    <s v="kilowatt_hour_(kwh)"/>
    <n v="389.69805150974247"/>
    <s v="DCYCLE SAMadridelectricity4510745138"/>
    <n v="0"/>
    <n v="3649.4817525912372"/>
  </r>
  <r>
    <x v="0"/>
    <x v="0"/>
    <x v="1"/>
    <d v="2023-06-30T00:00:00"/>
    <x v="35"/>
    <n v="64416"/>
    <s v="kilowatt_hour_(kwh)"/>
    <n v="9662.3516882415588"/>
    <s v="DCYCLE SAMadridelectricity4510745138"/>
    <n v="64416"/>
    <n v="0"/>
  </r>
  <r>
    <x v="0"/>
    <x v="2"/>
    <x v="1"/>
    <d v="2023-06-30T00:00:00"/>
    <x v="35"/>
    <n v="2612"/>
    <s v="kilowatt_hour_(kwh)"/>
    <n v="391.79804100979499"/>
    <s v="DCYCLE SATajonarelectricity4510745138"/>
    <n v="2612"/>
    <n v="97.6"/>
  </r>
  <r>
    <x v="0"/>
    <x v="1"/>
    <x v="1"/>
    <d v="2023-07-01T00:00:00"/>
    <x v="35"/>
    <n v="15182.2"/>
    <s v="kilowatt_hour_(kwh)"/>
    <n v="2277.3186134069333"/>
    <s v="DCYCLE SAMadrid (A2)electricity4510845138"/>
    <n v="15182.2"/>
    <n v="31.203120312031203"/>
  </r>
  <r>
    <x v="0"/>
    <x v="1"/>
    <x v="2"/>
    <d v="2023-07-01T00:00:00"/>
    <x v="35"/>
    <n v="0"/>
    <s v="therm_(thm)"/>
    <n v="0"/>
    <s v="DCYCLE SAMadrid (A2)heat4510845138"/>
    <n v="0"/>
    <n v="35.103510351035105"/>
  </r>
  <r>
    <x v="0"/>
    <x v="0"/>
    <x v="1"/>
    <d v="2023-07-01T00:00:00"/>
    <x v="35"/>
    <n v="18975.43"/>
    <s v="kilowatt_hour_(kwh)"/>
    <n v="2846.3002684986577"/>
    <s v="DCYCLE SAMadridelectricity4510845138"/>
    <n v="18975.43"/>
    <n v="9296.9535152324243"/>
  </r>
  <r>
    <x v="0"/>
    <x v="0"/>
    <x v="3"/>
    <d v="2023-07-01T00:00:00"/>
    <x v="35"/>
    <n v="19"/>
    <s v="Kilogram_(kg)"/>
    <n v="0.76"/>
    <s v="DCYCLE SAMadridwaste4510845138"/>
    <n v="19"/>
    <n v="0"/>
  </r>
  <r>
    <x v="0"/>
    <x v="0"/>
    <x v="3"/>
    <d v="2023-07-01T00:00:00"/>
    <x v="35"/>
    <n v="65"/>
    <s v="Kilogram_(kg)"/>
    <n v="2.6"/>
    <s v="DCYCLE SAMadridwaste4510845138"/>
    <n v="65"/>
    <n v="423.15838420807899"/>
  </r>
  <r>
    <x v="0"/>
    <x v="0"/>
    <x v="3"/>
    <d v="2023-07-01T00:00:00"/>
    <x v="35"/>
    <n v="140"/>
    <s v="Kilogram_(kg)"/>
    <n v="5.6"/>
    <s v="DCYCLE SAMadridwaste4510845138"/>
    <n v="140"/>
    <n v="120.8"/>
  </r>
  <r>
    <x v="0"/>
    <x v="0"/>
    <x v="3"/>
    <d v="2023-07-01T00:00:00"/>
    <x v="35"/>
    <n v="150"/>
    <s v="Kilogram_(kg)"/>
    <n v="6"/>
    <s v="DCYCLE SAMadridwaste4510845138"/>
    <n v="150"/>
    <n v="4995.725021374893"/>
  </r>
  <r>
    <x v="0"/>
    <x v="0"/>
    <x v="3"/>
    <d v="2023-07-01T00:00:00"/>
    <x v="35"/>
    <n v="165"/>
    <s v="Kilogram_(kg)"/>
    <n v="6.6"/>
    <s v="DCYCLE SAMadridwaste4510845138"/>
    <n v="165"/>
    <n v="0"/>
  </r>
  <r>
    <x v="0"/>
    <x v="0"/>
    <x v="3"/>
    <d v="2023-07-01T00:00:00"/>
    <x v="35"/>
    <n v="200"/>
    <s v="Kilogram_(kg)"/>
    <n v="8"/>
    <s v="DCYCLE SAMadridwaste4510845138"/>
    <n v="200"/>
    <n v="0"/>
  </r>
  <r>
    <x v="0"/>
    <x v="0"/>
    <x v="3"/>
    <d v="2023-07-01T00:00:00"/>
    <x v="35"/>
    <n v="560"/>
    <s v="Kilogram_(kg)"/>
    <n v="22.4"/>
    <s v="DCYCLE SAMadridwaste4510845138"/>
    <n v="560"/>
    <n v="422.91688541557295"/>
  </r>
  <r>
    <x v="0"/>
    <x v="0"/>
    <x v="3"/>
    <d v="2023-07-01T00:00:00"/>
    <x v="35"/>
    <n v="1840"/>
    <s v="Kilogram_(kg)"/>
    <n v="73.599999999999994"/>
    <s v="DCYCLE SAMadridwaste4510845138"/>
    <n v="1840"/>
    <n v="3.3003300330033003"/>
  </r>
  <r>
    <x v="0"/>
    <x v="0"/>
    <x v="3"/>
    <d v="2023-07-01T00:00:00"/>
    <x v="35"/>
    <n v="1950"/>
    <s v="Kilogram_(kg)"/>
    <n v="78"/>
    <s v="DCYCLE SAMadridwaste4510845138"/>
    <n v="1950"/>
    <n v="5599.1720041399794"/>
  </r>
  <r>
    <x v="0"/>
    <x v="0"/>
    <x v="3"/>
    <d v="2023-07-01T00:00:00"/>
    <x v="35"/>
    <n v="5340"/>
    <s v="Kilogram_(kg)"/>
    <n v="213.6"/>
    <s v="DCYCLE SAMadridwaste4510845138"/>
    <n v="5340"/>
    <n v="8"/>
  </r>
  <r>
    <x v="0"/>
    <x v="1"/>
    <x v="0"/>
    <d v="2023-07-27T00:00:00"/>
    <x v="36"/>
    <n v="25"/>
    <s v="cubic_metre_(m3)"/>
    <n v="7.5007500750075007"/>
    <s v="DCYCLE SAMadrid (A2)water4513445226"/>
    <n v="25"/>
    <n v="78.400000000000006"/>
  </r>
  <r>
    <x v="0"/>
    <x v="0"/>
    <x v="0"/>
    <d v="2023-07-27T00:00:00"/>
    <x v="36"/>
    <n v="17"/>
    <s v="cubic_metre_(m3)"/>
    <n v="5.1005100510051005"/>
    <s v="DCYCLE SAMadridwater4513445226"/>
    <n v="0"/>
    <n v="0"/>
  </r>
  <r>
    <x v="0"/>
    <x v="0"/>
    <x v="0"/>
    <d v="2023-07-27T00:00:00"/>
    <x v="36"/>
    <n v="57"/>
    <s v="cubic_metre_(m3)"/>
    <n v="17.1017101710171"/>
    <s v="DCYCLE SAMadridwater4513445226"/>
    <n v="0"/>
    <n v="79.507950795079509"/>
  </r>
  <r>
    <x v="0"/>
    <x v="0"/>
    <x v="0"/>
    <d v="2023-07-27T00:00:00"/>
    <x v="36"/>
    <n v="265"/>
    <s v="cubic_metre_(m3)"/>
    <n v="79.507950795079509"/>
    <s v="DCYCLE SAMadridwater4513445226"/>
    <n v="265"/>
    <n v="3127.1843640781799"/>
  </r>
  <r>
    <x v="0"/>
    <x v="1"/>
    <x v="1"/>
    <d v="2023-07-31T00:00:00"/>
    <x v="37"/>
    <n v="20848"/>
    <s v="kilowatt_hour_(kwh)"/>
    <n v="3127.1843640781799"/>
    <s v="DCYCLE SAMadrid (A2)electricity4513845169"/>
    <n v="20848"/>
    <n v="0"/>
  </r>
  <r>
    <x v="0"/>
    <x v="0"/>
    <x v="1"/>
    <d v="2023-07-31T00:00:00"/>
    <x v="38"/>
    <n v="45398"/>
    <s v="kilowatt_hour_(kwh)"/>
    <n v="6809.6659516702421"/>
    <s v="DCYCLE SAMadridelectricity4513845168"/>
    <n v="45398"/>
    <n v="440.09779951100245"/>
  </r>
  <r>
    <x v="0"/>
    <x v="0"/>
    <x v="1"/>
    <d v="2023-07-31T00:00:00"/>
    <x v="37"/>
    <n v="1770"/>
    <s v="kilowatt_hour_(kwh)"/>
    <n v="265.49867250663749"/>
    <s v="DCYCLE SAMadridelectricity4513845169"/>
    <n v="1770"/>
    <n v="2156.8992155039227"/>
  </r>
  <r>
    <x v="0"/>
    <x v="3"/>
    <x v="1"/>
    <d v="2023-08-01T00:00:00"/>
    <x v="37"/>
    <n v="11600"/>
    <s v="kilowatt_hour_(kwh)"/>
    <n v="1739.9913000434999"/>
    <s v="DCYCLE SABCNelectricity4513945169"/>
    <n v="11600"/>
    <n v="17.944794479447946"/>
  </r>
  <r>
    <x v="0"/>
    <x v="1"/>
    <x v="1"/>
    <d v="2023-08-01T00:00:00"/>
    <x v="37"/>
    <n v="8937.1"/>
    <s v="kilowatt_hour_(kwh)"/>
    <n v="1340.558297208514"/>
    <s v="DCYCLE SAMadrid (A2)electricity4513945169"/>
    <n v="8937.1"/>
    <n v="0"/>
  </r>
  <r>
    <x v="0"/>
    <x v="1"/>
    <x v="2"/>
    <d v="2023-08-01T00:00:00"/>
    <x v="37"/>
    <n v="0"/>
    <s v="therm_(thm)"/>
    <n v="0"/>
    <s v="DCYCLE SAMadrid (A2)heat4513945169"/>
    <n v="0"/>
    <n v="0"/>
  </r>
  <r>
    <x v="0"/>
    <x v="0"/>
    <x v="1"/>
    <d v="2023-08-01T00:00:00"/>
    <x v="37"/>
    <n v="14329.2"/>
    <s v="kilowatt_hour_(kwh)"/>
    <n v="2149.3692531537345"/>
    <s v="DCYCLE SAMadridelectricity4513945169"/>
    <n v="14329.2"/>
    <n v="0"/>
  </r>
  <r>
    <x v="0"/>
    <x v="2"/>
    <x v="1"/>
    <d v="2023-08-01T00:00:00"/>
    <x v="37"/>
    <n v="2410.46"/>
    <s v="kilowatt_hour_(kwh)"/>
    <n v="361.56719216403923"/>
    <s v="DCYCLE SATajonarelectricity4513945169"/>
    <n v="2410.46"/>
    <n v="179.2"/>
  </r>
  <r>
    <x v="0"/>
    <x v="0"/>
    <x v="3"/>
    <d v="2023-08-01T00:00:00"/>
    <x v="37"/>
    <n v="2440"/>
    <s v="Kilogram_(kg)"/>
    <n v="97.6"/>
    <s v="DCYCLE SAMadridwaste4513945169"/>
    <n v="2440"/>
    <n v="0"/>
  </r>
  <r>
    <x v="0"/>
    <x v="0"/>
    <x v="3"/>
    <d v="2023-08-01T00:00:00"/>
    <x v="37"/>
    <n v="4480"/>
    <s v="Kilogram_(kg)"/>
    <n v="179.2"/>
    <s v="DCYCLE SAMadridwaste4513945169"/>
    <n v="4480"/>
    <n v="5.6"/>
  </r>
  <r>
    <x v="0"/>
    <x v="3"/>
    <x v="0"/>
    <d v="2023-08-29T00:00:00"/>
    <x v="39"/>
    <n v="97"/>
    <s v="cubic_metre_(m3)"/>
    <n v="29.102910291029101"/>
    <s v="DCYCLE SABCNwater4516745227"/>
    <n v="97"/>
    <n v="619.53336457891646"/>
  </r>
  <r>
    <x v="0"/>
    <x v="0"/>
    <x v="1"/>
    <d v="2023-08-30T00:00:00"/>
    <x v="37"/>
    <n v="1900"/>
    <s v="kilowatt_hour_(kwh)"/>
    <n v="284.998575007125"/>
    <s v="DCYCLE SAMadridelectricity4516845169"/>
    <n v="1900"/>
    <n v="32.799999999999997"/>
  </r>
  <r>
    <x v="0"/>
    <x v="3"/>
    <x v="1"/>
    <d v="2023-08-31T00:00:00"/>
    <x v="40"/>
    <n v="9886"/>
    <s v="kilowatt_hour_(kwh)"/>
    <n v="1482.8925855370724"/>
    <s v="DCYCLE SABCNelectricity4516945199"/>
    <n v="9886"/>
    <n v="1.7281728172817281"/>
  </r>
  <r>
    <x v="0"/>
    <x v="1"/>
    <x v="1"/>
    <d v="2023-09-01T00:00:00"/>
    <x v="40"/>
    <n v="10221"/>
    <s v="kilowatt_hour_(kwh)"/>
    <n v="1533.1423342883286"/>
    <s v="DCYCLE SAMadrid (A2)electricity4517045199"/>
    <n v="0"/>
    <n v="74.407440744074407"/>
  </r>
  <r>
    <x v="0"/>
    <x v="1"/>
    <x v="1"/>
    <d v="2023-09-01T00:00:00"/>
    <x v="40"/>
    <n v="28222"/>
    <s v="kilowatt_hour_(kwh)"/>
    <n v="4233.278833605832"/>
    <s v="DCYCLE SAMadrid (A2)electricity4517045199"/>
    <n v="28222"/>
    <n v="773.65917979868129"/>
  </r>
  <r>
    <x v="0"/>
    <x v="1"/>
    <x v="2"/>
    <d v="2023-09-01T00:00:00"/>
    <x v="40"/>
    <n v="0"/>
    <s v="therm_(thm)"/>
    <n v="0"/>
    <s v="DCYCLE SAMadrid (A2)heat4517045199"/>
    <n v="0"/>
    <n v="0"/>
  </r>
  <r>
    <x v="1"/>
    <x v="4"/>
    <x v="1"/>
    <d v="2021-10-01T00:00:00"/>
    <x v="41"/>
    <n v="7888"/>
    <s v="kilowatt_hour_(kwh)"/>
    <n v="1183.1940840295799"/>
    <s v="Dcycle Factory SLDcycle Factory SLelectricity4447044500"/>
    <n v="7888"/>
    <n v="1183.1940840295799"/>
  </r>
  <r>
    <x v="1"/>
    <x v="4"/>
    <x v="1"/>
    <d v="2021-11-01T00:00:00"/>
    <x v="42"/>
    <n v="10005"/>
    <s v="kilowatt_hour_(kwh)"/>
    <n v="1500.7424962875186"/>
    <s v="Dcycle Factory SLDcycle Factory SLelectricity4450144530"/>
    <n v="10005"/>
    <n v="1500.7424962875186"/>
  </r>
  <r>
    <x v="1"/>
    <x v="4"/>
    <x v="1"/>
    <d v="2021-12-01T00:00:00"/>
    <x v="43"/>
    <n v="7558"/>
    <s v="kilowatt_hour_(kwh)"/>
    <n v="1133.6943315283424"/>
    <s v="Dcycle Factory SLDcycle Factory SLelectricity4453144561"/>
    <n v="7558"/>
    <n v="1133.6943315283424"/>
  </r>
  <r>
    <x v="1"/>
    <x v="4"/>
    <x v="1"/>
    <d v="2022-01-01T00:00:00"/>
    <x v="2"/>
    <n v="10694"/>
    <s v="kilowatt_hour_(kwh)"/>
    <n v="1604.0919795401023"/>
    <s v="Dcycle Factory SLDcycle Factory SLelectricity4456244592"/>
    <n v="10694"/>
    <n v="1604.0919795401023"/>
  </r>
  <r>
    <x v="1"/>
    <x v="4"/>
    <x v="1"/>
    <d v="2022-02-01T00:00:00"/>
    <x v="3"/>
    <n v="10122"/>
    <s v="kilowatt_hour_(kwh)"/>
    <n v="1518.2924085379575"/>
    <s v="Dcycle Factory SLDcycle Factory SLelectricity4459344620"/>
    <n v="10122"/>
    <n v="1518.2924085379575"/>
  </r>
  <r>
    <x v="1"/>
    <x v="4"/>
    <x v="1"/>
    <d v="2022-03-01T00:00:00"/>
    <x v="7"/>
    <n v="10019"/>
    <s v="kilowatt_hour_(kwh)"/>
    <n v="1502.8424857875711"/>
    <s v="Dcycle Factory SLDcycle Factory SLelectricity4462144651"/>
    <n v="10019"/>
    <n v="1502.8424857875711"/>
  </r>
  <r>
    <x v="1"/>
    <x v="4"/>
    <x v="1"/>
    <d v="2022-04-01T00:00:00"/>
    <x v="8"/>
    <n v="7619"/>
    <s v="kilowatt_hour_(kwh)"/>
    <n v="1142.8442857785712"/>
    <s v="Dcycle Factory SLDcycle Factory SLelectricity4465244681"/>
    <n v="7619"/>
    <n v="1142.8442857785712"/>
  </r>
  <r>
    <x v="1"/>
    <x v="4"/>
    <x v="1"/>
    <d v="2022-05-01T00:00:00"/>
    <x v="9"/>
    <n v="8615"/>
    <s v="kilowatt_hour_(kwh)"/>
    <n v="1292.2435387823061"/>
    <s v="Dcycle Factory SLDcycle Factory SLelectricity4468244712"/>
    <n v="8615"/>
    <n v="1292.2435387823061"/>
  </r>
  <r>
    <x v="1"/>
    <x v="4"/>
    <x v="1"/>
    <d v="2022-06-01T00:00:00"/>
    <x v="10"/>
    <n v="10653"/>
    <s v="kilowatt_hour_(kwh)"/>
    <n v="1597.9420102899487"/>
    <s v="Dcycle Factory SLDcycle Factory SLelectricity4471344742"/>
    <n v="10653"/>
    <n v="1597.9420102899487"/>
  </r>
  <r>
    <x v="1"/>
    <x v="4"/>
    <x v="1"/>
    <d v="2022-07-01T00:00:00"/>
    <x v="11"/>
    <n v="12552"/>
    <s v="kilowatt_hour_(kwh)"/>
    <n v="1882.7905860470698"/>
    <s v="Dcycle Factory SLDcycle Factory SLelectricity4474344773"/>
    <n v="12552"/>
    <n v="1882.7905860470698"/>
  </r>
  <r>
    <x v="1"/>
    <x v="4"/>
    <x v="1"/>
    <d v="2022-08-01T00:00:00"/>
    <x v="12"/>
    <n v="2571"/>
    <s v="kilowatt_hour_(kwh)"/>
    <n v="385.6480717596412"/>
    <s v="Dcycle Factory SLDcycle Factory SLelectricity4477444804"/>
    <n v="2571"/>
    <n v="385.6480717596412"/>
  </r>
  <r>
    <x v="1"/>
    <x v="4"/>
    <x v="1"/>
    <d v="2022-09-01T00:00:00"/>
    <x v="14"/>
    <n v="12126"/>
    <s v="kilowatt_hour_(kwh)"/>
    <n v="1818.8909055454724"/>
    <s v="Dcycle Factory SLDcycle Factory SLelectricity4480544834"/>
    <n v="12126"/>
    <n v="1818.8909055454724"/>
  </r>
  <r>
    <x v="1"/>
    <x v="4"/>
    <x v="1"/>
    <d v="2022-10-01T00:00:00"/>
    <x v="15"/>
    <n v="8807"/>
    <s v="kilowatt_hour_(kwh)"/>
    <n v="1321.0433947830261"/>
    <s v="Dcycle Factory SLDcycle Factory SLelectricity4483544865"/>
    <n v="8807"/>
    <n v="1321.0433947830261"/>
  </r>
  <r>
    <x v="1"/>
    <x v="4"/>
    <x v="1"/>
    <d v="2022-11-01T00:00:00"/>
    <x v="17"/>
    <n v="8294"/>
    <s v="kilowatt_hour_(kwh)"/>
    <n v="1244.0937795311024"/>
    <s v="Dcycle Factory SLDcycle Factory SLelectricity4486644895"/>
    <n v="8294"/>
    <n v="1244.0937795311024"/>
  </r>
  <r>
    <x v="1"/>
    <x v="4"/>
    <x v="1"/>
    <d v="2022-12-01T00:00:00"/>
    <x v="1"/>
    <n v="7054"/>
    <s v="kilowatt_hour_(kwh)"/>
    <n v="1058.0947095264523"/>
    <s v="Dcycle Factory SLDcycle Factory SLelectricity4489644926"/>
    <n v="7054"/>
    <n v="1058.0947095264523"/>
  </r>
  <r>
    <x v="1"/>
    <x v="4"/>
    <x v="1"/>
    <d v="2023-01-01T00:00:00"/>
    <x v="20"/>
    <n v="10737"/>
    <s v="kilowatt_hour_(kwh)"/>
    <n v="1610.5419472902636"/>
    <s v="Dcycle Factory SLDcycle Factory SLelectricity4492744957"/>
    <n v="10737"/>
    <n v="1610.5419472902636"/>
  </r>
  <r>
    <x v="1"/>
    <x v="4"/>
    <x v="1"/>
    <d v="2023-02-01T00:00:00"/>
    <x v="23"/>
    <n v="10701"/>
    <s v="kilowatt_hour_(kwh)"/>
    <n v="1605.1419742901287"/>
    <s v="Dcycle Factory SLDcycle Factory SLelectricity4495844985"/>
    <n v="10701"/>
    <n v="1605.1419742901287"/>
  </r>
  <r>
    <x v="1"/>
    <x v="4"/>
    <x v="1"/>
    <d v="2023-03-01T00:00:00"/>
    <x v="26"/>
    <n v="10788"/>
    <s v="kilowatt_hour_(kwh)"/>
    <n v="1618.1919090404549"/>
    <s v="Dcycle Factory SLDcycle Factory SLelectricity4498645016"/>
    <n v="10788"/>
    <n v="1618.1919090404549"/>
  </r>
  <r>
    <x v="1"/>
    <x v="4"/>
    <x v="1"/>
    <d v="2023-04-01T00:00:00"/>
    <x v="29"/>
    <n v="7012"/>
    <s v="kilowatt_hour_(kwh)"/>
    <n v="1051.794741026295"/>
    <s v="Dcycle Factory SLDcycle Factory SLelectricity4501745046"/>
    <n v="7012"/>
    <n v="1051.794741026295"/>
  </r>
  <r>
    <x v="1"/>
    <x v="4"/>
    <x v="1"/>
    <d v="2023-05-01T00:00:00"/>
    <x v="31"/>
    <n v="9246"/>
    <s v="kilowatt_hour_(kwh)"/>
    <n v="1386.8930655346724"/>
    <s v="Dcycle Factory SLDcycle Factory SLelectricity4504745077"/>
    <n v="9246"/>
    <n v="1386.8930655346724"/>
  </r>
  <r>
    <x v="1"/>
    <x v="4"/>
    <x v="1"/>
    <d v="2023-06-01T00:00:00"/>
    <x v="33"/>
    <n v="11920"/>
    <s v="kilowatt_hour_(kwh)"/>
    <n v="1787.9910600446999"/>
    <s v="Dcycle Factory SLDcycle Factory SLelectricity4507845107"/>
    <n v="11920"/>
    <n v="1787.9910600446999"/>
  </r>
  <r>
    <x v="1"/>
    <x v="4"/>
    <x v="1"/>
    <d v="2023-07-01T00:00:00"/>
    <x v="35"/>
    <n v="12836"/>
    <s v="kilowatt_hour_(kwh)"/>
    <n v="1925.390373048135"/>
    <s v="Dcycle Factory SLDcycle Factory SLelectricity4510845138"/>
    <n v="12836"/>
    <n v="1925.390373048135"/>
  </r>
  <r>
    <x v="1"/>
    <x v="4"/>
    <x v="1"/>
    <d v="2023-08-01T00:00:00"/>
    <x v="37"/>
    <n v="3928"/>
    <s v="kilowatt_hour_(kwh)"/>
    <n v="589.19705401472993"/>
    <s v="Dcycle Factory SLDcycle Factory SLelectricity4513945169"/>
    <n v="3928"/>
    <n v="589.19705401472993"/>
  </r>
  <r>
    <x v="1"/>
    <x v="4"/>
    <x v="1"/>
    <d v="2023-09-01T00:00:00"/>
    <x v="40"/>
    <n v="11570"/>
    <s v="kilowatt_hour_(kwh)"/>
    <n v="1735.4913225433875"/>
    <s v="Dcycle Factory SLDcycle Factory SLelectricity4517045199"/>
    <n v="11570"/>
    <n v="1735.4913225433875"/>
  </r>
  <r>
    <x v="1"/>
    <x v="4"/>
    <x v="1"/>
    <d v="2023-10-01T00:00:00"/>
    <x v="44"/>
    <n v="10259"/>
    <s v="kilowatt_hour_(kwh)"/>
    <n v="1538.8423057884711"/>
    <s v="Dcycle Factory SLDcycle Factory SLelectricity4520045230"/>
    <n v="10259"/>
    <n v="1538.8423057884711"/>
  </r>
  <r>
    <x v="1"/>
    <x v="4"/>
    <x v="1"/>
    <d v="2023-11-01T00:00:00"/>
    <x v="45"/>
    <n v="8992"/>
    <s v="kilowatt_hour_(kwh)"/>
    <n v="1348.7932560337199"/>
    <s v="Dcycle Factory SLDcycle Factory SLelectricity4523145260"/>
    <n v="8992"/>
    <n v="1348.7932560337199"/>
  </r>
  <r>
    <x v="1"/>
    <x v="4"/>
    <x v="1"/>
    <d v="2023-12-01T00:00:00"/>
    <x v="21"/>
    <n v="7387"/>
    <s v="kilowatt_hour_(kwh)"/>
    <n v="1108.0444597777011"/>
    <s v="Dcycle Factory SLDcycle Factory SLelectricity4526145291"/>
    <n v="7387"/>
    <n v="1108.0444597777011"/>
  </r>
  <r>
    <x v="1"/>
    <x v="4"/>
    <x v="0"/>
    <d v="2023-01-01T00:00:00"/>
    <x v="46"/>
    <n v="132.86000000000001"/>
    <s v="cubic_metre_(m3)"/>
    <n v="39.861986198619867"/>
    <s v="Dcycle Factory SLDcycle Factory SLwater4492745089"/>
    <n v="132.86000000000001"/>
    <n v="39.861986198619867"/>
  </r>
  <r>
    <x v="1"/>
    <x v="4"/>
    <x v="0"/>
    <d v="2023-06-13T00:00:00"/>
    <x v="47"/>
    <n v="0"/>
    <s v="cubic_metre_(m3)"/>
    <n v="0"/>
    <s v="Dcycle Factory SLDcycle Factory SLwater4509045111"/>
    <n v="0"/>
    <n v="0"/>
  </r>
  <r>
    <x v="1"/>
    <x v="4"/>
    <x v="0"/>
    <d v="2023-07-04T00:00:00"/>
    <x v="48"/>
    <n v="0"/>
    <s v="cubic_metre_(m3)"/>
    <n v="0"/>
    <s v="Dcycle Factory SLDcycle Factory SLwater4511145170"/>
    <n v="0"/>
    <n v="0"/>
  </r>
  <r>
    <x v="1"/>
    <x v="4"/>
    <x v="0"/>
    <d v="2023-09-01T00:00:00"/>
    <x v="44"/>
    <n v="71"/>
    <s v="cubic_metre_(m3)"/>
    <n v="21.3021302130213"/>
    <s v="Dcycle Factory SLDcycle Factory SLwater4517045230"/>
    <n v="71"/>
    <n v="21.3021302130213"/>
  </r>
  <r>
    <x v="1"/>
    <x v="4"/>
    <x v="0"/>
    <d v="2023-10-31T00:00:00"/>
    <x v="49"/>
    <n v="115"/>
    <s v="cubic_metre_(m3)"/>
    <n v="34.503450345034501"/>
    <s v="Dcycle Factory SLDcycle Factory SLwater4523045289"/>
    <n v="115"/>
    <n v="34.503450345034501"/>
  </r>
  <r>
    <x v="2"/>
    <x v="5"/>
    <x v="0"/>
    <d v="2022-01-01T00:00:00"/>
    <x v="1"/>
    <n v="261"/>
    <s v="cubic_metre_(m3)"/>
    <n v="78.307830783078302"/>
    <s v="Dcycle Andina SASD - Bodega 1water4456244926"/>
    <n v="261"/>
    <n v="11.2"/>
  </r>
  <r>
    <x v="2"/>
    <x v="5"/>
    <x v="3"/>
    <d v="2022-01-01T00:00:00"/>
    <x v="1"/>
    <n v="1"/>
    <s v="Kilogram_(kg)"/>
    <n v="0.04"/>
    <s v="Dcycle Andina SASD - Bodega 1waste4456244926"/>
    <n v="1"/>
    <n v="1.92"/>
  </r>
  <r>
    <x v="2"/>
    <x v="5"/>
    <x v="3"/>
    <d v="2022-01-01T00:00:00"/>
    <x v="1"/>
    <n v="1496"/>
    <s v="Kilogram_(kg)"/>
    <n v="59.84"/>
    <s v="Dcycle Andina SASD - Bodega 1waste4456244926"/>
    <n v="1496"/>
    <n v="20.6"/>
  </r>
  <r>
    <x v="2"/>
    <x v="5"/>
    <x v="3"/>
    <d v="2022-01-01T00:00:00"/>
    <x v="1"/>
    <n v="3633"/>
    <s v="Kilogram_(kg)"/>
    <n v="145.32"/>
    <s v="Dcycle Andina SASD - Bodega 1waste4456244926"/>
    <n v="3633"/>
    <n v="258.14870925645374"/>
  </r>
  <r>
    <x v="2"/>
    <x v="5"/>
    <x v="3"/>
    <d v="2022-01-01T00:00:00"/>
    <x v="1"/>
    <n v="17600"/>
    <s v="Kilogram_(kg)"/>
    <n v="704"/>
    <s v="Dcycle Andina SASD - Bodega 1waste4456244926"/>
    <n v="17600"/>
    <n v="41.249793751031248"/>
  </r>
  <r>
    <x v="2"/>
    <x v="6"/>
    <x v="0"/>
    <d v="2022-11-01T00:00:00"/>
    <x v="17"/>
    <n v="5"/>
    <s v="cubic_metre_(m3)"/>
    <n v="1.5001500150015001"/>
    <s v="Dcycle Andina SASD - Bodega 2 (almacén)water4486644895"/>
    <n v="5"/>
    <n v="1.68"/>
  </r>
  <r>
    <x v="2"/>
    <x v="6"/>
    <x v="0"/>
    <d v="2022-12-01T00:00:00"/>
    <x v="1"/>
    <n v="4"/>
    <s v="cubic_metre_(m3)"/>
    <n v="1.2001200120012001"/>
    <s v="Dcycle Andina SASD - Bodega 2 (almacén)water4489644926"/>
    <n v="4"/>
    <n v="14.08"/>
  </r>
  <r>
    <x v="2"/>
    <x v="5"/>
    <x v="1"/>
    <d v="2022-12-05T00:00:00"/>
    <x v="50"/>
    <n v="1066"/>
    <s v="kilowatt_hour_(kwh)"/>
    <n v="159.89920050399749"/>
    <s v="Dcycle Andina SASD - Bodega 1electricity4490044930"/>
    <n v="1066"/>
    <n v="78.307830783078302"/>
  </r>
  <r>
    <x v="2"/>
    <x v="6"/>
    <x v="1"/>
    <d v="2022-12-05T00:00:00"/>
    <x v="50"/>
    <n v="360"/>
    <s v="kilowatt_hour_(kwh)"/>
    <n v="53.999730001349995"/>
    <s v="Dcycle Andina SASD - Bodega 2 (almacén)electricity4490044930"/>
    <n v="360"/>
    <n v="59.249703751481249"/>
  </r>
  <r>
    <x v="2"/>
    <x v="5"/>
    <x v="0"/>
    <d v="2023-01-01T00:00:00"/>
    <x v="20"/>
    <n v="9"/>
    <s v="cubic_metre_(m3)"/>
    <n v="2.7002700270027002"/>
    <s v="Dcycle Andina SASD - Bodega 1water4492744957"/>
    <n v="9"/>
    <n v="3.0003000300030003"/>
  </r>
  <r>
    <x v="2"/>
    <x v="6"/>
    <x v="0"/>
    <d v="2023-01-01T00:00:00"/>
    <x v="20"/>
    <n v="7"/>
    <s v="cubic_metre_(m3)"/>
    <n v="2.1002100210021002"/>
    <s v="Dcycle Andina SASD - Bodega 2 (almacén)water4492744957"/>
    <n v="7"/>
    <n v="212.998935005325"/>
  </r>
  <r>
    <x v="2"/>
    <x v="6"/>
    <x v="3"/>
    <d v="2023-01-01T00:00:00"/>
    <x v="20"/>
    <n v="42"/>
    <s v="Kilogram_(kg)"/>
    <n v="1.68"/>
    <s v="Dcycle Andina SASD - Bodega 2 (almacén)waste4492744957"/>
    <n v="42"/>
    <n v="1.6"/>
  </r>
  <r>
    <x v="2"/>
    <x v="6"/>
    <x v="3"/>
    <d v="2023-01-01T00:00:00"/>
    <x v="20"/>
    <n v="208"/>
    <s v="Kilogram_(kg)"/>
    <n v="8.32"/>
    <s v="Dcycle Andina SASD - Bodega 2 (almacén)waste4492744957"/>
    <n v="208"/>
    <n v="1.5001500150015001"/>
  </r>
  <r>
    <x v="2"/>
    <x v="6"/>
    <x v="3"/>
    <d v="2023-01-01T00:00:00"/>
    <x v="20"/>
    <n v="335"/>
    <s v="Kilogram_(kg)"/>
    <n v="13.4"/>
    <s v="Dcycle Andina SASD - Bodega 2 (almacén)waste4492744957"/>
    <n v="335"/>
    <n v="0.44"/>
  </r>
  <r>
    <x v="2"/>
    <x v="5"/>
    <x v="1"/>
    <d v="2023-01-05T00:00:00"/>
    <x v="51"/>
    <n v="1195"/>
    <s v="kilowatt_hour_(kwh)"/>
    <n v="179.24910375448124"/>
    <s v="Dcycle Andina SASD - Bodega 1electricity4493144959"/>
    <n v="1195"/>
    <n v="0.04"/>
  </r>
  <r>
    <x v="2"/>
    <x v="6"/>
    <x v="1"/>
    <d v="2023-01-05T00:00:00"/>
    <x v="51"/>
    <n v="340"/>
    <s v="kilowatt_hour_(kwh)"/>
    <n v="50.999745001274995"/>
    <s v="Dcycle Andina SASD - Bodega 2 (almacén)electricity4493144959"/>
    <n v="340"/>
    <n v="2.7002700270027002"/>
  </r>
  <r>
    <x v="2"/>
    <x v="6"/>
    <x v="3"/>
    <d v="2023-02-01T00:00:00"/>
    <x v="52"/>
    <n v="280"/>
    <s v="Kilogram_(kg)"/>
    <n v="11.2"/>
    <s v="Dcycle Andina SASD - Bodega 2 (almacén)waste4495844983"/>
    <n v="280"/>
    <n v="0.21199999999999999"/>
  </r>
  <r>
    <x v="2"/>
    <x v="5"/>
    <x v="0"/>
    <d v="2023-02-01T00:00:00"/>
    <x v="23"/>
    <n v="10"/>
    <s v="cubic_metre_(m3)"/>
    <n v="3.0003000300030003"/>
    <s v="Dcycle Andina SASD - Bodega 1water4495844985"/>
    <n v="10"/>
    <n v="1.5001500150015001"/>
  </r>
  <r>
    <x v="2"/>
    <x v="6"/>
    <x v="0"/>
    <d v="2023-02-01T00:00:00"/>
    <x v="23"/>
    <n v="5"/>
    <s v="cubic_metre_(m3)"/>
    <n v="1.5001500150015001"/>
    <s v="Dcycle Andina SASD - Bodega 2 (almacén)water4495844985"/>
    <n v="5"/>
    <n v="50.999745001274995"/>
  </r>
  <r>
    <x v="2"/>
    <x v="6"/>
    <x v="3"/>
    <d v="2023-02-01T00:00:00"/>
    <x v="23"/>
    <n v="15"/>
    <s v="Kilogram_(kg)"/>
    <n v="0.6"/>
    <s v="Dcycle Andina SASD - Bodega 2 (almacén)waste4495844985"/>
    <n v="15"/>
    <n v="3.9003900390039004"/>
  </r>
  <r>
    <x v="2"/>
    <x v="6"/>
    <x v="3"/>
    <d v="2023-02-01T00:00:00"/>
    <x v="23"/>
    <n v="60"/>
    <s v="Kilogram_(kg)"/>
    <n v="2.4"/>
    <s v="Dcycle Andina SASD - Bodega 2 (almacén)waste4495844985"/>
    <n v="60"/>
    <n v="25.8"/>
  </r>
  <r>
    <x v="2"/>
    <x v="5"/>
    <x v="1"/>
    <d v="2023-02-03T00:00:00"/>
    <x v="53"/>
    <n v="1511"/>
    <s v="kilowatt_hour_(kwh)"/>
    <n v="226.64886675566623"/>
    <s v="Dcycle Andina SASD - Bodega 1electricity4496044989"/>
    <n v="1511"/>
    <n v="59.84"/>
  </r>
  <r>
    <x v="2"/>
    <x v="6"/>
    <x v="1"/>
    <d v="2023-02-03T00:00:00"/>
    <x v="53"/>
    <n v="364"/>
    <s v="kilowatt_hour_(kwh)"/>
    <n v="54.599727001364997"/>
    <s v="Dcycle Andina SASD - Bodega 2 (almacén)electricity4496044989"/>
    <n v="364"/>
    <n v="1.2001200120012001"/>
  </r>
  <r>
    <x v="2"/>
    <x v="5"/>
    <x v="0"/>
    <d v="2023-03-01T00:00:00"/>
    <x v="26"/>
    <n v="11"/>
    <s v="cubic_metre_(m3)"/>
    <n v="3.3003300330033003"/>
    <s v="Dcycle Andina SASD - Bodega 1water4498645016"/>
    <n v="11"/>
    <n v="0.6"/>
  </r>
  <r>
    <x v="2"/>
    <x v="6"/>
    <x v="0"/>
    <d v="2023-03-01T00:00:00"/>
    <x v="26"/>
    <n v="5"/>
    <s v="cubic_metre_(m3)"/>
    <n v="1.5001500150015001"/>
    <s v="Dcycle Andina SASD - Bodega 2 (almacén)water4498645016"/>
    <n v="5"/>
    <n v="3.9003900390039004"/>
  </r>
  <r>
    <x v="2"/>
    <x v="6"/>
    <x v="3"/>
    <d v="2023-03-01T00:00:00"/>
    <x v="26"/>
    <n v="170"/>
    <s v="Kilogram_(kg)"/>
    <n v="6.8"/>
    <s v="Dcycle Andina SASD - Bodega 2 (almacén)waste4498645016"/>
    <n v="170"/>
    <n v="257.54871225643871"/>
  </r>
  <r>
    <x v="2"/>
    <x v="6"/>
    <x v="3"/>
    <d v="2023-03-01T00:00:00"/>
    <x v="26"/>
    <n v="812"/>
    <s v="Kilogram_(kg)"/>
    <n v="32.479999999999997"/>
    <s v="Dcycle Andina SASD - Bodega 2 (almacén)waste4498645016"/>
    <n v="812"/>
    <n v="47.399763001184994"/>
  </r>
  <r>
    <x v="2"/>
    <x v="5"/>
    <x v="1"/>
    <d v="2023-03-05T00:00:00"/>
    <x v="54"/>
    <n v="1352"/>
    <s v="kilowatt_hour_(kwh)"/>
    <n v="202.79898600506999"/>
    <s v="Dcycle Andina SASD - Bodega 1electricity4499045019"/>
    <n v="1352"/>
    <n v="145.32"/>
  </r>
  <r>
    <x v="2"/>
    <x v="6"/>
    <x v="1"/>
    <d v="2023-03-05T00:00:00"/>
    <x v="54"/>
    <n v="395"/>
    <s v="kilowatt_hour_(kwh)"/>
    <n v="59.249703751481249"/>
    <s v="Dcycle Andina SASD - Bodega 2 (almacén)electricity4499045019"/>
    <n v="395"/>
    <n v="219.29890350548249"/>
  </r>
  <r>
    <x v="2"/>
    <x v="5"/>
    <x v="0"/>
    <d v="2023-04-01T00:00:00"/>
    <x v="29"/>
    <n v="9"/>
    <s v="cubic_metre_(m3)"/>
    <n v="2.7002700270027002"/>
    <s v="Dcycle Andina SASD - Bodega 1water4501745046"/>
    <n v="9"/>
    <n v="2.4"/>
  </r>
  <r>
    <x v="2"/>
    <x v="6"/>
    <x v="0"/>
    <d v="2023-04-01T00:00:00"/>
    <x v="29"/>
    <n v="4"/>
    <s v="cubic_metre_(m3)"/>
    <n v="1.2001200120012001"/>
    <s v="Dcycle Andina SASD - Bodega 2 (almacén)water4501745046"/>
    <n v="4"/>
    <n v="1.5001500150015001"/>
  </r>
  <r>
    <x v="2"/>
    <x v="5"/>
    <x v="1"/>
    <d v="2023-04-04T00:00:00"/>
    <x v="55"/>
    <n v="1462"/>
    <s v="kilowatt_hour_(kwh)"/>
    <n v="219.29890350548249"/>
    <s v="Dcycle Andina SASD - Bodega 1electricity4502045049"/>
    <n v="1462"/>
    <n v="704"/>
  </r>
  <r>
    <x v="2"/>
    <x v="6"/>
    <x v="1"/>
    <d v="2023-04-04T00:00:00"/>
    <x v="55"/>
    <n v="364"/>
    <s v="kilowatt_hour_(kwh)"/>
    <n v="54.599727001364997"/>
    <s v="Dcycle Andina SASD - Bodega 2 (almacén)electricity4502045049"/>
    <n v="364"/>
    <n v="54.599727001364997"/>
  </r>
  <r>
    <x v="2"/>
    <x v="5"/>
    <x v="0"/>
    <d v="2023-05-01T00:00:00"/>
    <x v="31"/>
    <n v="20"/>
    <s v="cubic_metre_(m3)"/>
    <n v="6.0006000600060005"/>
    <s v="Dcycle Andina SASD - Bodega 1water4504745077"/>
    <n v="20"/>
    <n v="226.64886675566623"/>
  </r>
  <r>
    <x v="2"/>
    <x v="6"/>
    <x v="0"/>
    <d v="2023-05-01T00:00:00"/>
    <x v="31"/>
    <n v="6"/>
    <s v="cubic_metre_(m3)"/>
    <n v="1.8001800180018002"/>
    <s v="Dcycle Andina SASD - Bodega 2 (almacén)water4504745077"/>
    <n v="6"/>
    <n v="1.88"/>
  </r>
  <r>
    <x v="2"/>
    <x v="6"/>
    <x v="3"/>
    <d v="2023-05-01T00:00:00"/>
    <x v="31"/>
    <n v="63"/>
    <s v="Kilogram_(kg)"/>
    <n v="2.52"/>
    <s v="Dcycle Andina SASD - Bodega 2 (almacén)waste4504745077"/>
    <n v="63"/>
    <n v="4.2004200420042004"/>
  </r>
  <r>
    <x v="2"/>
    <x v="6"/>
    <x v="3"/>
    <d v="2023-05-01T00:00:00"/>
    <x v="31"/>
    <n v="365"/>
    <s v="Kilogram_(kg)"/>
    <n v="14.6"/>
    <s v="Dcycle Andina SASD - Bodega 2 (almacén)waste4504745077"/>
    <n v="365"/>
    <n v="3.08"/>
  </r>
  <r>
    <x v="2"/>
    <x v="5"/>
    <x v="1"/>
    <d v="2023-05-04T00:00:00"/>
    <x v="56"/>
    <n v="1602"/>
    <s v="kilowatt_hour_(kwh)"/>
    <n v="240.29879850600747"/>
    <s v="Dcycle Andina SASD - Bodega 1electricity4505045080"/>
    <n v="1602"/>
    <n v="1.5001500150015001"/>
  </r>
  <r>
    <x v="2"/>
    <x v="6"/>
    <x v="1"/>
    <d v="2023-05-04T00:00:00"/>
    <x v="56"/>
    <n v="395"/>
    <s v="kilowatt_hour_(kwh)"/>
    <n v="59.249703751481249"/>
    <s v="Dcycle Andina SASD - Bodega 2 (almacén)electricity4505045080"/>
    <n v="395"/>
    <n v="6.0006000600060005"/>
  </r>
  <r>
    <x v="2"/>
    <x v="5"/>
    <x v="0"/>
    <d v="2023-06-01T00:00:00"/>
    <x v="33"/>
    <n v="10"/>
    <s v="cubic_metre_(m3)"/>
    <n v="3.0003000300030003"/>
    <s v="Dcycle Andina SASD - Bodega 1water4507845107"/>
    <n v="10"/>
    <n v="54.599727001364997"/>
  </r>
  <r>
    <x v="2"/>
    <x v="6"/>
    <x v="0"/>
    <d v="2023-06-01T00:00:00"/>
    <x v="33"/>
    <n v="22"/>
    <s v="cubic_metre_(m3)"/>
    <n v="6.6006600660066006"/>
    <s v="Dcycle Andina SASD - Bodega 2 (almacén)water4507845107"/>
    <n v="22"/>
    <n v="11.08"/>
  </r>
  <r>
    <x v="2"/>
    <x v="6"/>
    <x v="3"/>
    <d v="2023-06-01T00:00:00"/>
    <x v="33"/>
    <n v="42"/>
    <s v="Kilogram_(kg)"/>
    <n v="1.68"/>
    <s v="Dcycle Andina SASD - Bodega 2 (almacén)waste4507845107"/>
    <n v="42"/>
    <n v="1.76"/>
  </r>
  <r>
    <x v="2"/>
    <x v="6"/>
    <x v="3"/>
    <d v="2023-06-01T00:00:00"/>
    <x v="33"/>
    <n v="352"/>
    <s v="Kilogram_(kg)"/>
    <n v="14.08"/>
    <s v="Dcycle Andina SASD - Bodega 2 (almacén)waste4507845107"/>
    <n v="352"/>
    <n v="0.56000000000000005"/>
  </r>
  <r>
    <x v="2"/>
    <x v="5"/>
    <x v="1"/>
    <d v="2023-06-04T00:00:00"/>
    <x v="47"/>
    <n v="1420"/>
    <s v="kilowatt_hour_(kwh)"/>
    <n v="212.998935005325"/>
    <s v="Dcycle Andina SASD - Bodega 1electricity4508145111"/>
    <n v="1420"/>
    <n v="1.2001200120012001"/>
  </r>
  <r>
    <x v="2"/>
    <x v="6"/>
    <x v="1"/>
    <d v="2023-06-04T00:00:00"/>
    <x v="47"/>
    <n v="340"/>
    <s v="kilowatt_hour_(kwh)"/>
    <n v="50.999745001274995"/>
    <s v="Dcycle Andina SASD - Bodega 2 (almacén)electricity4508145111"/>
    <n v="340"/>
    <n v="1.8001800180018002"/>
  </r>
  <r>
    <x v="2"/>
    <x v="5"/>
    <x v="0"/>
    <d v="2023-07-01T00:00:00"/>
    <x v="35"/>
    <n v="13"/>
    <s v="cubic_metre_(m3)"/>
    <n v="3.9003900390039004"/>
    <s v="Dcycle Andina SASD - Bodega 1water4510845138"/>
    <n v="13"/>
    <n v="3.3003300330033003"/>
  </r>
  <r>
    <x v="2"/>
    <x v="6"/>
    <x v="0"/>
    <d v="2023-07-01T00:00:00"/>
    <x v="35"/>
    <n v="5"/>
    <s v="cubic_metre_(m3)"/>
    <n v="1.5001500150015001"/>
    <s v="Dcycle Andina SASD - Bodega 2 (almacén)water4510845138"/>
    <n v="5"/>
    <n v="269.69865150674246"/>
  </r>
  <r>
    <x v="2"/>
    <x v="6"/>
    <x v="3"/>
    <d v="2023-07-01T00:00:00"/>
    <x v="35"/>
    <n v="47"/>
    <s v="Kilogram_(kg)"/>
    <n v="1.88"/>
    <s v="Dcycle Andina SASD - Bodega 2 (almacén)waste4510845138"/>
    <n v="47"/>
    <n v="276.14861925690371"/>
  </r>
  <r>
    <x v="2"/>
    <x v="6"/>
    <x v="3"/>
    <d v="2023-07-01T00:00:00"/>
    <x v="35"/>
    <n v="277"/>
    <s v="Kilogram_(kg)"/>
    <n v="11.08"/>
    <s v="Dcycle Andina SASD - Bodega 2 (almacén)waste4510845138"/>
    <n v="277"/>
    <n v="0.14000000000000001"/>
  </r>
  <r>
    <x v="2"/>
    <x v="5"/>
    <x v="1"/>
    <d v="2023-07-05T00:00:00"/>
    <x v="57"/>
    <n v="1798"/>
    <s v="kilowatt_hour_(kwh)"/>
    <n v="269.69865150674246"/>
    <s v="Dcycle Andina SASD - Bodega 1electricity4511245142"/>
    <n v="1798"/>
    <n v="159.89920050399749"/>
  </r>
  <r>
    <x v="2"/>
    <x v="6"/>
    <x v="1"/>
    <d v="2023-07-05T00:00:00"/>
    <x v="57"/>
    <n v="467"/>
    <s v="kilowatt_hour_(kwh)"/>
    <n v="70.049649751751247"/>
    <s v="Dcycle Andina SASD - Bodega 2 (almacén)electricity4511245142"/>
    <n v="467"/>
    <n v="2.52"/>
  </r>
  <r>
    <x v="2"/>
    <x v="5"/>
    <x v="0"/>
    <d v="2023-07-14T00:00:00"/>
    <x v="58"/>
    <n v="7.5708200000000003E-2"/>
    <s v="cubic_metre_(m3)"/>
    <n v="2.2714731473147315E-2"/>
    <s v="Dcycle Andina SASD - Bodega 1water4512145121"/>
    <n v="7.5708200000000003E-2"/>
    <n v="13.4"/>
  </r>
  <r>
    <x v="2"/>
    <x v="5"/>
    <x v="0"/>
    <d v="2023-08-01T00:00:00"/>
    <x v="37"/>
    <n v="27"/>
    <s v="cubic_metre_(m3)"/>
    <n v="8.1008100810081007"/>
    <s v="Dcycle Andina SASD - Bodega 1water4513945169"/>
    <n v="27"/>
    <n v="1.5001500150015001"/>
  </r>
  <r>
    <x v="2"/>
    <x v="6"/>
    <x v="0"/>
    <d v="2023-08-01T00:00:00"/>
    <x v="37"/>
    <n v="5"/>
    <s v="cubic_metre_(m3)"/>
    <n v="1.5001500150015001"/>
    <s v="Dcycle Andina SASD - Bodega 2 (almacén)water4513945169"/>
    <n v="5"/>
    <n v="70.049649751751247"/>
  </r>
  <r>
    <x v="3"/>
    <x v="7"/>
    <x v="1"/>
    <d v="2021-09-22T00:00:00"/>
    <x v="59"/>
    <n v="9109"/>
    <s v="kilowatt_hour_(kwh)"/>
    <n v="1366.3431682841588"/>
    <s v="Dcycle Deutschland  GmbHDcycle Deutschland GmbHelectricity4446144815"/>
    <n v="9109"/>
    <n v="1366.3431682841588"/>
  </r>
  <r>
    <x v="3"/>
    <x v="7"/>
    <x v="1"/>
    <d v="2022-09-12T00:00:00"/>
    <x v="40"/>
    <n v="8905"/>
    <s v="kilowatt_hour_(kwh)"/>
    <n v="1335.7433212833937"/>
    <s v="Dcycle Deutschland  GmbHDcycle Deutschland GmbHelectricity4481645199"/>
    <n v="8905"/>
    <n v="1335.7433212833937"/>
  </r>
  <r>
    <x v="3"/>
    <x v="7"/>
    <x v="2"/>
    <d v="2021-09-22T00:00:00"/>
    <x v="59"/>
    <n v="1260.4454210754391"/>
    <s v="therm_(thm)"/>
    <n v="1512.5950090908905"/>
    <s v="Dcycle Deutschland  GmbHDcycle Deutschland GmbHheat4446144815"/>
    <n v="1260.4454210754391"/>
    <n v="1512.5950090908905"/>
  </r>
  <r>
    <x v="3"/>
    <x v="7"/>
    <x v="2"/>
    <d v="2022-09-12T00:00:00"/>
    <x v="40"/>
    <n v="1037.7007619314093"/>
    <s v="therm_(thm)"/>
    <n v="1245.290725946729"/>
    <s v="Dcycle Deutschland  GmbHDcycle Deutschland GmbHheat4481645199"/>
    <n v="1037.7007619314093"/>
    <n v="1245.290725946729"/>
  </r>
  <r>
    <x v="3"/>
    <x v="7"/>
    <x v="0"/>
    <d v="2022-01-01T00:00:00"/>
    <x v="1"/>
    <n v="43"/>
    <s v="cubic_metre_(m3)"/>
    <n v="12.901290129012901"/>
    <s v="Dcycle Deutschland  GmbHDcycle Deutschland GmbHwater4456244926"/>
    <n v="43"/>
    <n v="12.901290129012901"/>
  </r>
  <r>
    <x v="3"/>
    <x v="7"/>
    <x v="0"/>
    <d v="2023-01-01T00:00:00"/>
    <x v="21"/>
    <n v="29"/>
    <s v="cubic_metre_(m3)"/>
    <n v="8.7008700870087008"/>
    <s v="Dcycle Deutschland  GmbHDcycle Deutschland GmbHwater4492745291"/>
    <n v="29"/>
    <n v="8.7008700870087008"/>
  </r>
  <r>
    <x v="4"/>
    <x v="8"/>
    <x v="1"/>
    <d v="2022-12-27T00:00:00"/>
    <x v="60"/>
    <n v="2780"/>
    <s v="kilowatt_hour_(kwh)"/>
    <n v="416.99791501042495"/>
    <s v="Dcycle France SARLDcycle France SARLelectricity4492244952"/>
    <n v="2780"/>
    <n v="416.99791501042495"/>
  </r>
  <r>
    <x v="4"/>
    <x v="8"/>
    <x v="1"/>
    <d v="2023-01-27T00:00:00"/>
    <x v="52"/>
    <n v="2942"/>
    <s v="kilowatt_hour_(kwh)"/>
    <n v="441.29779351103247"/>
    <s v="Dcycle France SARLDcycle France SARLelectricity4495344983"/>
    <n v="2942"/>
    <n v="441.29779351103247"/>
  </r>
  <r>
    <x v="4"/>
    <x v="8"/>
    <x v="1"/>
    <d v="2023-02-27T00:00:00"/>
    <x v="61"/>
    <n v="2316"/>
    <s v="kilowatt_hour_(kwh)"/>
    <n v="347.39826300868498"/>
    <s v="Dcycle France SARLDcycle France SARLelectricity4498445011"/>
    <n v="2316"/>
    <n v="347.39826300868498"/>
  </r>
  <r>
    <x v="4"/>
    <x v="8"/>
    <x v="1"/>
    <d v="2023-03-27T00:00:00"/>
    <x v="62"/>
    <n v="7938.47"/>
    <s v="kilowatt_hour_(kwh)"/>
    <n v="1190.7645461772693"/>
    <s v="Dcycle France SARLDcycle France SARLelectricity4501245042"/>
    <n v="7938.47"/>
    <n v="1190.7645461772693"/>
  </r>
  <r>
    <x v="4"/>
    <x v="8"/>
    <x v="1"/>
    <d v="2023-04-27T00:00:00"/>
    <x v="63"/>
    <n v="826"/>
    <s v="kilowatt_hour_(kwh)"/>
    <n v="123.89938050309749"/>
    <s v="Dcycle France SARLDcycle France SARLelectricity4504345072"/>
    <n v="826"/>
    <n v="123.89938050309749"/>
  </r>
  <r>
    <x v="4"/>
    <x v="8"/>
    <x v="1"/>
    <d v="2023-05-27T00:00:00"/>
    <x v="64"/>
    <n v="328"/>
    <s v="kilowatt_hour_(kwh)"/>
    <n v="49.199754001229998"/>
    <s v="Dcycle France SARLDcycle France SARLelectricity4507345103"/>
    <n v="328"/>
    <n v="49.199754001229998"/>
  </r>
  <r>
    <x v="4"/>
    <x v="8"/>
    <x v="1"/>
    <d v="2023-06-27T00:00:00"/>
    <x v="65"/>
    <n v="281"/>
    <s v="kilowatt_hour_(kwh)"/>
    <n v="42.149789251053747"/>
    <s v="Dcycle France SARLDcycle France SARLelectricity4510445133"/>
    <n v="281"/>
    <n v="42.149789251053747"/>
  </r>
  <r>
    <x v="4"/>
    <x v="8"/>
    <x v="1"/>
    <d v="2023-07-27T00:00:00"/>
    <x v="66"/>
    <n v="278"/>
    <s v="kilowatt_hour_(kwh)"/>
    <n v="41.699791501042498"/>
    <s v="Dcycle France SARLDcycle France SARLelectricity4513445164"/>
    <n v="278"/>
    <n v="41.699791501042498"/>
  </r>
  <r>
    <x v="4"/>
    <x v="8"/>
    <x v="1"/>
    <d v="2023-08-27T00:00:00"/>
    <x v="67"/>
    <n v="435"/>
    <s v="kilowatt_hour_(kwh)"/>
    <n v="65.249673751631249"/>
    <s v="Dcycle France SARLDcycle France SARLelectricity4516545195"/>
    <n v="435"/>
    <n v="65.249673751631249"/>
  </r>
  <r>
    <x v="4"/>
    <x v="8"/>
    <x v="1"/>
    <d v="2023-09-27T00:00:00"/>
    <x v="36"/>
    <n v="818"/>
    <s v="kilowatt_hour_(kwh)"/>
    <n v="122.69938650306749"/>
    <s v="Dcycle France SARLDcycle France SARLelectricity4519645226"/>
    <n v="818"/>
    <n v="122.69938650306749"/>
  </r>
  <r>
    <x v="4"/>
    <x v="8"/>
    <x v="1"/>
    <d v="2023-10-27T00:00:00"/>
    <x v="68"/>
    <n v="1460"/>
    <s v="kilowatt_hour_(kwh)"/>
    <n v="218.998905005475"/>
    <s v="Dcycle France SARLDcycle France SARLelectricity4522645257"/>
    <n v="1460"/>
    <n v="218.998905005475"/>
  </r>
  <r>
    <x v="4"/>
    <x v="8"/>
    <x v="1"/>
    <d v="2023-11-27T00:00:00"/>
    <x v="69"/>
    <n v="2209"/>
    <s v="kilowatt_hour_(kwh)"/>
    <n v="331.34834325828371"/>
    <s v="Dcycle France SARLDcycle France SARLelectricity4525745287"/>
    <n v="2209"/>
    <n v="331.34834325828371"/>
  </r>
  <r>
    <x v="5"/>
    <x v="9"/>
    <x v="1"/>
    <d v="2022-12-20T00:00:00"/>
    <x v="70"/>
    <n v="514"/>
    <s v="kilowatt_hour_(kwh)"/>
    <n v="77.099614501927491"/>
    <s v="Dcycle USA IncDcycle USA Incelectricity4491544945"/>
    <n v="0"/>
    <n v="0"/>
  </r>
  <r>
    <x v="5"/>
    <x v="9"/>
    <x v="1"/>
    <d v="2022-12-20T00:00:00"/>
    <x v="70"/>
    <n v="1179"/>
    <s v="kilowatt_hour_(kwh)"/>
    <n v="176.84911575442123"/>
    <s v="Dcycle USA IncDcycle USA Incelectricity4491544945"/>
    <n v="1179"/>
    <n v="176.84911575442123"/>
  </r>
  <r>
    <x v="5"/>
    <x v="9"/>
    <x v="1"/>
    <d v="2023-01-20T00:00:00"/>
    <x v="71"/>
    <n v="481"/>
    <s v="kilowatt_hour_(kwh)"/>
    <n v="72.149639251803748"/>
    <s v="Dcycle USA IncDcycle USA Incelectricity4494644974"/>
    <n v="0"/>
    <n v="0"/>
  </r>
  <r>
    <x v="5"/>
    <x v="9"/>
    <x v="1"/>
    <d v="2023-01-20T00:00:00"/>
    <x v="71"/>
    <n v="907"/>
    <s v="kilowatt_hour_(kwh)"/>
    <n v="136.04931975340125"/>
    <s v="Dcycle USA IncDcycle USA Incelectricity4494644974"/>
    <n v="907"/>
    <n v="136.04931975340125"/>
  </r>
  <r>
    <x v="5"/>
    <x v="9"/>
    <x v="1"/>
    <d v="2023-02-18T00:00:00"/>
    <x v="72"/>
    <n v="631"/>
    <s v="kilowatt_hour_(kwh)"/>
    <n v="94.649526752366242"/>
    <s v="Dcycle USA IncDcycle USA Incelectricity4497545006"/>
    <n v="0"/>
    <n v="0"/>
  </r>
  <r>
    <x v="5"/>
    <x v="9"/>
    <x v="1"/>
    <d v="2023-02-18T00:00:00"/>
    <x v="72"/>
    <n v="735"/>
    <s v="kilowatt_hour_(kwh)"/>
    <n v="110.24944875275624"/>
    <s v="Dcycle USA IncDcycle USA Incelectricity4497545006"/>
    <n v="735"/>
    <n v="110.24944875275624"/>
  </r>
  <r>
    <x v="5"/>
    <x v="9"/>
    <x v="1"/>
    <d v="2023-03-22T00:00:00"/>
    <x v="73"/>
    <n v="832"/>
    <s v="kilowatt_hour_(kwh)"/>
    <n v="124.79937600311999"/>
    <s v="Dcycle USA IncDcycle USA Incelectricity4500745035"/>
    <n v="0"/>
    <n v="0"/>
  </r>
  <r>
    <x v="5"/>
    <x v="9"/>
    <x v="1"/>
    <d v="2023-03-22T00:00:00"/>
    <x v="73"/>
    <n v="1241"/>
    <s v="kilowatt_hour_(kwh)"/>
    <n v="186.14906925465374"/>
    <s v="Dcycle USA IncDcycle USA Incelectricity4500745035"/>
    <n v="1241"/>
    <n v="186.14906925465374"/>
  </r>
  <r>
    <x v="5"/>
    <x v="9"/>
    <x v="1"/>
    <d v="2023-04-20T00:00:00"/>
    <x v="74"/>
    <n v="1254"/>
    <s v="kilowatt_hour_(kwh)"/>
    <n v="188.0990595047025"/>
    <s v="Dcycle USA IncDcycle USA Incelectricity4503645064"/>
    <n v="0"/>
    <n v="0"/>
  </r>
  <r>
    <x v="5"/>
    <x v="9"/>
    <x v="1"/>
    <d v="2023-04-20T00:00:00"/>
    <x v="74"/>
    <n v="1324"/>
    <s v="kilowatt_hour_(kwh)"/>
    <n v="198.59900700496499"/>
    <s v="Dcycle USA IncDcycle USA Incelectricity4503645064"/>
    <n v="1324"/>
    <n v="198.59900700496499"/>
  </r>
  <r>
    <x v="5"/>
    <x v="9"/>
    <x v="1"/>
    <d v="2023-05-19T00:00:00"/>
    <x v="75"/>
    <n v="1207"/>
    <s v="kilowatt_hour_(kwh)"/>
    <n v="181.04909475452624"/>
    <s v="Dcycle USA IncDcycle USA Incelectricity4506545097"/>
    <n v="0"/>
    <n v="0"/>
  </r>
  <r>
    <x v="5"/>
    <x v="9"/>
    <x v="1"/>
    <d v="2023-05-19T00:00:00"/>
    <x v="75"/>
    <n v="2149"/>
    <s v="kilowatt_hour_(kwh)"/>
    <n v="322.34838825805872"/>
    <s v="Dcycle USA IncDcycle USA Incelectricity4506545097"/>
    <n v="2149"/>
    <n v="322.34838825805872"/>
  </r>
  <r>
    <x v="5"/>
    <x v="9"/>
    <x v="1"/>
    <d v="2023-06-21T00:00:00"/>
    <x v="76"/>
    <n v="1925"/>
    <s v="kilowatt_hour_(kwh)"/>
    <n v="288.74855625721875"/>
    <s v="Dcycle USA IncDcycle USA Incelectricity4509845126"/>
    <n v="0"/>
    <n v="0"/>
  </r>
  <r>
    <x v="5"/>
    <x v="9"/>
    <x v="1"/>
    <d v="2023-06-21T00:00:00"/>
    <x v="76"/>
    <n v="2107"/>
    <s v="kilowatt_hour_(kwh)"/>
    <n v="316.04841975790123"/>
    <s v="Dcycle USA IncDcycle USA Incelectricity4509845126"/>
    <n v="2107"/>
    <n v="316.04841975790123"/>
  </r>
  <r>
    <x v="5"/>
    <x v="9"/>
    <x v="1"/>
    <d v="2023-07-20T00:00:00"/>
    <x v="77"/>
    <n v="1905"/>
    <s v="kilowatt_hour_(kwh)"/>
    <n v="285.74857125714374"/>
    <s v="Dcycle USA IncDcycle USA Incelectricity4512745156"/>
    <n v="0"/>
    <n v="0"/>
  </r>
  <r>
    <x v="5"/>
    <x v="9"/>
    <x v="1"/>
    <d v="2023-07-20T00:00:00"/>
    <x v="77"/>
    <n v="2665"/>
    <s v="kilowatt_hour_(kwh)"/>
    <n v="399.74800125999371"/>
    <s v="Dcycle USA IncDcycle USA Incelectricity4512745156"/>
    <n v="2665"/>
    <n v="399.74800125999371"/>
  </r>
  <r>
    <x v="5"/>
    <x v="9"/>
    <x v="1"/>
    <d v="2023-08-19T00:00:00"/>
    <x v="78"/>
    <n v="1241"/>
    <s v="kilowatt_hour_(kwh)"/>
    <n v="186.14906925465374"/>
    <s v="Dcycle USA IncDcycle USA Incelectricity4515745188"/>
    <n v="0"/>
    <n v="0"/>
  </r>
  <r>
    <x v="5"/>
    <x v="9"/>
    <x v="1"/>
    <d v="2023-08-19T00:00:00"/>
    <x v="78"/>
    <n v="1707"/>
    <s v="kilowatt_hour_(kwh)"/>
    <n v="256.04871975640123"/>
    <s v="Dcycle USA IncDcycle USA Incelectricity4515745188"/>
    <n v="1707"/>
    <n v="256.04871975640123"/>
  </r>
  <r>
    <x v="5"/>
    <x v="9"/>
    <x v="1"/>
    <d v="2023-09-20T00:00:00"/>
    <x v="79"/>
    <n v="401"/>
    <s v="kilowatt_hour_(kwh)"/>
    <n v="60.149699251503748"/>
    <s v="Dcycle USA IncDcycle USA Incelectricity4518945218"/>
    <n v="0"/>
    <n v="0"/>
  </r>
  <r>
    <x v="5"/>
    <x v="9"/>
    <x v="1"/>
    <d v="2023-09-20T00:00:00"/>
    <x v="79"/>
    <n v="699"/>
    <s v="kilowatt_hour_(kwh)"/>
    <n v="104.84947575262125"/>
    <s v="Dcycle USA IncDcycle USA Incelectricity4518945218"/>
    <n v="699"/>
    <n v="104.84947575262125"/>
  </r>
  <r>
    <x v="5"/>
    <x v="9"/>
    <x v="1"/>
    <d v="2023-10-20T00:00:00"/>
    <x v="80"/>
    <n v="227.18"/>
    <s v="kilowatt_hour_(kwh)"/>
    <n v="34.076829615851921"/>
    <s v="Dcycle USA IncDcycle USA Incelectricity4521945247"/>
    <n v="0"/>
    <n v="0"/>
  </r>
  <r>
    <x v="5"/>
    <x v="9"/>
    <x v="1"/>
    <d v="2023-10-20T00:00:00"/>
    <x v="80"/>
    <n v="516"/>
    <s v="kilowatt_hour_(kwh)"/>
    <n v="77.399613001934995"/>
    <s v="Dcycle USA IncDcycle USA Incelectricity4521945247"/>
    <n v="516"/>
    <n v="77.399613001934995"/>
  </r>
  <r>
    <x v="5"/>
    <x v="9"/>
    <x v="1"/>
    <d v="2023-11-18T00:00:00"/>
    <x v="81"/>
    <n v="280"/>
    <s v="kilowatt_hour_(kwh)"/>
    <n v="41.999790001049995"/>
    <s v="Dcycle USA IncDcycle USA Incelectricity4524845278"/>
    <n v="0"/>
    <n v="0"/>
  </r>
  <r>
    <x v="5"/>
    <x v="9"/>
    <x v="1"/>
    <d v="2023-11-18T00:00:00"/>
    <x v="81"/>
    <n v="543"/>
    <s v="kilowatt_hour_(kwh)"/>
    <n v="81.449592752036239"/>
    <s v="Dcycle USA IncDcycle USA Incelectricity4524845278"/>
    <n v="543"/>
    <n v="81.449592752036239"/>
  </r>
  <r>
    <x v="5"/>
    <x v="9"/>
    <x v="2"/>
    <d v="2022-12-05T00:00:00"/>
    <x v="82"/>
    <n v="138"/>
    <s v="therm_(thm)"/>
    <n v="165.60662426497058"/>
    <s v="Dcycle USA IncDcycle USA Incheat4490044931"/>
    <n v="0"/>
    <n v="0"/>
  </r>
  <r>
    <x v="5"/>
    <x v="9"/>
    <x v="2"/>
    <d v="2022-12-05T00:00:00"/>
    <x v="82"/>
    <n v="210"/>
    <s v="therm_(thm)"/>
    <n v="252.01008040321611"/>
    <s v="Dcycle USA IncDcycle USA Incheat4490044931"/>
    <n v="210"/>
    <n v="252.01008040321611"/>
  </r>
  <r>
    <x v="5"/>
    <x v="9"/>
    <x v="2"/>
    <d v="2023-01-05T00:00:00"/>
    <x v="83"/>
    <n v="53"/>
    <s v="therm_(thm)"/>
    <n v="63.602544101764067"/>
    <s v="Dcycle USA IncDcycle USA Incheat4493144960"/>
    <n v="0"/>
    <n v="0"/>
  </r>
  <r>
    <x v="5"/>
    <x v="9"/>
    <x v="2"/>
    <d v="2023-01-05T00:00:00"/>
    <x v="83"/>
    <n v="215"/>
    <s v="therm_(thm)"/>
    <n v="258.0103204128165"/>
    <s v="Dcycle USA IncDcycle USA Incheat4493144960"/>
    <n v="215"/>
    <n v="258.0103204128165"/>
  </r>
  <r>
    <x v="5"/>
    <x v="9"/>
    <x v="2"/>
    <d v="2023-02-03T00:00:00"/>
    <x v="84"/>
    <n v="29"/>
    <s v="therm_(thm)"/>
    <n v="34.801392055682228"/>
    <s v="Dcycle USA IncDcycle USA Incheat4496044988"/>
    <n v="0"/>
    <n v="0"/>
  </r>
  <r>
    <x v="5"/>
    <x v="9"/>
    <x v="2"/>
    <d v="2023-02-03T00:00:00"/>
    <x v="84"/>
    <n v="110"/>
    <s v="therm_(thm)"/>
    <n v="132.00528021120843"/>
    <s v="Dcycle USA IncDcycle USA Incheat4496044988"/>
    <n v="110"/>
    <n v="132.00528021120843"/>
  </r>
  <r>
    <x v="5"/>
    <x v="9"/>
    <x v="2"/>
    <d v="2023-03-03T00:00:00"/>
    <x v="85"/>
    <n v="61"/>
    <s v="therm_(thm)"/>
    <n v="73.202928117124685"/>
    <s v="Dcycle USA IncDcycle USA Incheat4498845021"/>
    <n v="0"/>
    <n v="0"/>
  </r>
  <r>
    <x v="5"/>
    <x v="9"/>
    <x v="2"/>
    <d v="2023-03-03T00:00:00"/>
    <x v="85"/>
    <n v="98"/>
    <s v="therm_(thm)"/>
    <n v="117.60470418816752"/>
    <s v="Dcycle USA IncDcycle USA Incheat4498845021"/>
    <n v="98"/>
    <n v="117.60470418816752"/>
  </r>
  <r>
    <x v="5"/>
    <x v="9"/>
    <x v="2"/>
    <d v="2023-04-05T00:00:00"/>
    <x v="86"/>
    <n v="1"/>
    <s v="therm_(thm)"/>
    <n v="1.2000480019200768"/>
    <s v="Dcycle USA IncDcycle USA Incheat4502145048"/>
    <n v="0"/>
    <n v="0"/>
  </r>
  <r>
    <x v="5"/>
    <x v="9"/>
    <x v="2"/>
    <d v="2023-04-05T00:00:00"/>
    <x v="86"/>
    <n v="3"/>
    <s v="therm_(thm)"/>
    <n v="3.6001440057602303"/>
    <s v="Dcycle USA IncDcycle USA Incheat4502145048"/>
    <n v="3"/>
    <n v="3.6001440057602303"/>
  </r>
  <r>
    <x v="5"/>
    <x v="9"/>
    <x v="2"/>
    <d v="2023-05-02T00:00:00"/>
    <x v="87"/>
    <n v="0"/>
    <s v="therm_(thm)"/>
    <n v="0"/>
    <s v="Dcycle USA IncDcycle USA Incheat4504845082"/>
    <n v="0"/>
    <n v="0"/>
  </r>
  <r>
    <x v="5"/>
    <x v="9"/>
    <x v="2"/>
    <d v="2023-06-05T00:00:00"/>
    <x v="88"/>
    <n v="0"/>
    <s v="therm_(thm)"/>
    <n v="0"/>
    <s v="Dcycle USA IncDcycle USA Incheat4508245113"/>
    <n v="0"/>
    <n v="0"/>
  </r>
  <r>
    <x v="5"/>
    <x v="9"/>
    <x v="2"/>
    <d v="2023-07-06T00:00:00"/>
    <x v="89"/>
    <n v="0"/>
    <s v="therm_(thm)"/>
    <n v="0"/>
    <s v="Dcycle USA IncDcycle USA Incheat4511345141"/>
    <n v="0"/>
    <n v="0"/>
  </r>
  <r>
    <x v="5"/>
    <x v="9"/>
    <x v="2"/>
    <d v="2023-08-03T00:00:00"/>
    <x v="90"/>
    <n v="0"/>
    <s v="therm_(thm)"/>
    <n v="0"/>
    <s v="Dcycle USA IncDcycle USA Incheat4514145174"/>
    <n v="0"/>
    <n v="0"/>
  </r>
  <r>
    <x v="5"/>
    <x v="9"/>
    <x v="2"/>
    <d v="2023-09-05T00:00:00"/>
    <x v="91"/>
    <n v="0"/>
    <s v="therm_(thm)"/>
    <n v="0"/>
    <s v="Dcycle USA IncDcycle USA Incheat4517445203"/>
    <n v="0"/>
    <n v="0"/>
  </r>
  <r>
    <x v="5"/>
    <x v="9"/>
    <x v="2"/>
    <d v="2023-09-05T00:00:00"/>
    <x v="92"/>
    <n v="0"/>
    <s v="therm_(thm)"/>
    <n v="0"/>
    <s v="Dcycle USA IncDcycle USA Incheat4517445204"/>
    <n v="0"/>
    <n v="0"/>
  </r>
  <r>
    <x v="5"/>
    <x v="9"/>
    <x v="2"/>
    <d v="2023-10-04T00:00:00"/>
    <x v="93"/>
    <n v="3"/>
    <s v="therm_(thm)"/>
    <n v="3.6001440057602303"/>
    <s v="Dcycle USA IncDcycle USA Incheat4520345232"/>
    <n v="3"/>
    <n v="3.6001440057602303"/>
  </r>
  <r>
    <x v="5"/>
    <x v="9"/>
    <x v="2"/>
    <d v="2023-10-05T00:00:00"/>
    <x v="93"/>
    <n v="33"/>
    <s v="therm_(thm)"/>
    <n v="39.60158406336253"/>
    <s v="Dcycle USA IncDcycle USA Incheat4520445232"/>
    <n v="33"/>
    <n v="39.60158406336253"/>
  </r>
  <r>
    <x v="5"/>
    <x v="9"/>
    <x v="2"/>
    <d v="2023-11-02T00:00:00"/>
    <x v="94"/>
    <n v="28"/>
    <s v="therm_(thm)"/>
    <n v="33.601344053762148"/>
    <s v="Dcycle USA IncDcycle USA Incheat4523245264"/>
    <n v="28"/>
    <n v="33.601344053762148"/>
  </r>
  <r>
    <x v="5"/>
    <x v="9"/>
    <x v="2"/>
    <d v="2023-11-02T00:00:00"/>
    <x v="95"/>
    <n v="185"/>
    <s v="therm_(thm)"/>
    <n v="222.00888035521419"/>
    <s v="Dcycle USA IncDcycle USA Incheat4523245265"/>
    <n v="185"/>
    <n v="222.00888035521419"/>
  </r>
  <r>
    <x v="6"/>
    <x v="10"/>
    <x v="1"/>
    <d v="2023-01-01T00:00:00"/>
    <x v="20"/>
    <n v="16234.4"/>
    <s v="kilowatt_hour_(kwh)"/>
    <n v="2435.1478242608787"/>
    <s v="Dcycle LtdDcycle Ltdelectricity4492744957"/>
    <n v="16234.4"/>
    <n v="2435.1478242608787"/>
  </r>
  <r>
    <x v="6"/>
    <x v="10"/>
    <x v="1"/>
    <d v="2023-02-01T00:00:00"/>
    <x v="23"/>
    <n v="14869.4"/>
    <s v="kilowatt_hour_(kwh)"/>
    <n v="2230.3988480057601"/>
    <s v="Dcycle LtdDcycle Ltdelectricity4495844985"/>
    <n v="14869.4"/>
    <n v="2230.3988480057601"/>
  </r>
  <r>
    <x v="6"/>
    <x v="10"/>
    <x v="1"/>
    <d v="2023-03-01T00:00:00"/>
    <x v="26"/>
    <n v="15430.3"/>
    <s v="kilowatt_hour_(kwh)"/>
    <n v="2314.5334273328635"/>
    <s v="Dcycle LtdDcycle Ltdelectricity4498645016"/>
    <n v="15430.3"/>
    <n v="2314.5334273328635"/>
  </r>
  <r>
    <x v="6"/>
    <x v="10"/>
    <x v="1"/>
    <d v="2023-04-01T00:00:00"/>
    <x v="29"/>
    <n v="11215.6"/>
    <s v="kilowatt_hour_(kwh)"/>
    <n v="1682.3315883420585"/>
    <s v="Dcycle LtdDcycle Ltdelectricity4501745046"/>
    <n v="11215.6"/>
    <n v="1682.3315883420585"/>
  </r>
  <r>
    <x v="6"/>
    <x v="10"/>
    <x v="1"/>
    <d v="2023-05-01T00:00:00"/>
    <x v="31"/>
    <n v="10225.4"/>
    <s v="kilowatt_hour_(kwh)"/>
    <n v="1533.8023309883451"/>
    <s v="Dcycle LtdDcycle Ltdelectricity4504745077"/>
    <n v="10225.4"/>
    <n v="1533.8023309883451"/>
  </r>
  <r>
    <x v="6"/>
    <x v="10"/>
    <x v="1"/>
    <d v="2023-06-01T00:00:00"/>
    <x v="33"/>
    <n v="10765.9"/>
    <s v="kilowatt_hour_(kwh)"/>
    <n v="1614.8769256153719"/>
    <s v="Dcycle LtdDcycle Ltdelectricity4507845107"/>
    <n v="10765.9"/>
    <n v="1614.8769256153719"/>
  </r>
  <r>
    <x v="6"/>
    <x v="10"/>
    <x v="1"/>
    <d v="2023-07-01T00:00:00"/>
    <x v="35"/>
    <n v="10246.4"/>
    <s v="kilowatt_hour_(kwh)"/>
    <n v="1536.9523152384238"/>
    <s v="Dcycle LtdDcycle Ltdelectricity4510845138"/>
    <n v="10246.4"/>
    <n v="1536.9523152384238"/>
  </r>
  <r>
    <x v="6"/>
    <x v="10"/>
    <x v="1"/>
    <d v="2023-08-01T00:00:00"/>
    <x v="37"/>
    <n v="11314.7"/>
    <s v="kilowatt_hour_(kwh)"/>
    <n v="1697.1965140174302"/>
    <s v="Dcycle LtdDcycle Ltdelectricity4513945169"/>
    <n v="11314.7"/>
    <n v="1697.1965140174302"/>
  </r>
  <r>
    <x v="6"/>
    <x v="10"/>
    <x v="1"/>
    <d v="2023-09-01T00:00:00"/>
    <x v="40"/>
    <n v="10600.4"/>
    <s v="kilowatt_hour_(kwh)"/>
    <n v="1590.0520497397513"/>
    <s v="Dcycle LtdDcycle Ltdelectricity4517045199"/>
    <n v="10600.4"/>
    <n v="1590.0520497397513"/>
  </r>
  <r>
    <x v="6"/>
    <x v="10"/>
    <x v="1"/>
    <d v="2023-10-01T00:00:00"/>
    <x v="44"/>
    <n v="11864.5"/>
    <s v="kilowatt_hour_(kwh)"/>
    <n v="1779.6661016694918"/>
    <s v="Dcycle LtdDcycle Ltdelectricity4520045230"/>
    <n v="11864.5"/>
    <n v="1779.6661016694918"/>
  </r>
  <r>
    <x v="6"/>
    <x v="10"/>
    <x v="1"/>
    <d v="2023-11-01T00:00:00"/>
    <x v="45"/>
    <n v="15621.8"/>
    <s v="kilowatt_hour_(kwh)"/>
    <n v="2343.2582837085815"/>
    <s v="Dcycle LtdDcycle Ltdelectricity4523145260"/>
    <n v="15621.8"/>
    <n v="2343.2582837085815"/>
  </r>
  <r>
    <x v="6"/>
    <x v="10"/>
    <x v="1"/>
    <d v="2023-12-01T00:00:00"/>
    <x v="21"/>
    <n v="13489"/>
    <s v="kilowatt_hour_(kwh)"/>
    <n v="2023.3398833005836"/>
    <s v="Dcycle LtdDcycle Ltdelectricity4526145291"/>
    <n v="13489"/>
    <n v="2023.3398833005836"/>
  </r>
  <r>
    <x v="6"/>
    <x v="10"/>
    <x v="2"/>
    <d v="2023-01-01T00:00:00"/>
    <x v="20"/>
    <n v="1278.7658963186395"/>
    <s v="therm_(thm)"/>
    <n v="1534.5804588007195"/>
    <s v="Dcycle LtdDcycle Ltdheat4492744957"/>
    <n v="1278.7658963186395"/>
    <n v="1534.5804588007195"/>
  </r>
  <r>
    <x v="6"/>
    <x v="10"/>
    <x v="2"/>
    <d v="2023-02-01T00:00:00"/>
    <x v="23"/>
    <n v="1049.8131852008557"/>
    <s v="therm_(thm)"/>
    <n v="1259.8262152896384"/>
    <s v="Dcycle LtdDcycle Ltdheat4495844985"/>
    <n v="1049.8131852008557"/>
    <n v="1259.8262152896384"/>
  </r>
  <r>
    <x v="6"/>
    <x v="10"/>
    <x v="2"/>
    <d v="2023-03-01T00:00:00"/>
    <x v="26"/>
    <n v="1105.7112440330159"/>
    <s v="therm_(thm)"/>
    <n v="1326.9065691023832"/>
    <s v="Dcycle LtdDcycle Ltdheat4498645016"/>
    <n v="1105.7112440330159"/>
    <n v="1326.9065691023832"/>
  </r>
  <r>
    <x v="6"/>
    <x v="10"/>
    <x v="2"/>
    <d v="2023-04-01T00:00:00"/>
    <x v="29"/>
    <n v="767.25946954833478"/>
    <s v="therm_(thm)"/>
    <n v="920.74819338573707"/>
    <s v="Dcycle LtdDcycle Ltdheat4501745046"/>
    <n v="767.25946954833478"/>
    <n v="920.74819338573707"/>
  </r>
  <r>
    <x v="6"/>
    <x v="10"/>
    <x v="2"/>
    <d v="2023-05-01T00:00:00"/>
    <x v="31"/>
    <n v="262.26170450163954"/>
    <s v="therm_(thm)"/>
    <n v="314.72663446734612"/>
    <s v="Dcycle LtdDcycle Ltdheat4504745077"/>
    <n v="262.26170450163954"/>
    <n v="314.72663446734612"/>
  </r>
  <r>
    <x v="6"/>
    <x v="10"/>
    <x v="2"/>
    <d v="2023-06-01T00:00:00"/>
    <x v="33"/>
    <n v="40.200838704614242"/>
    <s v="therm_(thm)"/>
    <n v="48.242936162983604"/>
    <s v="Dcycle LtdDcycle Ltdheat4507845107"/>
    <n v="40.200838704614242"/>
    <n v="48.242936162983604"/>
  </r>
  <r>
    <x v="6"/>
    <x v="10"/>
    <x v="2"/>
    <d v="2023-07-01T00:00:00"/>
    <x v="35"/>
    <n v="3.0630802774754242"/>
    <s v="therm_(thm)"/>
    <n v="3.6758433667051773"/>
    <s v="Dcycle LtdDcycle Ltdheat4510845138"/>
    <n v="3.0630802774754242"/>
    <n v="3.6758433667051773"/>
  </r>
  <r>
    <x v="6"/>
    <x v="10"/>
    <x v="2"/>
    <d v="2023-08-01T00:00:00"/>
    <x v="37"/>
    <n v="0"/>
    <s v="therm_(thm)"/>
    <n v="0"/>
    <s v="Dcycle LtdDcycle Ltdheat4513945169"/>
    <n v="0"/>
    <n v="0"/>
  </r>
  <r>
    <x v="6"/>
    <x v="10"/>
    <x v="2"/>
    <d v="2023-09-01T00:00:00"/>
    <x v="40"/>
    <n v="0"/>
    <s v="therm_(thm)"/>
    <n v="0"/>
    <s v="Dcycle LtdDcycle Ltdheat4517045199"/>
    <n v="0"/>
    <n v="0"/>
  </r>
  <r>
    <x v="6"/>
    <x v="10"/>
    <x v="2"/>
    <d v="2023-10-01T00:00:00"/>
    <x v="44"/>
    <n v="765.81988664862786"/>
    <s v="therm_(thm)"/>
    <n v="919.02062480334553"/>
    <s v="Dcycle LtdDcycle Ltdheat4520045230"/>
    <n v="765.81988664862786"/>
    <n v="919.02062480334553"/>
  </r>
  <r>
    <x v="6"/>
    <x v="10"/>
    <x v="2"/>
    <d v="2023-11-01T00:00:00"/>
    <x v="45"/>
    <n v="741.11734016671733"/>
    <s v="therm_(thm)"/>
    <n v="889.37638325539092"/>
    <s v="Dcycle LtdDcycle Ltdheat4523145260"/>
    <n v="741.11734016671733"/>
    <n v="889.37638325539092"/>
  </r>
  <r>
    <x v="6"/>
    <x v="10"/>
    <x v="2"/>
    <d v="2023-12-01T00:00:00"/>
    <x v="21"/>
    <n v="844.21522429718402"/>
    <s v="therm_(thm)"/>
    <n v="1013.0987931083451"/>
    <s v="Dcycle LtdDcycle Ltdheat4526145291"/>
    <n v="844.21522429718402"/>
    <n v="1013.0987931083451"/>
  </r>
  <r>
    <x v="6"/>
    <x v="10"/>
    <x v="0"/>
    <d v="2022-01-01T00:00:00"/>
    <x v="1"/>
    <n v="586"/>
    <s v="cubic_metre_(m3)"/>
    <n v="175.81758175817581"/>
    <s v="Dcycle LtdDcycle Ltdwater4456244926"/>
    <n v="586"/>
    <n v="175.81758175817581"/>
  </r>
  <r>
    <x v="6"/>
    <x v="10"/>
    <x v="0"/>
    <d v="2022-09-03T00:00:00"/>
    <x v="96"/>
    <n v="319"/>
    <s v="cubic_metre_(m3)"/>
    <n v="95.709570957095707"/>
    <s v="Dcycle LtdDcycle Ltdwater4480744978"/>
    <n v="319"/>
    <n v="95.709570957095707"/>
  </r>
  <r>
    <x v="6"/>
    <x v="10"/>
    <x v="0"/>
    <d v="2023-02-22T00:00:00"/>
    <x v="90"/>
    <n v="326"/>
    <s v="cubic_metre_(m3)"/>
    <n v="97.809780978097805"/>
    <s v="Dcycle LtdDcycle Ltdwater4497945174"/>
    <n v="326"/>
    <n v="97.809780978097805"/>
  </r>
  <r>
    <x v="7"/>
    <x v="11"/>
    <x v="1"/>
    <d v="2023-01-01T00:00:00"/>
    <x v="20"/>
    <n v="335"/>
    <s v="kilowatt_hour_(kwh)"/>
    <n v="50.249748751256249"/>
    <s v="Dcycle SpA ItalyCoges SpA (Modena)electricity4492744957"/>
    <n v="335"/>
    <n v="50.249748751256249"/>
  </r>
  <r>
    <x v="7"/>
    <x v="11"/>
    <x v="1"/>
    <d v="2023-01-01T00:00:00"/>
    <x v="26"/>
    <n v="726"/>
    <s v="kilowatt_hour_(kwh)"/>
    <n v="108.89945550272249"/>
    <s v="Dcycle SpA ItalyCoges SpA (Modena)electricity4492745016"/>
    <n v="726"/>
    <n v="108.89945550272249"/>
  </r>
  <r>
    <x v="7"/>
    <x v="11"/>
    <x v="1"/>
    <d v="2023-02-01T00:00:00"/>
    <x v="23"/>
    <n v="130"/>
    <s v="kilowatt_hour_(kwh)"/>
    <n v="19.499902500487497"/>
    <s v="Dcycle SpA ItalyCoges SpA (Modena)electricity4495844985"/>
    <n v="130"/>
    <n v="19.499902500487497"/>
  </r>
  <r>
    <x v="7"/>
    <x v="11"/>
    <x v="1"/>
    <d v="2023-04-01T00:00:00"/>
    <x v="29"/>
    <n v="264"/>
    <s v="kilowatt_hour_(kwh)"/>
    <n v="39.599802000989996"/>
    <s v="Dcycle SpA ItalyCoges SpA (Modena)electricity4501745046"/>
    <n v="264"/>
    <n v="39.599802000989996"/>
  </r>
  <r>
    <x v="7"/>
    <x v="11"/>
    <x v="1"/>
    <d v="2023-05-01T00:00:00"/>
    <x v="31"/>
    <n v="211"/>
    <s v="kilowatt_hour_(kwh)"/>
    <n v="31.649841750791246"/>
    <s v="Dcycle SpA ItalyCoges SpA (Modena)electricity4504745077"/>
    <n v="211"/>
    <n v="31.649841750791246"/>
  </r>
  <r>
    <x v="7"/>
    <x v="11"/>
    <x v="1"/>
    <d v="2023-06-01T00:00:00"/>
    <x v="33"/>
    <n v="345"/>
    <s v="kilowatt_hour_(kwh)"/>
    <n v="51.749741251293749"/>
    <s v="Dcycle SpA ItalyCoges SpA (Modena)electricity4507845107"/>
    <n v="345"/>
    <n v="51.749741251293749"/>
  </r>
  <r>
    <x v="7"/>
    <x v="11"/>
    <x v="1"/>
    <d v="2023-07-01T00:00:00"/>
    <x v="35"/>
    <n v="535"/>
    <s v="kilowatt_hour_(kwh)"/>
    <n v="80.24959875200625"/>
    <s v="Dcycle SpA ItalyCoges SpA (Modena)electricity4510845138"/>
    <n v="535"/>
    <n v="80.24959875200625"/>
  </r>
  <r>
    <x v="7"/>
    <x v="11"/>
    <x v="1"/>
    <d v="2023-08-01T00:00:00"/>
    <x v="37"/>
    <n v="335"/>
    <s v="kilowatt_hour_(kwh)"/>
    <n v="50.249748751256249"/>
    <s v="Dcycle SpA ItalyCoges SpA (Modena)electricity4513945169"/>
    <n v="335"/>
    <n v="50.249748751256249"/>
  </r>
  <r>
    <x v="7"/>
    <x v="11"/>
    <x v="1"/>
    <d v="2023-09-01T00:00:00"/>
    <x v="40"/>
    <n v="295"/>
    <s v="kilowatt_hour_(kwh)"/>
    <n v="44.249778751106248"/>
    <s v="Dcycle SpA ItalyCoges SpA (Modena)electricity4517045199"/>
    <n v="295"/>
    <n v="44.249778751106248"/>
  </r>
  <r>
    <x v="7"/>
    <x v="11"/>
    <x v="1"/>
    <d v="2023-10-01T00:00:00"/>
    <x v="44"/>
    <n v="243"/>
    <s v="kilowatt_hour_(kwh)"/>
    <n v="36.449817750911251"/>
    <s v="Dcycle SpA ItalyCoges SpA (Modena)electricity4520045230"/>
    <n v="243"/>
    <n v="36.449817750911251"/>
  </r>
  <r>
    <x v="7"/>
    <x v="11"/>
    <x v="1"/>
    <d v="2023-11-01T00:00:00"/>
    <x v="45"/>
    <n v="259"/>
    <s v="kilowatt_hour_(kwh)"/>
    <n v="38.84980575097125"/>
    <s v="Dcycle SpA ItalyCoges SpA (Modena)electricity4523145260"/>
    <n v="259"/>
    <n v="38.84980575097125"/>
  </r>
  <r>
    <x v="7"/>
    <x v="11"/>
    <x v="0"/>
    <d v="2022-12-02T00:00:00"/>
    <x v="97"/>
    <n v="316.89999999999998"/>
    <s v="cubic_metre_(m3)"/>
    <n v="95.079507950795062"/>
    <s v="Dcycle SpA ItalyCoges SpA (Modena)water4489744973"/>
    <n v="316.89999999999998"/>
    <n v="95.079507950795062"/>
  </r>
  <r>
    <x v="7"/>
    <x v="11"/>
    <x v="0"/>
    <d v="2023-02-01T00:00:00"/>
    <x v="73"/>
    <n v="147.28"/>
    <s v="cubic_metre_(m3)"/>
    <n v="44.188418841884186"/>
    <s v="Dcycle SpA ItalyCoges SpA (Modena)water4495845035"/>
    <n v="147.28"/>
    <n v="44.188418841884186"/>
  </r>
  <r>
    <x v="7"/>
    <x v="11"/>
    <x v="0"/>
    <d v="2023-04-01T00:00:00"/>
    <x v="98"/>
    <n v="33.520000000000003"/>
    <s v="cubic_metre_(m3)"/>
    <n v="10.057005700570057"/>
    <s v="Dcycle SpA ItalyCoges SpA (Modena)water4501745096"/>
    <n v="33.520000000000003"/>
    <n v="10.057005700570057"/>
  </r>
  <r>
    <x v="7"/>
    <x v="11"/>
    <x v="0"/>
    <d v="2023-08-01T00:00:00"/>
    <x v="99"/>
    <n v="14.22"/>
    <s v="cubic_metre_(m3)"/>
    <n v="4.2664266426642667"/>
    <s v="Dcycle SpA ItalyCoges SpA (Modena)water4513945216"/>
    <n v="14.22"/>
    <n v="4.2664266426642667"/>
  </r>
  <r>
    <x v="7"/>
    <x v="11"/>
    <x v="0"/>
    <d v="2023-10-01T00:00:00"/>
    <x v="100"/>
    <n v="168.61"/>
    <s v="cubic_metre_(m3)"/>
    <n v="50.588058805880593"/>
    <s v="Dcycle SpA ItalyCoges SpA (Modena)water4520045279"/>
    <n v="168.61"/>
    <n v="50.588058805880593"/>
  </r>
  <r>
    <x v="7"/>
    <x v="11"/>
    <x v="0"/>
    <d v="2022-09-15T00:00:00"/>
    <x v="97"/>
    <n v="4"/>
    <s v="cubic_metre_(m3)"/>
    <n v="1.2001200120012001"/>
    <s v="Dcycle SpA ItalyCoges SpA (Modena)water4481944973"/>
    <n v="4"/>
    <n v="1.2001200120012001"/>
  </r>
  <r>
    <x v="7"/>
    <x v="11"/>
    <x v="0"/>
    <d v="2023-02-03T00:00:00"/>
    <x v="99"/>
    <n v="7"/>
    <s v="cubic_metre_(m3)"/>
    <n v="2.1002100210021002"/>
    <s v="Dcycle SpA ItalyCoges SpA (Modena)water4496045216"/>
    <n v="7"/>
    <n v="2.1002100210021002"/>
  </r>
  <r>
    <x v="7"/>
    <x v="11"/>
    <x v="0"/>
    <d v="2023-02-17T00:00:00"/>
    <x v="73"/>
    <n v="5"/>
    <s v="cubic_metre_(m3)"/>
    <n v="1.5001500150015001"/>
    <s v="Dcycle SpA ItalyCoges SpA (Modena)water4497445035"/>
    <n v="5"/>
    <n v="1.5001500150015001"/>
  </r>
  <r>
    <x v="7"/>
    <x v="11"/>
    <x v="0"/>
    <d v="2023-04-20T00:00:00"/>
    <x v="98"/>
    <n v="5"/>
    <s v="cubic_metre_(m3)"/>
    <n v="1.5001500150015001"/>
    <s v="Dcycle SpA ItalyCoges SpA (Modena)water4503645096"/>
    <n v="5"/>
    <n v="1.5001500150015001"/>
  </r>
  <r>
    <x v="7"/>
    <x v="11"/>
    <x v="0"/>
    <d v="2023-10-18T00:00:00"/>
    <x v="100"/>
    <n v="5"/>
    <s v="cubic_metre_(m3)"/>
    <n v="1.5001500150015001"/>
    <s v="Dcycle SpA ItalyCoges SpA (Modena)water4521745279"/>
    <n v="5"/>
    <n v="1.5001500150015001"/>
  </r>
  <r>
    <x v="7"/>
    <x v="12"/>
    <x v="1"/>
    <d v="2022-12-01T00:00:00"/>
    <x v="1"/>
    <n v="25252.47"/>
    <s v="kilowatt_hour_(kwh)"/>
    <n v="3787.8515607421969"/>
    <s v="Dcycle SpA ItalyDcycle SpA Italyelectricity4489644926"/>
    <n v="25252.47"/>
    <n v="3787.8515607421969"/>
  </r>
  <r>
    <x v="7"/>
    <x v="12"/>
    <x v="1"/>
    <d v="2023-01-01T00:00:00"/>
    <x v="20"/>
    <n v="8975.5"/>
    <s v="kilowatt_hour_(kwh)"/>
    <n v="1346.318268408658"/>
    <s v="Dcycle SpA ItalyDcycle SpA Italyelectricity4492744957"/>
    <n v="0"/>
    <n v="0"/>
  </r>
  <r>
    <x v="7"/>
    <x v="12"/>
    <x v="1"/>
    <d v="2023-01-01T00:00:00"/>
    <x v="20"/>
    <n v="26485.86"/>
    <s v="kilowatt_hour_(kwh)"/>
    <n v="3972.8591357043219"/>
    <s v="Dcycle SpA ItalyDcycle SpA Italyelectricity4492744957"/>
    <n v="26485.86"/>
    <n v="3972.8591357043219"/>
  </r>
  <r>
    <x v="7"/>
    <x v="12"/>
    <x v="1"/>
    <d v="2023-02-01T00:00:00"/>
    <x v="23"/>
    <n v="3052.2"/>
    <s v="kilowatt_hour_(kwh)"/>
    <n v="457.82771086144567"/>
    <s v="Dcycle SpA ItalyDcycle SpA Italyelectricity4495844985"/>
    <n v="0"/>
    <n v="0"/>
  </r>
  <r>
    <x v="7"/>
    <x v="12"/>
    <x v="1"/>
    <d v="2023-02-01T00:00:00"/>
    <x v="23"/>
    <n v="24856.19"/>
    <s v="kilowatt_hour_(kwh)"/>
    <n v="3728.4098579507104"/>
    <s v="Dcycle SpA ItalyDcycle SpA Italyelectricity4495844985"/>
    <n v="24856.19"/>
    <n v="3728.4098579507104"/>
  </r>
  <r>
    <x v="7"/>
    <x v="12"/>
    <x v="1"/>
    <d v="2023-03-01T00:00:00"/>
    <x v="26"/>
    <n v="3875.3"/>
    <s v="kilowatt_hour_(kwh)"/>
    <n v="581.2920935395324"/>
    <s v="Dcycle SpA ItalyDcycle SpA Italyelectricity4498645016"/>
    <n v="0"/>
    <n v="0"/>
  </r>
  <r>
    <x v="7"/>
    <x v="12"/>
    <x v="1"/>
    <d v="2023-03-01T00:00:00"/>
    <x v="26"/>
    <n v="21487.37"/>
    <s v="kilowatt_hour_(kwh)"/>
    <n v="3223.0893845530773"/>
    <s v="Dcycle SpA ItalyDcycle SpA Italyelectricity4498645016"/>
    <n v="21487.37"/>
    <n v="3223.0893845530773"/>
  </r>
  <r>
    <x v="7"/>
    <x v="12"/>
    <x v="1"/>
    <d v="2023-04-01T00:00:00"/>
    <x v="29"/>
    <n v="5063.3"/>
    <s v="kilowatt_hour_(kwh)"/>
    <n v="759.49120254398736"/>
    <s v="Dcycle SpA ItalyDcycle SpA Italyelectricity4501745046"/>
    <n v="0"/>
    <n v="0"/>
  </r>
  <r>
    <x v="7"/>
    <x v="12"/>
    <x v="1"/>
    <d v="2023-04-01T00:00:00"/>
    <x v="29"/>
    <n v="17959.38"/>
    <s v="kilowatt_hour_(kwh)"/>
    <n v="2693.8935305323475"/>
    <s v="Dcycle SpA ItalyDcycle SpA Italyelectricity4501745046"/>
    <n v="17959.38"/>
    <n v="2693.8935305323475"/>
  </r>
  <r>
    <x v="7"/>
    <x v="12"/>
    <x v="1"/>
    <d v="2023-05-01T00:00:00"/>
    <x v="31"/>
    <n v="4496.7"/>
    <s v="kilowatt_hour_(kwh)"/>
    <n v="674.50162749186256"/>
    <s v="Dcycle SpA ItalyDcycle SpA Italyelectricity4504745077"/>
    <n v="0"/>
    <n v="0"/>
  </r>
  <r>
    <x v="7"/>
    <x v="12"/>
    <x v="1"/>
    <d v="2023-05-01T00:00:00"/>
    <x v="31"/>
    <n v="13334.7"/>
    <s v="kilowatt_hour_(kwh)"/>
    <n v="2000.194999025005"/>
    <s v="Dcycle SpA ItalyDcycle SpA Italyelectricity4504745077"/>
    <n v="13334.7"/>
    <n v="2000.194999025005"/>
  </r>
  <r>
    <x v="7"/>
    <x v="12"/>
    <x v="1"/>
    <d v="2023-06-01T00:00:00"/>
    <x v="33"/>
    <n v="11349.78"/>
    <s v="kilowatt_hour_(kwh)"/>
    <n v="1702.4584877075617"/>
    <s v="Dcycle SpA ItalyDcycle SpA Italyelectricity4507845107"/>
    <n v="11349.78"/>
    <n v="1702.4584877075617"/>
  </r>
  <r>
    <x v="7"/>
    <x v="12"/>
    <x v="1"/>
    <d v="2023-07-01T00:00:00"/>
    <x v="35"/>
    <n v="15799.58"/>
    <s v="kilowatt_hour_(kwh)"/>
    <n v="2369.9251503742485"/>
    <s v="Dcycle SpA ItalyDcycle SpA Italyelectricity4510845138"/>
    <n v="15799.58"/>
    <n v="2369.9251503742485"/>
  </r>
  <r>
    <x v="7"/>
    <x v="12"/>
    <x v="1"/>
    <d v="2023-08-01T00:00:00"/>
    <x v="37"/>
    <n v="10751.98"/>
    <s v="kilowatt_hour_(kwh)"/>
    <n v="1612.7889360553197"/>
    <s v="Dcycle SpA ItalyDcycle SpA Italyelectricity4513945169"/>
    <n v="10751.98"/>
    <n v="1612.7889360553197"/>
  </r>
  <r>
    <x v="7"/>
    <x v="12"/>
    <x v="1"/>
    <d v="2023-09-01T00:00:00"/>
    <x v="40"/>
    <n v="10038.290000000001"/>
    <s v="kilowatt_hour_(kwh)"/>
    <n v="1505.7359713201436"/>
    <s v="Dcycle SpA ItalyDcycle SpA Italyelectricity4517045199"/>
    <n v="10038.290000000001"/>
    <n v="1505.7359713201436"/>
  </r>
  <r>
    <x v="7"/>
    <x v="12"/>
    <x v="1"/>
    <d v="2023-10-01T00:00:00"/>
    <x v="44"/>
    <n v="10860.8"/>
    <s v="kilowatt_hour_(kwh)"/>
    <n v="1629.1118544407277"/>
    <s v="Dcycle SpA ItalyDcycle SpA Italyelectricity4520045230"/>
    <n v="10860.8"/>
    <n v="1629.1118544407277"/>
  </r>
  <r>
    <x v="7"/>
    <x v="12"/>
    <x v="1"/>
    <d v="2023-11-01T00:00:00"/>
    <x v="45"/>
    <n v="25423.759999999998"/>
    <s v="kilowatt_hour_(kwh)"/>
    <n v="3813.5449322753384"/>
    <s v="Dcycle SpA ItalyDcycle SpA Italyelectricity4523145260"/>
    <n v="25423.759999999998"/>
    <n v="3813.5449322753384"/>
  </r>
  <r>
    <x v="7"/>
    <x v="12"/>
    <x v="1"/>
    <d v="2023-12-01T00:00:00"/>
    <x v="21"/>
    <n v="23643.38"/>
    <s v="kilowatt_hour_(kwh)"/>
    <n v="3546.4892675536626"/>
    <s v="Dcycle SpA ItalyDcycle SpA Italyelectricity4526145291"/>
    <n v="23643.38"/>
    <n v="3546.4892675536626"/>
  </r>
  <r>
    <x v="7"/>
    <x v="12"/>
    <x v="0"/>
    <d v="2023-01-01T00:00:00"/>
    <x v="20"/>
    <n v="8101"/>
    <s v="cubic_metre_(m3)"/>
    <n v="2430.5430543054304"/>
    <s v="Dcycle SpA ItalyDcycle SpA Italywater4492744957"/>
    <n v="0"/>
    <n v="0"/>
  </r>
  <r>
    <x v="7"/>
    <x v="12"/>
    <x v="0"/>
    <d v="2023-01-01T00:00:00"/>
    <x v="20"/>
    <n v="16918"/>
    <s v="cubic_metre_(m3)"/>
    <n v="5075.9075907590759"/>
    <s v="Dcycle SpA ItalyDcycle SpA Italywater4492744957"/>
    <n v="16918"/>
    <n v="5075.9075907590759"/>
  </r>
  <r>
    <x v="7"/>
    <x v="12"/>
    <x v="0"/>
    <d v="2023-02-01T00:00:00"/>
    <x v="23"/>
    <n v="0"/>
    <s v="cubic_metre_(m3)"/>
    <n v="0"/>
    <s v="Dcycle SpA ItalyDcycle SpA Italywater4495844985"/>
    <n v="0"/>
    <n v="0"/>
  </r>
  <r>
    <x v="7"/>
    <x v="12"/>
    <x v="0"/>
    <d v="2023-02-01T00:00:00"/>
    <x v="23"/>
    <n v="15259"/>
    <s v="cubic_metre_(m3)"/>
    <n v="4578.1578157815775"/>
    <s v="Dcycle SpA ItalyDcycle SpA Italywater4495844985"/>
    <n v="15259"/>
    <n v="4578.1578157815775"/>
  </r>
  <r>
    <x v="7"/>
    <x v="12"/>
    <x v="0"/>
    <d v="2023-03-01T00:00:00"/>
    <x v="26"/>
    <n v="0"/>
    <s v="cubic_metre_(m3)"/>
    <n v="0"/>
    <s v="Dcycle SpA ItalyDcycle SpA Italywater4498645016"/>
    <n v="0"/>
    <n v="0"/>
  </r>
  <r>
    <x v="7"/>
    <x v="12"/>
    <x v="0"/>
    <d v="2023-03-01T00:00:00"/>
    <x v="26"/>
    <n v="8547"/>
    <s v="cubic_metre_(m3)"/>
    <n v="2564.3564356435641"/>
    <s v="Dcycle SpA ItalyDcycle SpA Italywater4498645016"/>
    <n v="8547"/>
    <n v="2564.3564356435641"/>
  </r>
  <r>
    <x v="7"/>
    <x v="12"/>
    <x v="0"/>
    <d v="2023-04-01T00:00:00"/>
    <x v="29"/>
    <n v="0"/>
    <s v="cubic_metre_(m3)"/>
    <n v="0"/>
    <s v="Dcycle SpA ItalyDcycle SpA Italywater4501745046"/>
    <n v="0"/>
    <n v="0"/>
  </r>
  <r>
    <x v="7"/>
    <x v="12"/>
    <x v="0"/>
    <d v="2023-04-01T00:00:00"/>
    <x v="29"/>
    <n v="1668"/>
    <s v="cubic_metre_(m3)"/>
    <n v="500.4500450045004"/>
    <s v="Dcycle SpA ItalyDcycle SpA Italywater4501745046"/>
    <n v="1668"/>
    <n v="500.4500450045004"/>
  </r>
  <r>
    <x v="7"/>
    <x v="12"/>
    <x v="0"/>
    <d v="2023-05-01T00:00:00"/>
    <x v="101"/>
    <n v="2"/>
    <s v="cubic_metre_(m3)"/>
    <n v="0.60006000600060005"/>
    <s v="Dcycle SpA ItalyDcycle SpA Italywater4504745076"/>
    <n v="2"/>
    <n v="0.60006000600060005"/>
  </r>
  <r>
    <x v="7"/>
    <x v="12"/>
    <x v="0"/>
    <d v="2023-05-01T00:00:00"/>
    <x v="31"/>
    <n v="0"/>
    <s v="cubic_metre_(m3)"/>
    <n v="0"/>
    <s v="Dcycle SpA ItalyDcycle SpA Italywater4504745077"/>
    <n v="0"/>
    <n v="0"/>
  </r>
  <r>
    <x v="7"/>
    <x v="12"/>
    <x v="0"/>
    <d v="2023-06-01T00:00:00"/>
    <x v="33"/>
    <n v="0"/>
    <s v="cubic_metre_(m3)"/>
    <n v="0"/>
    <s v="Dcycle SpA ItalyDcycle SpA Italywater4507845107"/>
    <n v="0"/>
    <n v="0"/>
  </r>
  <r>
    <x v="7"/>
    <x v="12"/>
    <x v="0"/>
    <d v="2023-07-01T00:00:00"/>
    <x v="35"/>
    <n v="0"/>
    <s v="cubic_metre_(m3)"/>
    <n v="0"/>
    <s v="Dcycle SpA ItalyDcycle SpA Italywater4510845138"/>
    <n v="0"/>
    <n v="0"/>
  </r>
  <r>
    <x v="7"/>
    <x v="12"/>
    <x v="0"/>
    <d v="2023-08-01T00:00:00"/>
    <x v="37"/>
    <n v="0"/>
    <s v="cubic_metre_(m3)"/>
    <n v="0"/>
    <s v="Dcycle SpA ItalyDcycle SpA Italywater4513945169"/>
    <n v="0"/>
    <n v="0"/>
  </r>
  <r>
    <x v="7"/>
    <x v="12"/>
    <x v="0"/>
    <d v="2023-09-01T00:00:00"/>
    <x v="40"/>
    <n v="0"/>
    <s v="cubic_metre_(m3)"/>
    <n v="0"/>
    <s v="Dcycle SpA ItalyDcycle SpA Italywater4517045199"/>
    <n v="0"/>
    <n v="0"/>
  </r>
  <r>
    <x v="7"/>
    <x v="12"/>
    <x v="0"/>
    <d v="2023-10-01T00:00:00"/>
    <x v="44"/>
    <n v="4"/>
    <s v="cubic_metre_(m3)"/>
    <n v="1.2001200120012001"/>
    <s v="Dcycle SpA ItalyDcycle SpA Italywater4520045230"/>
    <n v="4"/>
    <n v="1.2001200120012001"/>
  </r>
  <r>
    <x v="7"/>
    <x v="12"/>
    <x v="0"/>
    <d v="2023-11-01T00:00:00"/>
    <x v="45"/>
    <n v="12285"/>
    <s v="cubic_metre_(m3)"/>
    <n v="3685.8685868586858"/>
    <s v="Dcycle SpA ItalyDcycle SpA Italywater4523145260"/>
    <n v="12285"/>
    <n v="3685.8685868586858"/>
  </r>
  <r>
    <x v="7"/>
    <x v="12"/>
    <x v="0"/>
    <d v="2023-12-01T00:00:00"/>
    <x v="21"/>
    <n v="13681"/>
    <s v="cubic_metre_(m3)"/>
    <n v="4104.7104710471049"/>
    <s v="Dcycle SpA ItalyDcycle SpA Italywater4526145291"/>
    <n v="13681"/>
    <n v="4104.7104710471049"/>
  </r>
  <r>
    <x v="7"/>
    <x v="12"/>
    <x v="0"/>
    <d v="2022-12-02T00:00:00"/>
    <x v="20"/>
    <n v="309"/>
    <s v="cubic_metre_(m3)"/>
    <n v="92.709270927092703"/>
    <s v="Dcycle SpA ItalyDcycle SpA Italywater4489744957"/>
    <n v="309"/>
    <n v="92.709270927092703"/>
  </r>
  <r>
    <x v="7"/>
    <x v="12"/>
    <x v="0"/>
    <d v="2022-12-14T00:00:00"/>
    <x v="102"/>
    <n v="0"/>
    <s v="cubic_metre_(m3)"/>
    <n v="0"/>
    <s v="Dcycle SpA ItalyDcycle SpA Italywater4490945005"/>
    <n v="0"/>
    <n v="0"/>
  </r>
  <r>
    <x v="7"/>
    <x v="12"/>
    <x v="0"/>
    <d v="2023-01-01T00:00:00"/>
    <x v="20"/>
    <n v="68"/>
    <s v="cubic_metre_(m3)"/>
    <n v="20.402040204020402"/>
    <s v="Dcycle SpA ItalyDcycle SpA Italywater4492744957"/>
    <n v="0"/>
    <n v="0"/>
  </r>
  <r>
    <x v="7"/>
    <x v="12"/>
    <x v="0"/>
    <d v="2023-02-01T00:00:00"/>
    <x v="85"/>
    <n v="0"/>
    <s v="cubic_metre_(m3)"/>
    <n v="0"/>
    <s v="Dcycle SpA ItalyDcycle SpA Italywater4495845021"/>
    <n v="0"/>
    <n v="0"/>
  </r>
  <r>
    <x v="7"/>
    <x v="12"/>
    <x v="0"/>
    <d v="2023-02-02T00:00:00"/>
    <x v="103"/>
    <n v="264"/>
    <s v="cubic_metre_(m3)"/>
    <n v="79.207920792079207"/>
    <s v="Dcycle SpA ItalyDcycle SpA Italywater4495945022"/>
    <n v="264"/>
    <n v="79.207920792079207"/>
  </r>
  <r>
    <x v="7"/>
    <x v="12"/>
    <x v="0"/>
    <d v="2023-03-21T00:00:00"/>
    <x v="87"/>
    <n v="79"/>
    <s v="cubic_metre_(m3)"/>
    <n v="23.7023702370237"/>
    <s v="Dcycle SpA ItalyDcycle SpA Italywater4500645082"/>
    <n v="79"/>
    <n v="23.7023702370237"/>
  </r>
  <r>
    <x v="7"/>
    <x v="12"/>
    <x v="0"/>
    <d v="2023-04-06T00:00:00"/>
    <x v="31"/>
    <n v="255"/>
    <s v="cubic_metre_(m3)"/>
    <n v="76.507650765076505"/>
    <s v="Dcycle SpA ItalyDcycle SpA Italywater4502245077"/>
    <n v="255"/>
    <n v="76.507650765076505"/>
  </r>
  <r>
    <x v="7"/>
    <x v="12"/>
    <x v="0"/>
    <d v="2023-04-07T00:00:00"/>
    <x v="87"/>
    <n v="59"/>
    <s v="cubic_metre_(m3)"/>
    <n v="17.7017701770177"/>
    <s v="Dcycle SpA ItalyDcycle SpA Italywater4502345082"/>
    <n v="59"/>
    <n v="17.7017701770177"/>
  </r>
  <r>
    <x v="7"/>
    <x v="12"/>
    <x v="0"/>
    <d v="2023-06-01T00:00:00"/>
    <x v="104"/>
    <n v="0"/>
    <s v="cubic_metre_(m3)"/>
    <n v="0"/>
    <s v="Dcycle SpA ItalyDcycle SpA Italywater4507845146"/>
    <n v="0"/>
    <n v="0"/>
  </r>
  <r>
    <x v="7"/>
    <x v="12"/>
    <x v="0"/>
    <d v="2023-06-06T00:00:00"/>
    <x v="105"/>
    <n v="356"/>
    <s v="cubic_metre_(m3)"/>
    <n v="106.8106810681068"/>
    <s v="Dcycle SpA ItalyDcycle SpA Italywater4508345148"/>
    <n v="356"/>
    <n v="106.8106810681068"/>
  </r>
  <r>
    <x v="7"/>
    <x v="12"/>
    <x v="0"/>
    <d v="2023-08-09T00:00:00"/>
    <x v="91"/>
    <n v="260"/>
    <s v="cubic_metre_(m3)"/>
    <n v="78.007800780078"/>
    <s v="Dcycle SpA ItalyDcycle SpA Italywater4514745203"/>
    <n v="260"/>
    <n v="78.007800780078"/>
  </r>
  <r>
    <x v="7"/>
    <x v="12"/>
    <x v="0"/>
    <d v="2023-08-11T00:00:00"/>
    <x v="92"/>
    <n v="89"/>
    <s v="cubic_metre_(m3)"/>
    <n v="26.702670267026701"/>
    <s v="Dcycle SpA ItalyDcycle SpA Italywater4514945204"/>
    <n v="89"/>
    <n v="26.702670267026701"/>
  </r>
  <r>
    <x v="7"/>
    <x v="12"/>
    <x v="0"/>
    <d v="2023-10-06T00:00:00"/>
    <x v="81"/>
    <n v="199"/>
    <s v="cubic_metre_(m3)"/>
    <n v="59.705970597059704"/>
    <s v="Dcycle SpA ItalyDcycle SpA Italywater4520545278"/>
    <n v="199"/>
    <n v="59.705970597059704"/>
  </r>
  <r>
    <x v="8"/>
    <x v="13"/>
    <x v="1"/>
    <d v="2023-01-01T00:00:00"/>
    <x v="20"/>
    <n v="3011"/>
    <s v="kilowatt_hour_(kwh)"/>
    <n v="451.64774176129123"/>
    <s v="Dcycle SIADcycle SIAelectricity4492744957"/>
    <n v="3011"/>
    <n v="451.64774176129123"/>
  </r>
  <r>
    <x v="8"/>
    <x v="13"/>
    <x v="1"/>
    <d v="2023-02-01T00:00:00"/>
    <x v="23"/>
    <n v="2706"/>
    <s v="kilowatt_hour_(kwh)"/>
    <n v="405.89797051014745"/>
    <s v="Dcycle SIADcycle SIAelectricity4495844985"/>
    <n v="2706"/>
    <n v="405.89797051014745"/>
  </r>
  <r>
    <x v="8"/>
    <x v="13"/>
    <x v="1"/>
    <d v="2023-03-01T00:00:00"/>
    <x v="26"/>
    <n v="2549"/>
    <s v="kilowatt_hour_(kwh)"/>
    <n v="382.34808825955872"/>
    <s v="Dcycle SIADcycle SIAelectricity4498645016"/>
    <n v="2549"/>
    <n v="382.34808825955872"/>
  </r>
  <r>
    <x v="8"/>
    <x v="13"/>
    <x v="1"/>
    <d v="2023-04-01T00:00:00"/>
    <x v="29"/>
    <n v="2418"/>
    <s v="kilowatt_hour_(kwh)"/>
    <n v="362.69818650906745"/>
    <s v="Dcycle SIADcycle SIAelectricity4501745046"/>
    <n v="2418"/>
    <n v="362.69818650906745"/>
  </r>
  <r>
    <x v="8"/>
    <x v="13"/>
    <x v="1"/>
    <d v="2023-05-01T00:00:00"/>
    <x v="31"/>
    <n v="2569"/>
    <s v="kilowatt_hour_(kwh)"/>
    <n v="385.34807325963374"/>
    <s v="Dcycle SIADcycle SIAelectricity4504745077"/>
    <n v="2569"/>
    <n v="385.34807325963374"/>
  </r>
  <r>
    <x v="8"/>
    <x v="13"/>
    <x v="1"/>
    <d v="2023-06-01T00:00:00"/>
    <x v="33"/>
    <n v="3006"/>
    <s v="kilowatt_hour_(kwh)"/>
    <n v="450.89774551127249"/>
    <s v="Dcycle SIADcycle SIAelectricity4507845107"/>
    <n v="3006"/>
    <n v="450.89774551127249"/>
  </r>
  <r>
    <x v="8"/>
    <x v="13"/>
    <x v="1"/>
    <d v="2023-07-01T00:00:00"/>
    <x v="35"/>
    <n v="2882"/>
    <s v="kilowatt_hour_(kwh)"/>
    <n v="432.29783851080748"/>
    <s v="Dcycle SIADcycle SIAelectricity4510845138"/>
    <n v="2882"/>
    <n v="432.29783851080748"/>
  </r>
  <r>
    <x v="8"/>
    <x v="13"/>
    <x v="1"/>
    <d v="2023-08-01T00:00:00"/>
    <x v="37"/>
    <n v="3111"/>
    <s v="kilowatt_hour_(kwh)"/>
    <n v="466.64766676166624"/>
    <s v="Dcycle SIADcycle SIAelectricity4513945169"/>
    <n v="3111"/>
    <n v="466.64766676166624"/>
  </r>
  <r>
    <x v="8"/>
    <x v="13"/>
    <x v="1"/>
    <d v="2023-09-01T00:00:00"/>
    <x v="40"/>
    <n v="2983"/>
    <s v="kilowatt_hour_(kwh)"/>
    <n v="447.4477627611862"/>
    <s v="Dcycle SIADcycle SIAelectricity4517045199"/>
    <n v="2983"/>
    <n v="447.4477627611862"/>
  </r>
  <r>
    <x v="8"/>
    <x v="13"/>
    <x v="1"/>
    <d v="2023-10-01T00:00:00"/>
    <x v="44"/>
    <n v="3500"/>
    <s v="kilowatt_hour_(kwh)"/>
    <n v="524.99737501312495"/>
    <s v="Dcycle SIADcycle SIAelectricity4520045230"/>
    <n v="3500"/>
    <n v="524.99737501312495"/>
  </r>
  <r>
    <x v="8"/>
    <x v="13"/>
    <x v="1"/>
    <d v="2023-11-01T00:00:00"/>
    <x v="45"/>
    <n v="3100"/>
    <s v="kilowatt_hour_(kwh)"/>
    <n v="464.99767501162495"/>
    <s v="Dcycle SIADcycle SIAelectricity4523145260"/>
    <n v="3100"/>
    <n v="464.99767501162495"/>
  </r>
  <r>
    <x v="8"/>
    <x v="13"/>
    <x v="1"/>
    <d v="2023-12-01T00:00:00"/>
    <x v="21"/>
    <n v="2929"/>
    <s v="kilowatt_hour_(kwh)"/>
    <n v="439.34780326098371"/>
    <s v="Dcycle SIADcycle SIAelectricity4526145291"/>
    <n v="2929"/>
    <n v="439.34780326098371"/>
  </r>
  <r>
    <x v="8"/>
    <x v="13"/>
    <x v="2"/>
    <d v="2023-01-01T00:00:00"/>
    <x v="20"/>
    <n v="913.7088"/>
    <s v="therm_(thm)"/>
    <n v="2778.6869874636659"/>
    <s v="Dcycle SIADcycle SIAheat4492744957"/>
    <n v="913.7088"/>
    <n v="1096.4944197767911"/>
  </r>
  <r>
    <x v="8"/>
    <x v="13"/>
    <x v="2"/>
    <d v="2023-02-01T00:00:00"/>
    <x v="23"/>
    <n v="939.96480000000008"/>
    <s v="therm_(thm)"/>
    <n v="2858.5343146896339"/>
    <s v="Dcycle SIADcycle SIAheat4495844985"/>
    <n v="939.96480000000008"/>
    <n v="1128.0028801152046"/>
  </r>
  <r>
    <x v="8"/>
    <x v="13"/>
    <x v="2"/>
    <d v="2023-03-01T00:00:00"/>
    <x v="26"/>
    <n v="367.584"/>
    <s v="therm_(thm)"/>
    <n v="1117.8625811635438"/>
    <s v="Dcycle SIADcycle SIAheat4498645016"/>
    <n v="367.584"/>
    <n v="441.1184447377895"/>
  </r>
  <r>
    <x v="8"/>
    <x v="13"/>
    <x v="2"/>
    <d v="2023-04-01T00:00:00"/>
    <x v="29"/>
    <n v="173.28960000000001"/>
    <s v="therm_(thm)"/>
    <n v="526.99235969138499"/>
    <s v="Dcycle SIADcycle SIAheat4501745046"/>
    <n v="173.28960000000001"/>
    <n v="207.95583823352933"/>
  </r>
  <r>
    <x v="8"/>
    <x v="13"/>
    <x v="2"/>
    <d v="2023-05-01T00:00:00"/>
    <x v="31"/>
    <n v="157.536"/>
    <s v="therm_(thm)"/>
    <n v="479.08396335580449"/>
    <s v="Dcycle SIADcycle SIAheat4504745077"/>
    <n v="157.536"/>
    <n v="189.05076203048122"/>
  </r>
  <r>
    <x v="8"/>
    <x v="13"/>
    <x v="2"/>
    <d v="2023-06-01T00:00:00"/>
    <x v="33"/>
    <n v="31.507199999999997"/>
    <s v="therm_(thm)"/>
    <n v="95.816792671160911"/>
    <s v="Dcycle SIADcycle SIAheat4507845107"/>
    <n v="31.507199999999997"/>
    <n v="37.810152406096236"/>
  </r>
  <r>
    <x v="8"/>
    <x v="13"/>
    <x v="2"/>
    <d v="2023-07-01T00:00:00"/>
    <x v="35"/>
    <n v="31.507199999999997"/>
    <s v="therm_(thm)"/>
    <n v="95.816792671160911"/>
    <s v="Dcycle SIADcycle SIAheat4510845138"/>
    <n v="31.507199999999997"/>
    <n v="37.810152406096236"/>
  </r>
  <r>
    <x v="8"/>
    <x v="13"/>
    <x v="2"/>
    <d v="2023-08-01T00:00:00"/>
    <x v="37"/>
    <n v="36.758400000000002"/>
    <s v="therm_(thm)"/>
    <n v="111.7862581163544"/>
    <s v="Dcycle SIADcycle SIAheat4513945169"/>
    <n v="36.758400000000002"/>
    <n v="44.111844473778952"/>
  </r>
  <r>
    <x v="8"/>
    <x v="13"/>
    <x v="2"/>
    <d v="2023-09-01T00:00:00"/>
    <x v="40"/>
    <n v="36.758400000000002"/>
    <s v="therm_(thm)"/>
    <n v="111.7862581163544"/>
    <s v="Dcycle SIADcycle SIAheat4517045199"/>
    <n v="36.758400000000002"/>
    <n v="44.111844473778952"/>
  </r>
  <r>
    <x v="8"/>
    <x v="13"/>
    <x v="2"/>
    <d v="2023-10-01T00:00:00"/>
    <x v="44"/>
    <n v="351.8304"/>
    <s v="therm_(thm)"/>
    <n v="1069.9541848279634"/>
    <s v="Dcycle SIADcycle SIAheat4520045230"/>
    <n v="351.8304"/>
    <n v="422.21336853474139"/>
  </r>
  <r>
    <x v="8"/>
    <x v="13"/>
    <x v="2"/>
    <d v="2023-11-01T00:00:00"/>
    <x v="45"/>
    <n v="420.096"/>
    <s v="therm_(thm)"/>
    <n v="1277.5572356154787"/>
    <s v="Dcycle SIADcycle SIAheat4523145260"/>
    <n v="420.096"/>
    <n v="504.13536541461656"/>
  </r>
  <r>
    <x v="8"/>
    <x v="13"/>
    <x v="2"/>
    <d v="2023-12-01T00:00:00"/>
    <x v="21"/>
    <n v="724.66559999999993"/>
    <s v="therm_(thm)"/>
    <n v="2203.7862314367007"/>
    <s v="Dcycle SIADcycle SIAheat4526145291"/>
    <n v="724.66559999999993"/>
    <n v="869.63350534021345"/>
  </r>
  <r>
    <x v="8"/>
    <x v="13"/>
    <x v="0"/>
    <d v="2023-01-01T00:00:00"/>
    <x v="20"/>
    <n v="15.2"/>
    <s v="cubic_metre_(m3)"/>
    <n v="4.5604560456045604"/>
    <s v="Dcycle SIADcycle SIAwater4492744957"/>
    <n v="15.2"/>
    <n v="4.5604560456045604"/>
  </r>
  <r>
    <x v="8"/>
    <x v="13"/>
    <x v="0"/>
    <d v="2023-02-01T00:00:00"/>
    <x v="23"/>
    <n v="20.7"/>
    <s v="cubic_metre_(m3)"/>
    <n v="6.2106210621062097"/>
    <s v="Dcycle SIADcycle SIAwater4495844985"/>
    <n v="20.7"/>
    <n v="6.2106210621062097"/>
  </r>
  <r>
    <x v="8"/>
    <x v="13"/>
    <x v="0"/>
    <d v="2023-03-01T00:00:00"/>
    <x v="26"/>
    <n v="16"/>
    <s v="cubic_metre_(m3)"/>
    <n v="4.8004800480048004"/>
    <s v="Dcycle SIADcycle SIAwater4498645016"/>
    <n v="16"/>
    <n v="4.8004800480048004"/>
  </r>
  <r>
    <x v="8"/>
    <x v="13"/>
    <x v="0"/>
    <d v="2023-04-01T00:00:00"/>
    <x v="29"/>
    <n v="18.2"/>
    <s v="cubic_metre_(m3)"/>
    <n v="5.4605460546054596"/>
    <s v="Dcycle SIADcycle SIAwater4501745046"/>
    <n v="18.2"/>
    <n v="5.4605460546054596"/>
  </r>
  <r>
    <x v="8"/>
    <x v="13"/>
    <x v="0"/>
    <d v="2023-05-01T00:00:00"/>
    <x v="31"/>
    <n v="16.399999999999999"/>
    <s v="cubic_metre_(m3)"/>
    <n v="4.9204920492049196"/>
    <s v="Dcycle SIADcycle SIAwater4504745077"/>
    <n v="16.399999999999999"/>
    <n v="4.9204920492049196"/>
  </r>
  <r>
    <x v="8"/>
    <x v="13"/>
    <x v="0"/>
    <d v="2023-06-01T00:00:00"/>
    <x v="33"/>
    <n v="16.600000000000001"/>
    <s v="cubic_metre_(m3)"/>
    <n v="4.9804980498049805"/>
    <s v="Dcycle SIADcycle SIAwater4507845107"/>
    <n v="16.600000000000001"/>
    <n v="4.9804980498049805"/>
  </r>
  <r>
    <x v="8"/>
    <x v="13"/>
    <x v="0"/>
    <d v="2023-07-01T00:00:00"/>
    <x v="35"/>
    <n v="8.1"/>
    <s v="cubic_metre_(m3)"/>
    <n v="2.4302430243024302"/>
    <s v="Dcycle SIADcycle SIAwater4510845138"/>
    <n v="8.1"/>
    <n v="2.4302430243024302"/>
  </r>
  <r>
    <x v="8"/>
    <x v="13"/>
    <x v="0"/>
    <d v="2023-08-01T00:00:00"/>
    <x v="37"/>
    <n v="13.8"/>
    <s v="cubic_metre_(m3)"/>
    <n v="4.1404140414041404"/>
    <s v="Dcycle SIADcycle SIAwater4513945169"/>
    <n v="13.8"/>
    <n v="4.1404140414041404"/>
  </r>
  <r>
    <x v="8"/>
    <x v="13"/>
    <x v="0"/>
    <d v="2023-09-01T00:00:00"/>
    <x v="40"/>
    <n v="13"/>
    <s v="cubic_metre_(m3)"/>
    <n v="3.9003900390039004"/>
    <s v="Dcycle SIADcycle SIAwater4517045199"/>
    <n v="13"/>
    <n v="3.9003900390039004"/>
  </r>
  <r>
    <x v="8"/>
    <x v="13"/>
    <x v="0"/>
    <d v="2023-10-01T00:00:00"/>
    <x v="44"/>
    <n v="16.2"/>
    <s v="cubic_metre_(m3)"/>
    <n v="4.8604860486048604"/>
    <s v="Dcycle SIADcycle SIAwater4520045230"/>
    <n v="16.2"/>
    <n v="4.8604860486048604"/>
  </r>
  <r>
    <x v="8"/>
    <x v="13"/>
    <x v="0"/>
    <d v="2023-11-01T00:00:00"/>
    <x v="45"/>
    <n v="15.7"/>
    <s v="cubic_metre_(m3)"/>
    <n v="4.7104710471047104"/>
    <s v="Dcycle SIADcycle SIAwater4523145260"/>
    <n v="15.7"/>
    <n v="4.7104710471047104"/>
  </r>
  <r>
    <x v="8"/>
    <x v="13"/>
    <x v="0"/>
    <d v="2023-12-01T00:00:00"/>
    <x v="21"/>
    <n v="11.2"/>
    <s v="cubic_metre_(m3)"/>
    <n v="3.3603360336033599"/>
    <s v="Dcycle SIADcycle SIAwater4526145291"/>
    <n v="11.2"/>
    <n v="3.3603360336033599"/>
  </r>
  <r>
    <x v="1"/>
    <x v="4"/>
    <x v="3"/>
    <d v="2023-01-01T00:00:00"/>
    <x v="21"/>
    <n v="20517"/>
    <s v="Kilogram_(kg)"/>
    <n v="820.68"/>
    <s v="Dcycle Factory SLDcycle Factory SLwaste4492745291"/>
    <n v="20517"/>
    <n v="820.68"/>
  </r>
  <r>
    <x v="1"/>
    <x v="4"/>
    <x v="3"/>
    <d v="2023-01-01T00:00:00"/>
    <x v="21"/>
    <n v="20634"/>
    <s v="Kilogram_(kg)"/>
    <n v="825.36"/>
    <s v="Dcycle Factory SLDcycle Factory SLwaste4492745291"/>
    <n v="20634"/>
    <n v="825.36"/>
  </r>
  <r>
    <x v="2"/>
    <x v="6"/>
    <x v="3"/>
    <d v="2023-08-01T00:00:00"/>
    <x v="37"/>
    <n v="48"/>
    <s v="Kilogram_(kg)"/>
    <n v="1.92"/>
    <s v="Dcycle Andina SASD - Bodega 2 (almacén)waste4513945169"/>
    <n v="48"/>
    <n v="87.149564252178749"/>
  </r>
  <r>
    <x v="2"/>
    <x v="6"/>
    <x v="3"/>
    <d v="2023-08-01T00:00:00"/>
    <x v="37"/>
    <n v="334"/>
    <s v="Kilogram_(kg)"/>
    <n v="13.36"/>
    <s v="Dcycle Andina SASD - Bodega 2 (almacén)waste4513945169"/>
    <n v="334"/>
    <n v="0.32"/>
  </r>
  <r>
    <x v="2"/>
    <x v="5"/>
    <x v="1"/>
    <d v="2023-08-05T00:00:00"/>
    <x v="106"/>
    <n v="1908"/>
    <s v="kilowatt_hour_(kwh)"/>
    <n v="286.19856900715496"/>
    <s v="Dcycle Andina SASD - Bodega 1electricity4514345173"/>
    <n v="1908"/>
    <n v="53.999730001349995"/>
  </r>
  <r>
    <x v="2"/>
    <x v="6"/>
    <x v="1"/>
    <d v="2023-08-05T00:00:00"/>
    <x v="106"/>
    <n v="461"/>
    <s v="kilowatt_hour_(kwh)"/>
    <n v="69.149654251728748"/>
    <s v="Dcycle Andina SASD - Bodega 2 (almacén)electricity4514345173"/>
    <n v="461"/>
    <n v="14.6"/>
  </r>
  <r>
    <x v="2"/>
    <x v="5"/>
    <x v="0"/>
    <d v="2023-08-28T00:00:00"/>
    <x v="107"/>
    <n v="6.1399350199999994E-2"/>
    <s v="cubic_metre_(m3)"/>
    <n v="1.8421647224722469E-2"/>
    <s v="Dcycle Andina SASD - Bodega 1water4516645166"/>
    <n v="6.1399350199999994E-2"/>
    <n v="179.24910375448124"/>
  </r>
  <r>
    <x v="2"/>
    <x v="5"/>
    <x v="0"/>
    <d v="2023-08-29T00:00:00"/>
    <x v="34"/>
    <n v="6.0566559999999998E-2"/>
    <s v="cubic_metre_(m3)"/>
    <n v="1.8171785178517849E-2"/>
    <s v="Dcycle Andina SASD - Bodega 1water4516745167"/>
    <n v="6.0566559999999998E-2"/>
    <n v="50.999745001274995"/>
  </r>
  <r>
    <x v="2"/>
    <x v="5"/>
    <x v="0"/>
    <d v="2023-09-01T00:00:00"/>
    <x v="40"/>
    <n v="13"/>
    <s v="cubic_metre_(m3)"/>
    <n v="3.9003900390039004"/>
    <s v="Dcycle Andina SASD - Bodega 1water4517045199"/>
    <n v="13"/>
    <n v="6.8"/>
  </r>
  <r>
    <x v="2"/>
    <x v="6"/>
    <x v="0"/>
    <d v="2023-09-01T00:00:00"/>
    <x v="40"/>
    <n v="5"/>
    <s v="cubic_metre_(m3)"/>
    <n v="1.5001500150015001"/>
    <s v="Dcycle Andina SASD - Bodega 2 (almacén)water4517045199"/>
    <n v="5"/>
    <n v="2.2714731473147315E-2"/>
  </r>
  <r>
    <x v="2"/>
    <x v="6"/>
    <x v="3"/>
    <d v="2023-09-01T00:00:00"/>
    <x v="40"/>
    <n v="40"/>
    <s v="Kilogram_(kg)"/>
    <n v="1.6"/>
    <s v="Dcycle Andina SASD - Bodega 2 (almacén)waste4517045199"/>
    <n v="40"/>
    <n v="1.5001500150015001"/>
  </r>
  <r>
    <x v="2"/>
    <x v="6"/>
    <x v="3"/>
    <d v="2023-09-01T00:00:00"/>
    <x v="40"/>
    <n v="44"/>
    <s v="Kilogram_(kg)"/>
    <n v="1.76"/>
    <s v="Dcycle Andina SASD - Bodega 2 (almacén)waste4517045199"/>
    <n v="44"/>
    <n v="8.2799999999999994"/>
  </r>
  <r>
    <x v="2"/>
    <x v="6"/>
    <x v="3"/>
    <d v="2023-09-01T00:00:00"/>
    <x v="40"/>
    <n v="207"/>
    <s v="Kilogram_(kg)"/>
    <n v="8.2799999999999994"/>
    <s v="Dcycle Andina SASD - Bodega 2 (almacén)waste4517045199"/>
    <n v="207"/>
    <n v="3.9003900390039004"/>
  </r>
  <r>
    <x v="2"/>
    <x v="5"/>
    <x v="1"/>
    <d v="2023-09-05T00:00:00"/>
    <x v="91"/>
    <n v="1841"/>
    <s v="kilowatt_hour_(kwh)"/>
    <n v="276.14861925690371"/>
    <s v="Dcycle Andina SASD - Bodega 1electricity4517445203"/>
    <n v="1841"/>
    <n v="2.7002700270027002"/>
  </r>
  <r>
    <x v="2"/>
    <x v="6"/>
    <x v="1"/>
    <d v="2023-09-05T00:00:00"/>
    <x v="91"/>
    <n v="581"/>
    <s v="kilowatt_hour_(kwh)"/>
    <n v="87.149564252178749"/>
    <s v="Dcycle Andina SASD - Bodega 2 (almacén)electricity4517445203"/>
    <n v="581"/>
    <n v="240.29879850600747"/>
  </r>
  <r>
    <x v="2"/>
    <x v="6"/>
    <x v="3"/>
    <d v="2023-09-29T00:00:00"/>
    <x v="108"/>
    <n v="645"/>
    <s v="Kilogram_(kg)"/>
    <n v="25.8"/>
    <s v="Dcycle Andina SASD - Bodega 2 (almacén)waste4519845228"/>
    <n v="645"/>
    <n v="271.94864025679874"/>
  </r>
  <r>
    <x v="2"/>
    <x v="5"/>
    <x v="0"/>
    <d v="2023-10-01T00:00:00"/>
    <x v="44"/>
    <n v="14"/>
    <s v="cubic_metre_(m3)"/>
    <n v="4.2004200420042004"/>
    <s v="Dcycle Andina SASD - Bodega 1water4520045230"/>
    <n v="14"/>
    <n v="32.479999999999997"/>
  </r>
  <r>
    <x v="2"/>
    <x v="6"/>
    <x v="0"/>
    <d v="2023-10-01T00:00:00"/>
    <x v="44"/>
    <n v="4"/>
    <s v="cubic_metre_(m3)"/>
    <n v="1.2001200120012001"/>
    <s v="Dcycle Andina SASD - Bodega 2 (almacén)water4520045230"/>
    <n v="4"/>
    <n v="8.1008100810081007"/>
  </r>
  <r>
    <x v="2"/>
    <x v="6"/>
    <x v="3"/>
    <d v="2023-10-01T00:00:00"/>
    <x v="44"/>
    <n v="182"/>
    <s v="Kilogram_(kg)"/>
    <n v="7.28"/>
    <s v="Dcycle Andina SASD - Bodega 2 (almacén)waste4520045230"/>
    <n v="182"/>
    <n v="76.199619001904992"/>
  </r>
  <r>
    <x v="2"/>
    <x v="5"/>
    <x v="1"/>
    <d v="2023-10-05T00:00:00"/>
    <x v="109"/>
    <n v="1717"/>
    <s v="kilowatt_hour_(kwh)"/>
    <n v="257.54871225643871"/>
    <s v="Dcycle Andina SASD - Bodega 1electricity4520445233"/>
    <n v="1717"/>
    <n v="2.1002100210021002"/>
  </r>
  <r>
    <x v="2"/>
    <x v="6"/>
    <x v="1"/>
    <d v="2023-10-05T00:00:00"/>
    <x v="109"/>
    <n v="508"/>
    <s v="kilowatt_hour_(kwh)"/>
    <n v="76.199619001904992"/>
    <s v="Dcycle Andina SASD - Bodega 2 (almacén)electricity4520445233"/>
    <n v="508"/>
    <n v="59.249703751481249"/>
  </r>
  <r>
    <x v="2"/>
    <x v="5"/>
    <x v="0"/>
    <d v="2023-11-01T00:00:00"/>
    <x v="45"/>
    <n v="13"/>
    <s v="cubic_metre_(m3)"/>
    <n v="3.9003900390039004"/>
    <s v="Dcycle Andina SASD - Bodega 1water4523145260"/>
    <n v="13"/>
    <n v="202.79898600506999"/>
  </r>
  <r>
    <x v="2"/>
    <x v="6"/>
    <x v="0"/>
    <d v="2023-11-01T00:00:00"/>
    <x v="45"/>
    <n v="5"/>
    <s v="cubic_metre_(m3)"/>
    <n v="1.5001500150015001"/>
    <s v="Dcycle Andina SASD - Bodega 2 (almacén)water4523145260"/>
    <n v="5"/>
    <n v="1.5001500150015001"/>
  </r>
  <r>
    <x v="2"/>
    <x v="6"/>
    <x v="3"/>
    <d v="2023-11-01T00:00:00"/>
    <x v="45"/>
    <n v="3.5"/>
    <s v="Kilogram_(kg)"/>
    <n v="0.14000000000000001"/>
    <s v="Dcycle Andina SASD - Bodega 2 (almacén)waste4523145260"/>
    <n v="3.5"/>
    <n v="13.36"/>
  </r>
  <r>
    <x v="2"/>
    <x v="6"/>
    <x v="3"/>
    <d v="2023-11-01T00:00:00"/>
    <x v="45"/>
    <n v="5.3"/>
    <s v="Kilogram_(kg)"/>
    <n v="0.21199999999999999"/>
    <s v="Dcycle Andina SASD - Bodega 2 (almacén)waste4523145260"/>
    <n v="5.3"/>
    <n v="286.19856900715496"/>
  </r>
  <r>
    <x v="2"/>
    <x v="6"/>
    <x v="3"/>
    <d v="2023-11-01T00:00:00"/>
    <x v="45"/>
    <n v="8"/>
    <s v="Kilogram_(kg)"/>
    <n v="0.32"/>
    <s v="Dcycle Andina SASD - Bodega 2 (almacén)waste4523145260"/>
    <n v="8"/>
    <n v="69.149654251728748"/>
  </r>
  <r>
    <x v="2"/>
    <x v="6"/>
    <x v="3"/>
    <d v="2023-11-01T00:00:00"/>
    <x v="45"/>
    <n v="11"/>
    <s v="Kilogram_(kg)"/>
    <n v="0.44"/>
    <s v="Dcycle Andina SASD - Bodega 2 (almacén)waste4523145260"/>
    <n v="11"/>
    <n v="1.8421647224722469E-2"/>
  </r>
  <r>
    <x v="2"/>
    <x v="6"/>
    <x v="3"/>
    <d v="2023-11-01T00:00:00"/>
    <x v="45"/>
    <n v="14"/>
    <s v="Kilogram_(kg)"/>
    <n v="0.56000000000000005"/>
    <s v="Dcycle Andina SASD - Bodega 2 (almacén)waste4523145260"/>
    <n v="14"/>
    <n v="1.8171785178517849E-2"/>
  </r>
  <r>
    <x v="2"/>
    <x v="6"/>
    <x v="3"/>
    <d v="2023-11-01T00:00:00"/>
    <x v="45"/>
    <n v="77"/>
    <s v="Kilogram_(kg)"/>
    <n v="3.08"/>
    <s v="Dcycle Andina SASD - Bodega 2 (almacén)waste4523145260"/>
    <n v="77"/>
    <n v="1.2001200120012001"/>
  </r>
  <r>
    <x v="2"/>
    <x v="6"/>
    <x v="3"/>
    <d v="2023-11-01T00:00:00"/>
    <x v="45"/>
    <n v="108"/>
    <s v="Kilogram_(kg)"/>
    <n v="4.32"/>
    <s v="Dcycle Andina SASD - Bodega 2 (almacén)waste4523145260"/>
    <n v="108"/>
    <n v="7.28"/>
  </r>
  <r>
    <x v="2"/>
    <x v="6"/>
    <x v="3"/>
    <d v="2023-11-01T00:00:00"/>
    <x v="45"/>
    <n v="398"/>
    <s v="Kilogram_(kg)"/>
    <n v="15.92"/>
    <s v="Dcycle Andina SASD - Bodega 2 (almacén)waste4523145260"/>
    <n v="398"/>
    <n v="4.32"/>
  </r>
  <r>
    <x v="2"/>
    <x v="5"/>
    <x v="1"/>
    <d v="2023-11-04T00:00:00"/>
    <x v="94"/>
    <n v="1813"/>
    <s v="kilowatt_hour_(kwh)"/>
    <n v="271.94864025679874"/>
    <s v="Dcycle Andina SASD - Bodega 1electricity4523445264"/>
    <n v="1813"/>
    <n v="1.68"/>
  </r>
  <r>
    <x v="2"/>
    <x v="6"/>
    <x v="1"/>
    <d v="2023-11-04T00:00:00"/>
    <x v="94"/>
    <n v="316"/>
    <s v="kilowatt_hour_(kwh)"/>
    <n v="47.399763001184994"/>
    <s v="Dcycle Andina SASD - Bodega 2 (almacén)electricity4523445264"/>
    <n v="316"/>
    <n v="3.0003000300030003"/>
  </r>
  <r>
    <x v="2"/>
    <x v="6"/>
    <x v="3"/>
    <d v="2023-12-01T00:00:00"/>
    <x v="21"/>
    <n v="515"/>
    <s v="Kilogram_(kg)"/>
    <n v="20.6"/>
    <s v="Dcycle Andina SASD - Bodega 2 (almacén)waste4526145291"/>
    <n v="515"/>
    <n v="15.92"/>
  </r>
  <r>
    <x v="2"/>
    <x v="5"/>
    <x v="1"/>
    <d v="2023-12-05T00:00:00"/>
    <x v="110"/>
    <n v="1721"/>
    <s v="kilowatt_hour_(kwh)"/>
    <n v="258.14870925645374"/>
    <s v="Dcycle Andina SASD - Bodega 1electricity4526545294"/>
    <n v="1721"/>
    <n v="8.32"/>
  </r>
  <r>
    <x v="2"/>
    <x v="6"/>
    <x v="1"/>
    <d v="2023-12-05T00:00:00"/>
    <x v="110"/>
    <n v="275"/>
    <s v="kilowatt_hour_(kwh)"/>
    <n v="41.249793751031248"/>
    <s v="Dcycle Andina SASD - Bodega 2 (almacén)electricity4526545294"/>
    <n v="275"/>
    <n v="6.6006600660066006"/>
  </r>
  <r>
    <x v="0"/>
    <x v="0"/>
    <x v="1"/>
    <d v="2023-09-01T00:00:00"/>
    <x v="40"/>
    <n v="1720"/>
    <s v="kilowatt_hour_(kwh)"/>
    <n v="257.99871000644998"/>
    <s v="DCYCLE SAMadridelectricity4517045199"/>
    <n v="0"/>
    <n v="80"/>
  </r>
  <r>
    <x v="0"/>
    <x v="0"/>
    <x v="1"/>
    <d v="2023-09-01T00:00:00"/>
    <x v="40"/>
    <n v="15362.22"/>
    <s v="kilowatt_hour_(kwh)"/>
    <n v="2304.3214783926082"/>
    <s v="DCYCLE SAMadridelectricity4517045199"/>
    <n v="0"/>
    <n v="88.8"/>
  </r>
  <r>
    <x v="0"/>
    <x v="0"/>
    <x v="1"/>
    <d v="2023-09-01T00:00:00"/>
    <x v="40"/>
    <n v="50961"/>
    <s v="kilowatt_hour_(kwh)"/>
    <n v="7644.111779441103"/>
    <s v="DCYCLE SAMadridelectricity4517045199"/>
    <n v="50961"/>
    <n v="69.306930693069305"/>
  </r>
  <r>
    <x v="0"/>
    <x v="2"/>
    <x v="1"/>
    <d v="2023-09-01T00:00:00"/>
    <x v="40"/>
    <n v="2821.07"/>
    <s v="kilowatt_hour_(kwh)"/>
    <n v="423.15838420807899"/>
    <s v="DCYCLE SATajonarelectricity4517045199"/>
    <n v="2821.07"/>
    <n v="29.102910291029101"/>
  </r>
  <r>
    <x v="0"/>
    <x v="0"/>
    <x v="3"/>
    <d v="2023-09-01T00:00:00"/>
    <x v="40"/>
    <n v="1360"/>
    <s v="Kilogram_(kg)"/>
    <n v="54.4"/>
    <s v="DCYCLE SAMadridwaste4517045199"/>
    <n v="1360"/>
    <n v="4.498949894989499"/>
  </r>
  <r>
    <x v="0"/>
    <x v="0"/>
    <x v="3"/>
    <d v="2023-09-01T00:00:00"/>
    <x v="40"/>
    <n v="3020"/>
    <s v="Kilogram_(kg)"/>
    <n v="120.8"/>
    <s v="DCYCLE SAMadridwaste4517045199"/>
    <n v="3020"/>
    <n v="0"/>
  </r>
  <r>
    <x v="0"/>
    <x v="3"/>
    <x v="1"/>
    <d v="2023-10-01T00:00:00"/>
    <x v="44"/>
    <n v="8168"/>
    <s v="kilowatt_hour_(kwh)"/>
    <n v="1225.19387403063"/>
    <s v="DCYCLE SABCNelectricity4520045230"/>
    <n v="8168"/>
    <n v="1197.3823296111484"/>
  </r>
  <r>
    <x v="0"/>
    <x v="1"/>
    <x v="1"/>
    <d v="2023-10-01T00:00:00"/>
    <x v="44"/>
    <n v="7126.7"/>
    <s v="kilowatt_hour_(kwh)"/>
    <n v="1068.9996550017249"/>
    <s v="DCYCLE SAMadrid (A2)electricity4520045230"/>
    <n v="0"/>
    <n v="4.5004500450045004"/>
  </r>
  <r>
    <x v="0"/>
    <x v="1"/>
    <x v="1"/>
    <d v="2023-10-01T00:00:00"/>
    <x v="44"/>
    <n v="33305"/>
    <s v="kilowatt_hour_(kwh)"/>
    <n v="4995.725021374893"/>
    <s v="DCYCLE SAMadrid (A2)electricity4520045230"/>
    <n v="33305"/>
    <n v="1801.9409902950486"/>
  </r>
  <r>
    <x v="0"/>
    <x v="1"/>
    <x v="2"/>
    <d v="2023-10-01T00:00:00"/>
    <x v="44"/>
    <n v="0"/>
    <s v="therm_(thm)"/>
    <n v="0"/>
    <s v="DCYCLE SAMadrid (A2)heat4520045230"/>
    <n v="0"/>
    <n v="79.207920792079207"/>
  </r>
  <r>
    <x v="0"/>
    <x v="0"/>
    <x v="1"/>
    <d v="2023-10-01T00:00:00"/>
    <x v="44"/>
    <n v="1787"/>
    <s v="kilowatt_hour_(kwh)"/>
    <n v="268.04865975670123"/>
    <s v="DCYCLE SAMadridelectricity4520045230"/>
    <n v="0"/>
    <n v="0"/>
  </r>
  <r>
    <x v="0"/>
    <x v="0"/>
    <x v="1"/>
    <d v="2023-10-01T00:00:00"/>
    <x v="44"/>
    <n v="11790.07"/>
    <s v="kilowatt_hour_(kwh)"/>
    <n v="1768.5016574917126"/>
    <s v="DCYCLE SAMadridelectricity4520045230"/>
    <n v="0"/>
    <n v="0"/>
  </r>
  <r>
    <x v="0"/>
    <x v="0"/>
    <x v="1"/>
    <d v="2023-10-01T00:00:00"/>
    <x v="44"/>
    <n v="50305"/>
    <s v="kilowatt_hour_(kwh)"/>
    <n v="7545.7122714386433"/>
    <s v="DCYCLE SAMadridelectricity4520045230"/>
    <n v="50305"/>
    <n v="90.309030903090303"/>
  </r>
  <r>
    <x v="0"/>
    <x v="2"/>
    <x v="1"/>
    <d v="2023-10-01T00:00:00"/>
    <x v="44"/>
    <n v="2819.46"/>
    <s v="kilowatt_hour_(kwh)"/>
    <n v="422.91688541557295"/>
    <s v="DCYCLE SATajonarelectricity4520045230"/>
    <n v="2819.46"/>
    <n v="284.998575007125"/>
  </r>
  <r>
    <x v="0"/>
    <x v="0"/>
    <x v="3"/>
    <d v="2023-10-01T00:00:00"/>
    <x v="44"/>
    <n v="2400"/>
    <s v="Kilogram_(kg)"/>
    <n v="96"/>
    <s v="DCYCLE SAMadridwaste4520045230"/>
    <n v="2400"/>
    <n v="1428.4428577857111"/>
  </r>
  <r>
    <x v="0"/>
    <x v="0"/>
    <x v="3"/>
    <d v="2023-10-01T00:00:00"/>
    <x v="44"/>
    <n v="3080"/>
    <s v="Kilogram_(kg)"/>
    <n v="123.2"/>
    <s v="DCYCLE SAMadridwaste4520045230"/>
    <n v="3080"/>
    <n v="0"/>
  </r>
  <r>
    <x v="0"/>
    <x v="0"/>
    <x v="3"/>
    <d v="2023-10-01T00:00:00"/>
    <x v="44"/>
    <n v="4720"/>
    <s v="Kilogram_(kg)"/>
    <n v="188.8"/>
    <s v="DCYCLE SAMadridwaste4520045230"/>
    <n v="4720"/>
    <n v="6"/>
  </r>
  <r>
    <x v="0"/>
    <x v="0"/>
    <x v="3"/>
    <d v="2023-10-01T00:00:00"/>
    <x v="44"/>
    <n v="7920"/>
    <s v="Kilogram_(kg)"/>
    <n v="316.8"/>
    <s v="DCYCLE SAMadridwaste4520045230"/>
    <n v="7920"/>
    <n v="1.4"/>
  </r>
  <r>
    <x v="0"/>
    <x v="0"/>
    <x v="0"/>
    <d v="2023-10-02T00:00:00"/>
    <x v="111"/>
    <n v="14.995000000000001"/>
    <s v="cubic_metre_(m3)"/>
    <n v="4.498949894989499"/>
    <s v="DCYCLE SAMadridwater4520145258"/>
    <n v="14.995000000000001"/>
    <n v="245.6"/>
  </r>
  <r>
    <x v="0"/>
    <x v="3"/>
    <x v="0"/>
    <d v="2023-10-28T00:00:00"/>
    <x v="112"/>
    <n v="11"/>
    <s v="cubic_metre_(m3)"/>
    <n v="3.3003300330033003"/>
    <s v="DCYCLE SABCNwater4522745290"/>
    <n v="11"/>
    <n v="71.494068377712367"/>
  </r>
  <r>
    <x v="0"/>
    <x v="3"/>
    <x v="1"/>
    <d v="2023-11-01T00:00:00"/>
    <x v="45"/>
    <n v="7867"/>
    <s v="kilowatt_hour_(kwh)"/>
    <n v="1180.0440997795013"/>
    <s v="DCYCLE SABCNelectricity4523145260"/>
    <n v="7867"/>
    <n v="74818.125909370458"/>
  </r>
  <r>
    <x v="0"/>
    <x v="1"/>
    <x v="1"/>
    <d v="2023-11-01T00:00:00"/>
    <x v="45"/>
    <n v="5666.7"/>
    <s v="kilowatt_hour_(kwh)"/>
    <n v="850.00074999625008"/>
    <s v="DCYCLE SAMadrid (A2)electricity4523145260"/>
    <n v="0"/>
    <n v="8069.5096524517385"/>
  </r>
  <r>
    <x v="0"/>
    <x v="1"/>
    <x v="1"/>
    <d v="2023-11-01T00:00:00"/>
    <x v="45"/>
    <n v="37328"/>
    <s v="kilowatt_hour_(kwh)"/>
    <n v="5599.1720041399794"/>
    <s v="DCYCLE SAMadrid (A2)electricity4523145260"/>
    <n v="37328"/>
    <n v="0"/>
  </r>
  <r>
    <x v="0"/>
    <x v="0"/>
    <x v="1"/>
    <d v="2023-11-01T00:00:00"/>
    <x v="45"/>
    <n v="1724"/>
    <s v="kilowatt_hour_(kwh)"/>
    <n v="258.59870700646496"/>
    <s v="DCYCLE SAMadridelectricity4523145260"/>
    <n v="0"/>
    <n v="1433.2428337858312"/>
  </r>
  <r>
    <x v="0"/>
    <x v="0"/>
    <x v="1"/>
    <d v="2023-11-01T00:00:00"/>
    <x v="45"/>
    <n v="10142.35"/>
    <s v="kilowatt_hour_(kwh)"/>
    <n v="1521.3448932755337"/>
    <s v="DCYCLE SAMadridelectricity4523145260"/>
    <n v="0"/>
    <n v="4547.8272608636962"/>
  </r>
  <r>
    <x v="0"/>
    <x v="0"/>
    <x v="1"/>
    <d v="2023-11-01T00:00:00"/>
    <x v="45"/>
    <n v="59924"/>
    <s v="kilowatt_hour_(kwh)"/>
    <n v="8988.5550572247139"/>
    <s v="DCYCLE SAMadridelectricity4523145260"/>
    <n v="59924"/>
    <n v="0"/>
  </r>
  <r>
    <x v="0"/>
    <x v="2"/>
    <x v="1"/>
    <d v="2023-11-01T00:00:00"/>
    <x v="45"/>
    <n v="3207.97"/>
    <s v="kilowatt_hour_(kwh)"/>
    <n v="481.19309403452985"/>
    <s v="DCYCLE SATajonarelectricity4523145260"/>
    <n v="3207.97"/>
    <n v="1482.8925855370724"/>
  </r>
  <r>
    <x v="0"/>
    <x v="0"/>
    <x v="3"/>
    <d v="2023-11-01T00:00:00"/>
    <x v="45"/>
    <n v="1840"/>
    <s v="Kilogram_(kg)"/>
    <n v="73.599999999999994"/>
    <s v="DCYCLE SAMadridwaste4523145260"/>
    <n v="1840"/>
    <n v="1180.0440997795013"/>
  </r>
  <r>
    <x v="0"/>
    <x v="0"/>
    <x v="3"/>
    <d v="2023-11-01T00:00:00"/>
    <x v="45"/>
    <n v="3200"/>
    <s v="Kilogram_(kg)"/>
    <n v="128"/>
    <s v="DCYCLE SAMadridwaste4523145260"/>
    <n v="3200"/>
    <n v="587.41356293218541"/>
  </r>
  <r>
    <x v="0"/>
    <x v="0"/>
    <x v="3"/>
    <d v="2023-11-01T00:00:00"/>
    <x v="45"/>
    <n v="3860"/>
    <s v="Kilogram_(kg)"/>
    <n v="154.4"/>
    <s v="DCYCLE SAMadridwaste4523145260"/>
    <n v="3860"/>
    <n v="3"/>
  </r>
  <r>
    <x v="0"/>
    <x v="0"/>
    <x v="3"/>
    <d v="2023-11-01T00:00:00"/>
    <x v="45"/>
    <n v="6320"/>
    <s v="Kilogram_(kg)"/>
    <n v="252.8"/>
    <s v="DCYCLE SAMadridwaste4523145260"/>
    <n v="6320"/>
    <n v="77.599999999999994"/>
  </r>
  <r>
    <x v="0"/>
    <x v="1"/>
    <x v="2"/>
    <d v="2023-11-15T00:00:00"/>
    <x v="45"/>
    <n v="151.08966769144678"/>
    <s v="therm_(thm)"/>
    <n v="181.31485382388908"/>
    <s v="DCYCLE SAMadrid (A2)heat4524545260"/>
    <n v="151.08966769144678"/>
    <n v="5.6990699069906992"/>
  </r>
  <r>
    <x v="0"/>
    <x v="0"/>
    <x v="0"/>
    <d v="2023-11-28T00:00:00"/>
    <x v="111"/>
    <n v="15.054"/>
    <s v="cubic_metre_(m3)"/>
    <n v="4.5166516651665161"/>
    <s v="DCYCLE SAMadridwater4525845258"/>
    <n v="15.054"/>
    <n v="256"/>
  </r>
  <r>
    <x v="0"/>
    <x v="3"/>
    <x v="1"/>
    <d v="2023-12-01T00:00:00"/>
    <x v="21"/>
    <n v="9523"/>
    <s v="kilowatt_hour_(kwh)"/>
    <n v="1428.4428577857111"/>
    <s v="DCYCLE SABCNelectricity4526145291"/>
    <n v="9523"/>
    <n v="27.902790279027901"/>
  </r>
  <r>
    <x v="0"/>
    <x v="1"/>
    <x v="1"/>
    <d v="2023-12-01T00:00:00"/>
    <x v="21"/>
    <n v="3664.5"/>
    <s v="kilowatt_hour_(kwh)"/>
    <n v="549.67225163874184"/>
    <s v="DCYCLE SAMadrid (A2)electricity4526145291"/>
    <n v="0"/>
    <n v="12792.38603806981"/>
  </r>
  <r>
    <x v="0"/>
    <x v="1"/>
    <x v="1"/>
    <d v="2023-12-01T00:00:00"/>
    <x v="21"/>
    <n v="33985"/>
    <s v="kilowatt_hour_(kwh)"/>
    <n v="5097.7245113774434"/>
    <s v="DCYCLE SAMadrid (A2)electricity4526145291"/>
    <n v="33985"/>
    <n v="913.19543402282989"/>
  </r>
  <r>
    <x v="0"/>
    <x v="1"/>
    <x v="2"/>
    <d v="2023-12-01T00:00:00"/>
    <x v="21"/>
    <n v="386.18628250492202"/>
    <s v="therm_(thm)"/>
    <n v="463.44207668897394"/>
    <s v="DCYCLE SAMadrid (A2)heat4526145291"/>
    <n v="386.18628250492202"/>
    <n v="1168.7941560292199"/>
  </r>
  <r>
    <x v="0"/>
    <x v="0"/>
    <x v="1"/>
    <d v="2023-12-01T00:00:00"/>
    <x v="21"/>
    <n v="2264"/>
    <s v="kilowatt_hour_(kwh)"/>
    <n v="339.59830200848995"/>
    <s v="DCYCLE SAMadridelectricity4526145291"/>
    <n v="0"/>
    <n v="8966.9551652241753"/>
  </r>
  <r>
    <x v="0"/>
    <x v="0"/>
    <x v="1"/>
    <d v="2023-12-01T00:00:00"/>
    <x v="21"/>
    <n v="6799.38"/>
    <s v="kilowatt_hour_(kwh)"/>
    <n v="1019.9019004904976"/>
    <s v="DCYCLE SAMadridelectricity4526145291"/>
    <n v="0"/>
    <n v="469.04765476172622"/>
  </r>
  <r>
    <x v="0"/>
    <x v="0"/>
    <x v="1"/>
    <d v="2023-12-01T00:00:00"/>
    <x v="21"/>
    <n v="55553"/>
    <s v="kilowatt_hour_(kwh)"/>
    <n v="8332.9083354583236"/>
    <s v="DCYCLE SAMadridelectricity4526145291"/>
    <n v="55553"/>
    <n v="2313.1084344578276"/>
  </r>
  <r>
    <x v="0"/>
    <x v="2"/>
    <x v="1"/>
    <d v="2023-12-01T00:00:00"/>
    <x v="21"/>
    <n v="3916.11"/>
    <s v="kilowatt_hour_(kwh)"/>
    <n v="587.41356293218541"/>
    <s v="DCYCLE SATajonarelectricity4526145291"/>
    <n v="3916.11"/>
    <n v="0"/>
  </r>
  <r>
    <x v="0"/>
    <x v="0"/>
    <x v="3"/>
    <d v="2023-12-01T00:00:00"/>
    <x v="21"/>
    <n v="45"/>
    <s v="Kilogram_(kg)"/>
    <n v="1.8"/>
    <s v="DCYCLE SAMadridwaste4526145291"/>
    <n v="45"/>
    <n v="7644.111779441103"/>
  </r>
  <r>
    <x v="0"/>
    <x v="0"/>
    <x v="3"/>
    <d v="2023-12-01T00:00:00"/>
    <x v="21"/>
    <n v="75"/>
    <s v="Kilogram_(kg)"/>
    <n v="3"/>
    <s v="DCYCLE SAMadridwaste4526145291"/>
    <n v="75"/>
    <n v="54.4"/>
  </r>
  <r>
    <x v="0"/>
    <x v="0"/>
    <x v="3"/>
    <d v="2023-12-01T00:00:00"/>
    <x v="21"/>
    <n v="140"/>
    <s v="Kilogram_(kg)"/>
    <n v="5.6"/>
    <s v="DCYCLE SAMadridwaste4526145291"/>
    <n v="140"/>
    <n v="1225.19387403063"/>
  </r>
  <r>
    <x v="0"/>
    <x v="0"/>
    <x v="3"/>
    <d v="2023-12-01T00:00:00"/>
    <x v="21"/>
    <n v="150"/>
    <s v="Kilogram_(kg)"/>
    <n v="6"/>
    <s v="DCYCLE SAMadridwaste4526145291"/>
    <n v="150"/>
    <n v="0"/>
  </r>
  <r>
    <x v="0"/>
    <x v="0"/>
    <x v="3"/>
    <d v="2023-12-01T00:00:00"/>
    <x v="21"/>
    <n v="195"/>
    <s v="Kilogram_(kg)"/>
    <n v="7.8"/>
    <s v="DCYCLE SAMadridwaste4526145291"/>
    <n v="195"/>
    <n v="0"/>
  </r>
  <r>
    <x v="0"/>
    <x v="0"/>
    <x v="3"/>
    <d v="2023-12-01T00:00:00"/>
    <x v="21"/>
    <n v="200"/>
    <s v="Kilogram_(kg)"/>
    <n v="8"/>
    <s v="DCYCLE SAMadridwaste4526145291"/>
    <n v="200"/>
    <n v="7545.7122714386433"/>
  </r>
  <r>
    <x v="0"/>
    <x v="0"/>
    <x v="3"/>
    <d v="2023-12-01T00:00:00"/>
    <x v="21"/>
    <n v="830"/>
    <s v="Kilogram_(kg)"/>
    <n v="33.200000000000003"/>
    <s v="DCYCLE SAMadridwaste4526145291"/>
    <n v="830"/>
    <n v="123.2"/>
  </r>
  <r>
    <x v="0"/>
    <x v="0"/>
    <x v="3"/>
    <d v="2023-12-01T00:00:00"/>
    <x v="21"/>
    <n v="970"/>
    <s v="Kilogram_(kg)"/>
    <n v="38.799999999999997"/>
    <s v="DCYCLE SAMadridwaste4526145291"/>
    <n v="970"/>
    <n v="188.8"/>
  </r>
  <r>
    <x v="0"/>
    <x v="0"/>
    <x v="3"/>
    <d v="2023-12-01T00:00:00"/>
    <x v="21"/>
    <n v="1940"/>
    <s v="Kilogram_(kg)"/>
    <n v="77.599999999999994"/>
    <s v="DCYCLE SAMadridwaste4526145291"/>
    <n v="1940"/>
    <n v="0"/>
  </r>
  <r>
    <x v="0"/>
    <x v="0"/>
    <x v="3"/>
    <d v="2023-12-01T00:00:00"/>
    <x v="21"/>
    <n v="2360"/>
    <s v="Kilogram_(kg)"/>
    <n v="94.4"/>
    <s v="DCYCLE SAMadridwaste4526145291"/>
    <n v="2360"/>
    <n v="4.5166516651665161"/>
  </r>
  <r>
    <x v="0"/>
    <x v="0"/>
    <x v="3"/>
    <d v="2024-01-01T00:00:00"/>
    <x v="113"/>
    <n v="35"/>
    <s v="Kilogram_(kg)"/>
    <n v="1.4"/>
    <s v="DCYCLE SAMadridwaste4529245316"/>
    <n v="35"/>
    <n v="0"/>
  </r>
  <r>
    <x v="6"/>
    <x v="10"/>
    <x v="3"/>
    <d v="2022-01-01T00:00:00"/>
    <x v="1"/>
    <n v="103"/>
    <s v="Kilogram_(kg)"/>
    <n v="4.12"/>
    <s v="Dcycle LtdDcycle Ltdwaste4456244926"/>
    <n v="103"/>
    <n v="4.12"/>
  </r>
  <r>
    <x v="6"/>
    <x v="10"/>
    <x v="3"/>
    <d v="2023-01-01T00:00:00"/>
    <x v="21"/>
    <n v="138.44999999999999"/>
    <s v="Kilogram_(kg)"/>
    <n v="5.5380000000000003"/>
    <s v="Dcycle LtdDcycle Ltdwaste4492745291"/>
    <n v="138.44999999999999"/>
    <n v="5.5379999999999994"/>
  </r>
  <r>
    <x v="6"/>
    <x v="10"/>
    <x v="3"/>
    <d v="2022-01-01T00:00:00"/>
    <x v="1"/>
    <n v="268.60000000000002"/>
    <s v="Kilogram_(kg)"/>
    <n v="10.744"/>
    <s v="Dcycle LtdDcycle Ltdwaste4456244926"/>
    <n v="268.60000000000002"/>
    <n v="10.744000000000002"/>
  </r>
  <r>
    <x v="6"/>
    <x v="10"/>
    <x v="3"/>
    <d v="2023-01-01T00:00:00"/>
    <x v="21"/>
    <n v="280"/>
    <s v="Kilogram_(kg)"/>
    <n v="11.2"/>
    <s v="Dcycle LtdDcycle Ltdwaste4492745291"/>
    <n v="280"/>
    <n v="11.2"/>
  </r>
  <r>
    <x v="6"/>
    <x v="10"/>
    <x v="3"/>
    <d v="2023-01-01T00:00:00"/>
    <x v="21"/>
    <n v="3280"/>
    <s v="Kilogram_(kg)"/>
    <n v="131.19999999999999"/>
    <s v="Dcycle LtdDcycle Ltdwaste4492745291"/>
    <n v="3280"/>
    <n v="131.19999999999999"/>
  </r>
  <r>
    <x v="6"/>
    <x v="10"/>
    <x v="3"/>
    <d v="2022-01-01T00:00:00"/>
    <x v="1"/>
    <n v="4160"/>
    <s v="Kilogram_(kg)"/>
    <n v="166.4"/>
    <s v="Dcycle LtdDcycle Ltdwaste4456244926"/>
    <n v="4160"/>
    <n v="166.4"/>
  </r>
  <r>
    <x v="6"/>
    <x v="10"/>
    <x v="3"/>
    <d v="2022-01-01T00:00:00"/>
    <x v="1"/>
    <n v="13640"/>
    <s v="Kilogram_(kg)"/>
    <n v="545.6"/>
    <s v="Dcycle LtdDcycle Ltdwaste4456244926"/>
    <n v="13640"/>
    <n v="545.6"/>
  </r>
  <r>
    <x v="6"/>
    <x v="10"/>
    <x v="3"/>
    <d v="2023-01-01T00:00:00"/>
    <x v="21"/>
    <n v="14322"/>
    <s v="Kilogram_(kg)"/>
    <n v="572.88"/>
    <s v="Dcycle LtdDcycle Ltdwaste4492745291"/>
    <n v="14322"/>
    <n v="572.88"/>
  </r>
  <r>
    <x v="6"/>
    <x v="10"/>
    <x v="3"/>
    <d v="2022-01-01T00:00:00"/>
    <x v="1"/>
    <n v="21000"/>
    <s v="Kilogram_(kg)"/>
    <n v="840"/>
    <s v="Dcycle LtdDcycle Ltdwaste4456244926"/>
    <n v="21000"/>
    <n v="840"/>
  </r>
  <r>
    <x v="6"/>
    <x v="10"/>
    <x v="3"/>
    <d v="2023-01-01T00:00:00"/>
    <x v="21"/>
    <n v="23300"/>
    <s v="Kilogram_(kg)"/>
    <n v="932"/>
    <s v="Dcycle LtdDcycle Ltdwaste4492745291"/>
    <n v="23300"/>
    <n v="932"/>
  </r>
  <r>
    <x v="7"/>
    <x v="12"/>
    <x v="3"/>
    <d v="2022-01-01T00:00:00"/>
    <x v="1"/>
    <n v="25"/>
    <s v="Kilogram_(kg)"/>
    <n v="1"/>
    <s v="Dcycle SpA ItalyDcycle SpA Italywaste4456244926"/>
    <n v="25"/>
    <n v="1"/>
  </r>
  <r>
    <x v="7"/>
    <x v="12"/>
    <x v="3"/>
    <d v="2023-04-03T00:00:00"/>
    <x v="114"/>
    <n v="25"/>
    <s v="Kilogram_(kg)"/>
    <n v="1"/>
    <s v="Dcycle SpA ItalyDcycle SpA Italywaste4501945020"/>
    <n v="25"/>
    <n v="1"/>
  </r>
  <r>
    <x v="7"/>
    <x v="12"/>
    <x v="3"/>
    <d v="2023-02-09T00:00:00"/>
    <x v="115"/>
    <n v="50"/>
    <s v="Kilogram_(kg)"/>
    <n v="2"/>
    <s v="Dcycle SpA ItalyDcycle SpA Italywaste4496644967"/>
    <n v="50"/>
    <n v="2"/>
  </r>
  <r>
    <x v="7"/>
    <x v="12"/>
    <x v="3"/>
    <d v="2022-01-01T00:00:00"/>
    <x v="1"/>
    <n v="56"/>
    <s v="Kilogram_(kg)"/>
    <n v="2.2400000000000002"/>
    <s v="Dcycle SpA ItalyDcycle SpA Italywaste4456244926"/>
    <n v="56"/>
    <n v="2.2400000000000002"/>
  </r>
  <r>
    <x v="7"/>
    <x v="12"/>
    <x v="3"/>
    <d v="2022-01-01T00:00:00"/>
    <x v="1"/>
    <n v="60"/>
    <s v="Kilogram_(kg)"/>
    <n v="2.4"/>
    <s v="Dcycle SpA ItalyDcycle SpA Italywaste4456244926"/>
    <n v="60"/>
    <n v="2.4"/>
  </r>
  <r>
    <x v="7"/>
    <x v="12"/>
    <x v="3"/>
    <d v="2023-09-04T00:00:00"/>
    <x v="116"/>
    <n v="120"/>
    <s v="Kilogram_(kg)"/>
    <n v="4.8"/>
    <s v="Dcycle SpA ItalyDcycle SpA Italywaste4517345275"/>
    <n v="120"/>
    <n v="4.8"/>
  </r>
  <r>
    <x v="7"/>
    <x v="12"/>
    <x v="3"/>
    <d v="2023-04-03T00:00:00"/>
    <x v="114"/>
    <n v="340"/>
    <s v="Kilogram_(kg)"/>
    <n v="13.6"/>
    <s v="Dcycle SpA ItalyDcycle SpA Italywaste4501945020"/>
    <n v="340"/>
    <n v="13.6"/>
  </r>
  <r>
    <x v="7"/>
    <x v="12"/>
    <x v="3"/>
    <d v="2023-09-04T00:00:00"/>
    <x v="116"/>
    <n v="350"/>
    <s v="Kilogram_(kg)"/>
    <n v="14"/>
    <s v="Dcycle SpA ItalyDcycle SpA Italywaste4517345275"/>
    <n v="350"/>
    <n v="14"/>
  </r>
  <r>
    <x v="7"/>
    <x v="12"/>
    <x v="3"/>
    <d v="2023-04-20T00:00:00"/>
    <x v="106"/>
    <n v="355"/>
    <s v="Kilogram_(kg)"/>
    <n v="14.2"/>
    <s v="Dcycle SpA ItalyDcycle SpA Italywaste4503645173"/>
    <n v="355"/>
    <n v="14.2"/>
  </r>
  <r>
    <x v="7"/>
    <x v="12"/>
    <x v="3"/>
    <d v="2022-01-01T00:00:00"/>
    <x v="1"/>
    <n v="380"/>
    <s v="Kilogram_(kg)"/>
    <n v="15.2"/>
    <s v="Dcycle SpA ItalyDcycle SpA Italywaste4456244926"/>
    <n v="380"/>
    <n v="15.2"/>
  </r>
  <r>
    <x v="7"/>
    <x v="12"/>
    <x v="3"/>
    <d v="2023-03-20T00:00:00"/>
    <x v="106"/>
    <n v="400"/>
    <s v="Kilogram_(kg)"/>
    <n v="16"/>
    <s v="Dcycle SpA ItalyDcycle SpA Italywaste4500545173"/>
    <n v="400"/>
    <n v="16"/>
  </r>
  <r>
    <x v="7"/>
    <x v="12"/>
    <x v="3"/>
    <d v="2022-01-01T00:00:00"/>
    <x v="1"/>
    <n v="425"/>
    <s v="Kilogram_(kg)"/>
    <n v="17"/>
    <s v="Dcycle SpA ItalyDcycle SpA Italywaste4456244926"/>
    <n v="425"/>
    <n v="17"/>
  </r>
  <r>
    <x v="7"/>
    <x v="12"/>
    <x v="3"/>
    <d v="2023-09-04T00:00:00"/>
    <x v="116"/>
    <n v="440"/>
    <s v="Kilogram_(kg)"/>
    <n v="17.600000000000001"/>
    <s v="Dcycle SpA ItalyDcycle SpA Italywaste4517345275"/>
    <n v="440"/>
    <n v="17.600000000000001"/>
  </r>
  <r>
    <x v="7"/>
    <x v="12"/>
    <x v="3"/>
    <d v="2023-11-01T00:00:00"/>
    <x v="116"/>
    <n v="500"/>
    <s v="Kilogram_(kg)"/>
    <n v="20"/>
    <s v="Dcycle SpA ItalyDcycle SpA Italywaste4523145275"/>
    <n v="500"/>
    <n v="20"/>
  </r>
  <r>
    <x v="7"/>
    <x v="12"/>
    <x v="3"/>
    <d v="2023-04-03T00:00:00"/>
    <x v="114"/>
    <n v="600"/>
    <s v="Kilogram_(kg)"/>
    <n v="24"/>
    <s v="Dcycle SpA ItalyDcycle SpA Italywaste4501945020"/>
    <n v="600"/>
    <n v="24"/>
  </r>
  <r>
    <x v="7"/>
    <x v="12"/>
    <x v="3"/>
    <d v="2022-01-01T00:00:00"/>
    <x v="1"/>
    <n v="780"/>
    <s v="Kilogram_(kg)"/>
    <n v="31.2"/>
    <s v="Dcycle SpA ItalyDcycle SpA Italywaste4456244926"/>
    <n v="780"/>
    <n v="31.2"/>
  </r>
  <r>
    <x v="7"/>
    <x v="12"/>
    <x v="3"/>
    <d v="2023-09-04T00:00:00"/>
    <x v="116"/>
    <n v="1641"/>
    <s v="Kilogram_(kg)"/>
    <n v="65.64"/>
    <s v="Dcycle SpA ItalyDcycle SpA Italywaste4517345275"/>
    <n v="1641"/>
    <n v="65.64"/>
  </r>
  <r>
    <x v="7"/>
    <x v="12"/>
    <x v="3"/>
    <d v="2023-09-28T00:00:00"/>
    <x v="116"/>
    <n v="4000"/>
    <s v="Kilogram_(kg)"/>
    <n v="160"/>
    <s v="Dcycle SpA ItalyDcycle SpA Italywaste4519745275"/>
    <n v="4000"/>
    <n v="160"/>
  </r>
  <r>
    <x v="7"/>
    <x v="12"/>
    <x v="3"/>
    <d v="2023-03-01T00:00:00"/>
    <x v="57"/>
    <n v="7290"/>
    <s v="Kilogram_(kg)"/>
    <n v="291.60000000000002"/>
    <s v="Dcycle SpA ItalyDcycle SpA Italywaste4498645142"/>
    <n v="7290"/>
    <n v="291.60000000000002"/>
  </r>
  <r>
    <x v="7"/>
    <x v="12"/>
    <x v="3"/>
    <d v="2023-02-23T00:00:00"/>
    <x v="117"/>
    <n v="8000"/>
    <s v="Kilogram_(kg)"/>
    <n v="320"/>
    <s v="Dcycle SpA ItalyDcycle SpA Italywaste4498045127"/>
    <n v="8000"/>
    <n v="320"/>
  </r>
  <r>
    <x v="7"/>
    <x v="12"/>
    <x v="3"/>
    <d v="2022-01-01T00:00:00"/>
    <x v="1"/>
    <n v="8780"/>
    <s v="Kilogram_(kg)"/>
    <n v="351.2"/>
    <s v="Dcycle SpA ItalyDcycle SpA Italywaste4456244926"/>
    <n v="8780"/>
    <n v="351.2"/>
  </r>
  <r>
    <x v="7"/>
    <x v="12"/>
    <x v="3"/>
    <d v="2023-01-10T00:00:00"/>
    <x v="118"/>
    <n v="10350"/>
    <s v="Kilogram_(kg)"/>
    <n v="414"/>
    <s v="Dcycle SpA ItalyDcycle SpA Italywaste4493644939"/>
    <n v="10350"/>
    <n v="414"/>
  </r>
  <r>
    <x v="7"/>
    <x v="12"/>
    <x v="3"/>
    <d v="2022-01-01T00:00:00"/>
    <x v="1"/>
    <n v="11240"/>
    <s v="Kilogram_(kg)"/>
    <n v="449.6"/>
    <s v="Dcycle SpA ItalyDcycle SpA Italywaste4456244926"/>
    <n v="11240"/>
    <n v="449.6"/>
  </r>
  <r>
    <x v="7"/>
    <x v="12"/>
    <x v="3"/>
    <d v="2022-01-01T00:00:00"/>
    <x v="1"/>
    <n v="13516"/>
    <s v="Kilogram_(kg)"/>
    <n v="540.64"/>
    <s v="Dcycle SpA ItalyDcycle SpA Italywaste4456244926"/>
    <n v="13516"/>
    <n v="540.6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
  <r>
    <x v="0"/>
    <s v="Dcycle Factory SL"/>
    <n v="200101"/>
    <s v="Paper and paperboard."/>
    <s v="null"/>
    <s v="null"/>
    <s v="null"/>
    <d v="2023-01-01T00:00:00"/>
    <x v="0"/>
    <s v="12-31-2023"/>
    <x v="0"/>
    <n v="20517"/>
    <n v="20517000"/>
    <n v="820680"/>
    <n v="820.68"/>
    <n v="2023"/>
    <x v="0"/>
  </r>
  <r>
    <x v="0"/>
    <s v="Dcycle Factory SL"/>
    <n v="200301"/>
    <s v="MIXTURES OF MUNICIPAL WASTE."/>
    <s v="null"/>
    <s v="null"/>
    <s v="null"/>
    <d v="2023-01-01T00:00:00"/>
    <x v="0"/>
    <s v="12-31-2023"/>
    <x v="0"/>
    <n v="20634"/>
    <n v="20634000"/>
    <n v="825360"/>
    <n v="825.36"/>
    <n v="2023"/>
    <x v="0"/>
  </r>
  <r>
    <x v="1"/>
    <s v="D - Bodega 1"/>
    <s v="080317*"/>
    <s v="Printing residues containing hazardous substances."/>
    <s v="null"/>
    <s v="null"/>
    <s v="null"/>
    <d v="2022-01-01T00:00:00"/>
    <x v="1"/>
    <s v="12-31-2022"/>
    <x v="1"/>
    <n v="1"/>
    <n v="1000"/>
    <n v="40"/>
    <n v="0.04"/>
    <n v="2022"/>
    <x v="1"/>
  </r>
  <r>
    <x v="1"/>
    <s v="D - Bodega 2 (almacén)"/>
    <s v="160504*"/>
    <s v="Gases in pressure containers [including halons] containing dangerous substances."/>
    <s v="null"/>
    <s v="null"/>
    <s v="null"/>
    <d v="2023-01-11T00:00:00"/>
    <x v="2"/>
    <s v="11-30-2023"/>
    <x v="2"/>
    <n v="3.5"/>
    <n v="3500"/>
    <n v="140"/>
    <n v="0.14000000000000001"/>
    <n v="2023"/>
    <x v="1"/>
  </r>
  <r>
    <x v="1"/>
    <s v="D - Bodega 2 (almacén)"/>
    <s v="160601*"/>
    <s v="Lead batteries."/>
    <s v="null"/>
    <s v="null"/>
    <s v="null"/>
    <d v="2023-01-11T00:00:00"/>
    <x v="2"/>
    <s v="11-30-2023"/>
    <x v="2"/>
    <n v="5.3"/>
    <n v="5300"/>
    <n v="212"/>
    <n v="0.21199999999999999"/>
    <n v="2023"/>
    <x v="1"/>
  </r>
  <r>
    <x v="1"/>
    <s v="D - Bodega 2 (almacén)"/>
    <s v="150202*"/>
    <s v="Absorbent, filtration materials [including un specified oil filters in another category], cleaning rags and protective clothes contaminated by hazardous substances."/>
    <s v="null"/>
    <s v="null"/>
    <s v="null"/>
    <d v="2023-01-11T00:00:00"/>
    <x v="2"/>
    <s v="11-30-2023"/>
    <x v="2"/>
    <n v="8"/>
    <n v="8000"/>
    <n v="320"/>
    <n v="0.32"/>
    <n v="2023"/>
    <x v="1"/>
  </r>
  <r>
    <x v="1"/>
    <s v="D - Bodega 2 (almacén)"/>
    <n v="160605"/>
    <s v="Other batteries and accumulators."/>
    <s v="null"/>
    <s v="null"/>
    <s v="null"/>
    <d v="2023-01-11T00:00:00"/>
    <x v="2"/>
    <s v="11-30-2023"/>
    <x v="2"/>
    <n v="11"/>
    <n v="11000"/>
    <n v="440"/>
    <n v="0.44"/>
    <n v="2023"/>
    <x v="0"/>
  </r>
  <r>
    <x v="1"/>
    <s v="D - Bodega 2 (almacén)"/>
    <s v="150110*"/>
    <s v="Packaging containing remains of hazardous substances or are contaminated by them."/>
    <s v="null"/>
    <s v="null"/>
    <s v="null"/>
    <d v="2023-01-11T00:00:00"/>
    <x v="2"/>
    <s v="11-30-2023"/>
    <x v="2"/>
    <n v="14"/>
    <n v="14000"/>
    <n v="560"/>
    <n v="0.56000000000000005"/>
    <n v="2023"/>
    <x v="1"/>
  </r>
  <r>
    <x v="1"/>
    <s v="D - Bodega 2 (almacén)"/>
    <n v="160117"/>
    <s v="Ferrous metals."/>
    <s v="null"/>
    <s v="null"/>
    <s v="null"/>
    <d v="2023-01-02T00:00:00"/>
    <x v="3"/>
    <s v="02-28-2023"/>
    <x v="3"/>
    <n v="15"/>
    <n v="15000"/>
    <n v="600"/>
    <n v="0.6"/>
    <n v="2023"/>
    <x v="0"/>
  </r>
  <r>
    <x v="1"/>
    <s v="D - Bodega 2 (almacén)"/>
    <n v="150102"/>
    <s v="Plastic bottles."/>
    <s v="null"/>
    <s v="null"/>
    <s v="null"/>
    <d v="2023-01-09T00:00:00"/>
    <x v="4"/>
    <s v="09-30-2023"/>
    <x v="4"/>
    <n v="40"/>
    <n v="40000"/>
    <n v="1600"/>
    <n v="1.6"/>
    <n v="2023"/>
    <x v="0"/>
  </r>
  <r>
    <x v="1"/>
    <s v="D - Bodega 2 (almacén)"/>
    <n v="150102"/>
    <s v="Plastic bottles."/>
    <s v="null"/>
    <s v="null"/>
    <s v="null"/>
    <d v="2023-01-01T00:00:00"/>
    <x v="0"/>
    <s v="01-31-2023"/>
    <x v="5"/>
    <n v="42"/>
    <n v="42000"/>
    <n v="1680"/>
    <n v="1.68"/>
    <n v="2023"/>
    <x v="0"/>
  </r>
  <r>
    <x v="1"/>
    <s v="D - Bodega 2 (almacén)"/>
    <n v="150102"/>
    <s v="Plastic bottles."/>
    <s v="null"/>
    <s v="null"/>
    <s v="null"/>
    <d v="2023-01-06T00:00:00"/>
    <x v="5"/>
    <s v="06-30-2023"/>
    <x v="6"/>
    <n v="42"/>
    <n v="42000"/>
    <n v="1680"/>
    <n v="1.68"/>
    <n v="2023"/>
    <x v="0"/>
  </r>
  <r>
    <x v="1"/>
    <s v="D - Bodega 2 (almacén)"/>
    <n v="160214"/>
    <s v="Discarded equipment other than those specified in codes 16 02 09 to 16 02 13."/>
    <s v="null"/>
    <s v="null"/>
    <s v="null"/>
    <d v="2023-01-09T00:00:00"/>
    <x v="4"/>
    <s v="09-30-2023"/>
    <x v="4"/>
    <n v="44"/>
    <n v="44000"/>
    <n v="1760"/>
    <n v="1.76"/>
    <n v="2023"/>
    <x v="0"/>
  </r>
  <r>
    <x v="1"/>
    <s v="D - Bodega 2 (almacén)"/>
    <n v="150102"/>
    <s v="Plastic bottles."/>
    <s v="null"/>
    <s v="null"/>
    <s v="null"/>
    <d v="2023-01-07T00:00:00"/>
    <x v="6"/>
    <s v="07-31-2023"/>
    <x v="7"/>
    <n v="47"/>
    <n v="47000"/>
    <n v="1880"/>
    <n v="1.88"/>
    <n v="2023"/>
    <x v="0"/>
  </r>
  <r>
    <x v="1"/>
    <s v="D - Bodega 2 (almacén)"/>
    <n v="150102"/>
    <s v="Plastic bottles."/>
    <s v="null"/>
    <s v="null"/>
    <s v="null"/>
    <d v="2023-01-08T00:00:00"/>
    <x v="7"/>
    <s v="08-31-2023"/>
    <x v="8"/>
    <n v="48"/>
    <n v="48000"/>
    <n v="1920"/>
    <n v="1.92"/>
    <n v="2023"/>
    <x v="0"/>
  </r>
  <r>
    <x v="1"/>
    <s v="D - Bodega 2 (almacén)"/>
    <n v="150102"/>
    <s v="Plastic bottles."/>
    <s v="null"/>
    <s v="null"/>
    <s v="null"/>
    <d v="2023-01-02T00:00:00"/>
    <x v="3"/>
    <s v="02-28-2023"/>
    <x v="3"/>
    <n v="60"/>
    <n v="60000"/>
    <n v="2400"/>
    <n v="2.4"/>
    <n v="2023"/>
    <x v="0"/>
  </r>
  <r>
    <x v="1"/>
    <s v="D - Bodega 2 (almacén)"/>
    <n v="150102"/>
    <s v="Plastic bottles."/>
    <s v="null"/>
    <s v="null"/>
    <s v="null"/>
    <d v="2023-01-05T00:00:00"/>
    <x v="8"/>
    <s v="05-31-2023"/>
    <x v="9"/>
    <n v="63"/>
    <n v="63000"/>
    <n v="2520"/>
    <n v="2.52"/>
    <n v="2023"/>
    <x v="0"/>
  </r>
  <r>
    <x v="1"/>
    <s v="D - Bodega 2 (almacén)"/>
    <n v="150102"/>
    <s v="Plastic bottles."/>
    <s v="null"/>
    <s v="null"/>
    <s v="null"/>
    <d v="2023-01-11T00:00:00"/>
    <x v="2"/>
    <s v="11-30-2023"/>
    <x v="2"/>
    <n v="77"/>
    <n v="77000"/>
    <n v="3080"/>
    <n v="3.08"/>
    <n v="2023"/>
    <x v="0"/>
  </r>
  <r>
    <x v="1"/>
    <s v="D - Bodega 2 (almacén)"/>
    <n v="160117"/>
    <s v="Ferrous metals."/>
    <s v="null"/>
    <s v="null"/>
    <s v="null"/>
    <d v="2023-01-11T00:00:00"/>
    <x v="2"/>
    <s v="11-30-2023"/>
    <x v="2"/>
    <n v="108"/>
    <n v="108000"/>
    <n v="4320"/>
    <n v="4.32"/>
    <n v="2023"/>
    <x v="0"/>
  </r>
  <r>
    <x v="1"/>
    <s v="D - Bodega 2 (almacén)"/>
    <n v="150102"/>
    <s v="Plastic bottles."/>
    <s v="null"/>
    <s v="null"/>
    <s v="null"/>
    <d v="2023-01-03T00:00:00"/>
    <x v="9"/>
    <s v="03-31-2023"/>
    <x v="10"/>
    <n v="170"/>
    <n v="170000"/>
    <n v="6800"/>
    <n v="6.8"/>
    <n v="2023"/>
    <x v="0"/>
  </r>
  <r>
    <x v="1"/>
    <s v="D - Bodega 2 (almacén)"/>
    <n v="150102"/>
    <s v="Plastic bottles."/>
    <s v="null"/>
    <s v="null"/>
    <s v="null"/>
    <d v="2023-01-10T00:00:00"/>
    <x v="10"/>
    <s v="10-31-2023"/>
    <x v="11"/>
    <n v="182"/>
    <n v="182000"/>
    <n v="7280"/>
    <n v="7.28"/>
    <n v="2023"/>
    <x v="0"/>
  </r>
  <r>
    <x v="1"/>
    <s v="D - Bodega 2 (almacén)"/>
    <n v="150101"/>
    <s v="Paper and cardboard containers."/>
    <s v="null"/>
    <s v="null"/>
    <s v="null"/>
    <d v="2023-01-09T00:00:00"/>
    <x v="4"/>
    <s v="09-30-2023"/>
    <x v="4"/>
    <n v="207"/>
    <n v="207000"/>
    <n v="8280"/>
    <n v="8.2799999999999994"/>
    <n v="2023"/>
    <x v="0"/>
  </r>
  <r>
    <x v="1"/>
    <s v="D - Bodega 2 (almacén)"/>
    <n v="160117"/>
    <s v="Ferrous metals."/>
    <s v="null"/>
    <s v="null"/>
    <s v="null"/>
    <d v="2023-01-01T00:00:00"/>
    <x v="0"/>
    <s v="01-31-2023"/>
    <x v="5"/>
    <n v="208"/>
    <n v="208000"/>
    <n v="8320"/>
    <n v="8.32"/>
    <n v="2023"/>
    <x v="0"/>
  </r>
  <r>
    <x v="1"/>
    <s v="D - Bodega 2 (almacén)"/>
    <n v="150101"/>
    <s v="Paper and cardboard containers."/>
    <s v="null"/>
    <s v="null"/>
    <s v="null"/>
    <d v="2023-01-07T00:00:00"/>
    <x v="6"/>
    <s v="07-31-2023"/>
    <x v="7"/>
    <n v="277"/>
    <n v="277000"/>
    <n v="11080"/>
    <n v="11.08"/>
    <n v="2023"/>
    <x v="0"/>
  </r>
  <r>
    <x v="1"/>
    <s v="D - Bodega 2 (almacén)"/>
    <n v="150101"/>
    <s v="Paper and cardboard containers."/>
    <s v="null"/>
    <s v="null"/>
    <s v="null"/>
    <d v="2023-01-02T00:00:00"/>
    <x v="3"/>
    <s v="02-26-2023"/>
    <x v="12"/>
    <n v="280"/>
    <n v="280000"/>
    <n v="11200"/>
    <n v="11.2"/>
    <n v="2023"/>
    <x v="0"/>
  </r>
  <r>
    <x v="1"/>
    <s v="D - Bodega 2 (almacén)"/>
    <n v="150101"/>
    <s v="Paper and cardboard containers."/>
    <s v="null"/>
    <s v="null"/>
    <s v="null"/>
    <d v="2023-01-08T00:00:00"/>
    <x v="7"/>
    <s v="08-31-2023"/>
    <x v="8"/>
    <n v="334"/>
    <n v="334000"/>
    <n v="13360"/>
    <n v="13.36"/>
    <n v="2023"/>
    <x v="0"/>
  </r>
  <r>
    <x v="1"/>
    <s v="D - Bodega 2 (almacén)"/>
    <n v="150101"/>
    <s v="Paper and cardboard containers."/>
    <s v="null"/>
    <s v="null"/>
    <s v="null"/>
    <d v="2023-01-01T00:00:00"/>
    <x v="0"/>
    <s v="01-31-2023"/>
    <x v="5"/>
    <n v="335"/>
    <n v="335000"/>
    <n v="13400"/>
    <n v="13.4"/>
    <n v="2023"/>
    <x v="0"/>
  </r>
  <r>
    <x v="1"/>
    <s v="D - Bodega 2 (almacén)"/>
    <n v="150101"/>
    <s v="Paper and cardboard containers."/>
    <s v="null"/>
    <s v="null"/>
    <s v="null"/>
    <d v="2023-01-06T00:00:00"/>
    <x v="5"/>
    <s v="06-30-2023"/>
    <x v="6"/>
    <n v="352"/>
    <n v="352000"/>
    <n v="14080"/>
    <n v="14.08"/>
    <n v="2023"/>
    <x v="0"/>
  </r>
  <r>
    <x v="1"/>
    <s v="D - Bodega 2 (almacén)"/>
    <n v="150101"/>
    <s v="Paper and cardboard containers."/>
    <s v="null"/>
    <s v="null"/>
    <s v="null"/>
    <d v="2023-01-05T00:00:00"/>
    <x v="8"/>
    <s v="05-31-2023"/>
    <x v="9"/>
    <n v="365"/>
    <n v="365000"/>
    <n v="14600"/>
    <n v="14.6"/>
    <n v="2023"/>
    <x v="0"/>
  </r>
  <r>
    <x v="1"/>
    <s v="D - Bodega 2 (almacén)"/>
    <n v="150101"/>
    <s v="Paper and cardboard containers."/>
    <s v="null"/>
    <s v="null"/>
    <s v="null"/>
    <d v="2023-01-11T00:00:00"/>
    <x v="2"/>
    <s v="11-30-2023"/>
    <x v="2"/>
    <n v="398"/>
    <n v="398000"/>
    <n v="15920"/>
    <n v="15.92"/>
    <n v="2023"/>
    <x v="0"/>
  </r>
  <r>
    <x v="1"/>
    <s v="D - Bodega 2 (almacén)"/>
    <n v="150101"/>
    <s v="Paper and cardboard containers."/>
    <s v="null"/>
    <s v="null"/>
    <s v="null"/>
    <d v="2023-01-12T00:00:00"/>
    <x v="11"/>
    <s v="12-31-2023"/>
    <x v="0"/>
    <n v="515"/>
    <n v="515000"/>
    <n v="20600"/>
    <n v="20.6"/>
    <n v="2023"/>
    <x v="0"/>
  </r>
  <r>
    <x v="1"/>
    <s v="D - Bodega 2 (almacén)"/>
    <n v="150101"/>
    <s v="Paper and cardboard containers."/>
    <s v="null"/>
    <s v="null"/>
    <s v="null"/>
    <s v="09-29-2023"/>
    <x v="12"/>
    <s v="10-29-2023"/>
    <x v="13"/>
    <n v="645"/>
    <n v="645000"/>
    <n v="25800"/>
    <n v="25.8"/>
    <n v="2023"/>
    <x v="0"/>
  </r>
  <r>
    <x v="1"/>
    <s v="D - Bodega 2 (almacén)"/>
    <n v="150101"/>
    <s v="Paper and cardboard containers."/>
    <s v="null"/>
    <s v="null"/>
    <s v="null"/>
    <d v="2023-01-03T00:00:00"/>
    <x v="9"/>
    <s v="03-31-2023"/>
    <x v="10"/>
    <n v="812"/>
    <n v="812000"/>
    <n v="32480"/>
    <n v="32.479999999999997"/>
    <n v="2023"/>
    <x v="0"/>
  </r>
  <r>
    <x v="1"/>
    <s v="D - Bodega 1"/>
    <n v="160117"/>
    <s v="Ferrous metals."/>
    <s v="null"/>
    <s v="null"/>
    <s v="null"/>
    <d v="2022-01-01T00:00:00"/>
    <x v="1"/>
    <s v="12-31-2022"/>
    <x v="1"/>
    <n v="1496"/>
    <n v="1496000"/>
    <n v="59840"/>
    <n v="59.84"/>
    <n v="2022"/>
    <x v="0"/>
  </r>
  <r>
    <x v="1"/>
    <s v="D - Bodega 1"/>
    <n v="150101"/>
    <s v="Paper and cardboard containers."/>
    <s v="null"/>
    <s v="null"/>
    <s v="null"/>
    <d v="2022-01-01T00:00:00"/>
    <x v="1"/>
    <s v="12-31-2022"/>
    <x v="1"/>
    <n v="3633"/>
    <n v="3633000"/>
    <n v="145320"/>
    <n v="145.32"/>
    <n v="2022"/>
    <x v="0"/>
  </r>
  <r>
    <x v="1"/>
    <s v="D - Bodega 1"/>
    <n v="200301"/>
    <s v="MIXTURES OF MUNICIPAL WASTE."/>
    <s v="null"/>
    <s v="null"/>
    <s v="null"/>
    <d v="2022-01-01T00:00:00"/>
    <x v="1"/>
    <s v="12-31-2022"/>
    <x v="1"/>
    <n v="17600"/>
    <n v="17600000"/>
    <n v="704000"/>
    <n v="704"/>
    <n v="2022"/>
    <x v="0"/>
  </r>
  <r>
    <x v="2"/>
    <s v="Madrid"/>
    <s v="101011*"/>
    <s v="Other particles that contain dangerous substances."/>
    <s v="null"/>
    <s v="R04"/>
    <s v="Metal recycling"/>
    <d v="2023-01-07T00:00:00"/>
    <x v="6"/>
    <s v="07-31-2023"/>
    <x v="7"/>
    <n v="19"/>
    <n v="19000"/>
    <n v="760"/>
    <n v="0.76"/>
    <n v="2023"/>
    <x v="1"/>
  </r>
  <r>
    <x v="2"/>
    <s v="Madrid"/>
    <n v="10101"/>
    <s v="Residues of metal mineral extraction."/>
    <s v="null"/>
    <s v="D01"/>
    <s v="Deposit on the floor or its interior"/>
    <d v="2024-01-01T00:00:00"/>
    <x v="13"/>
    <s v="01-25-2024"/>
    <x v="14"/>
    <n v="35"/>
    <n v="35000"/>
    <n v="1400"/>
    <n v="1.4"/>
    <n v="2024"/>
    <x v="0"/>
  </r>
  <r>
    <x v="2"/>
    <s v="Madrid"/>
    <s v="160504*"/>
    <s v="Gases in pressure containers [including halons] containing dangerous substances."/>
    <s v="null"/>
    <s v="R04"/>
    <s v="Metal recycling"/>
    <d v="2023-01-12T00:00:00"/>
    <x v="11"/>
    <s v="12-31-2023"/>
    <x v="0"/>
    <n v="45"/>
    <n v="45000"/>
    <n v="1800"/>
    <n v="1.8"/>
    <n v="2023"/>
    <x v="1"/>
  </r>
  <r>
    <x v="2"/>
    <s v="Madrid"/>
    <n v="80318"/>
    <s v="Printing residues other than those specified in Code 08 03 17."/>
    <s v="null"/>
    <s v="R03"/>
    <s v="Recycling/recovery of organic substances"/>
    <d v="2023-01-07T00:00:00"/>
    <x v="6"/>
    <s v="07-31-2023"/>
    <x v="7"/>
    <n v="65"/>
    <n v="65000"/>
    <n v="2600"/>
    <n v="2.6"/>
    <n v="2023"/>
    <x v="0"/>
  </r>
  <r>
    <x v="2"/>
    <s v="Madrid"/>
    <s v="200121*"/>
    <s v="Fluorescent tubes and other residues containing mercury."/>
    <s v="null"/>
    <s v="R04"/>
    <s v="Metal recycling"/>
    <d v="2023-01-12T00:00:00"/>
    <x v="11"/>
    <s v="12-31-2023"/>
    <x v="0"/>
    <n v="75"/>
    <n v="75000"/>
    <n v="3000"/>
    <n v="3"/>
    <n v="2023"/>
    <x v="1"/>
  </r>
  <r>
    <x v="2"/>
    <s v="Madrid"/>
    <s v="150110*"/>
    <s v="Packaging containing remains of hazardous substances or are contaminated by them."/>
    <s v="null"/>
    <s v="R03"/>
    <s v="Recycling/recovery of organic substances"/>
    <d v="2023-01-07T00:00:00"/>
    <x v="6"/>
    <s v="07-31-2023"/>
    <x v="7"/>
    <n v="140"/>
    <n v="140000"/>
    <n v="5600"/>
    <n v="5.6"/>
    <n v="2023"/>
    <x v="1"/>
  </r>
  <r>
    <x v="2"/>
    <s v="Madrid"/>
    <s v="150110*"/>
    <s v="Packaging containing remains of hazardous substances or are contaminated by them."/>
    <s v="null"/>
    <s v="R03"/>
    <s v="Recycling/recovery of organic substances"/>
    <d v="2023-01-12T00:00:00"/>
    <x v="11"/>
    <s v="12-31-2023"/>
    <x v="0"/>
    <n v="140"/>
    <n v="140000"/>
    <n v="5600"/>
    <n v="5.6"/>
    <n v="2023"/>
    <x v="1"/>
  </r>
  <r>
    <x v="2"/>
    <s v="Madrid"/>
    <m/>
    <m/>
    <s v="Productos caducados con tratamiento D13"/>
    <s v="null"/>
    <s v="null"/>
    <d v="2023-01-12T00:00:00"/>
    <x v="11"/>
    <s v="12-31-2023"/>
    <x v="0"/>
    <n v="150"/>
    <n v="150000"/>
    <n v="6000"/>
    <n v="6"/>
    <n v="2023"/>
    <x v="0"/>
  </r>
  <r>
    <x v="2"/>
    <s v="Madrid"/>
    <s v="150202*"/>
    <s v="Absorbent, filtration materials [including un specified oil filters in another category], cleaning rags and protective clothes contaminated by hazardous substances."/>
    <s v="null"/>
    <s v="D05"/>
    <s v="Deposit in controlled places"/>
    <d v="2023-01-07T00:00:00"/>
    <x v="6"/>
    <s v="07-31-2023"/>
    <x v="7"/>
    <n v="150"/>
    <n v="150000"/>
    <n v="6000"/>
    <n v="6"/>
    <n v="2023"/>
    <x v="1"/>
  </r>
  <r>
    <x v="2"/>
    <s v="Madrid"/>
    <s v="200121*"/>
    <s v="Fluorescent tubes and other residues containing mercury."/>
    <s v="null"/>
    <s v="R04"/>
    <s v="Metal recycling"/>
    <d v="2023-01-07T00:00:00"/>
    <x v="6"/>
    <s v="07-31-2023"/>
    <x v="7"/>
    <n v="165"/>
    <n v="165000"/>
    <n v="6600"/>
    <n v="6.6"/>
    <n v="2023"/>
    <x v="1"/>
  </r>
  <r>
    <x v="2"/>
    <s v="Madrid"/>
    <s v="150202*"/>
    <s v="Absorbent, filtration materials [including un specified oil filters in another category], cleaning rags and protective clothes contaminated by hazardous substances."/>
    <s v="null"/>
    <s v="D05"/>
    <s v="Deposit in controlled places"/>
    <d v="2023-01-12T00:00:00"/>
    <x v="11"/>
    <s v="12-31-2023"/>
    <x v="0"/>
    <n v="195"/>
    <n v="195000"/>
    <n v="7800"/>
    <n v="7.8"/>
    <n v="2023"/>
    <x v="1"/>
  </r>
  <r>
    <x v="2"/>
    <s v="Madrid"/>
    <s v="200135*"/>
    <s v="Discarded electrical and electronic equipment, other than those specified in codes 21 01 21 and 20 01 23, which contain dangerous components [9]."/>
    <s v="null"/>
    <s v="R04"/>
    <s v="Metal recycling"/>
    <d v="2023-01-07T00:00:00"/>
    <x v="6"/>
    <s v="07-31-2023"/>
    <x v="7"/>
    <n v="200"/>
    <n v="200000"/>
    <n v="8000"/>
    <n v="8"/>
    <n v="2023"/>
    <x v="1"/>
  </r>
  <r>
    <x v="2"/>
    <s v="Madrid"/>
    <s v="200135*"/>
    <s v="Discarded electrical and electronic equipment, other than those specified in codes 21 01 21 and 20 01 23, which contain dangerous components [9]."/>
    <s v="null"/>
    <s v="R04"/>
    <s v="Metal recycling"/>
    <d v="2023-01-12T00:00:00"/>
    <x v="11"/>
    <s v="12-31-2023"/>
    <x v="0"/>
    <n v="200"/>
    <n v="200000"/>
    <n v="8000"/>
    <n v="8"/>
    <n v="2023"/>
    <x v="1"/>
  </r>
  <r>
    <x v="2"/>
    <s v="Madrid"/>
    <n v="160117"/>
    <s v="Ferrous metals."/>
    <s v="null"/>
    <s v="R04"/>
    <s v="Metal recycling"/>
    <d v="2023-01-07T00:00:00"/>
    <x v="6"/>
    <s v="07-31-2023"/>
    <x v="7"/>
    <n v="560"/>
    <n v="560000"/>
    <n v="22400"/>
    <n v="22.4"/>
    <n v="2023"/>
    <x v="0"/>
  </r>
  <r>
    <x v="2"/>
    <s v="Madrid"/>
    <n v="160117"/>
    <s v="Ferrous metals."/>
    <s v="null"/>
    <s v="R04"/>
    <s v="Metal recycling"/>
    <d v="2023-01-05T00:00:00"/>
    <x v="8"/>
    <s v="05-31-2023"/>
    <x v="9"/>
    <n v="820"/>
    <n v="820000"/>
    <n v="32800"/>
    <n v="32.799999999999997"/>
    <n v="2023"/>
    <x v="0"/>
  </r>
  <r>
    <x v="2"/>
    <s v="Madrid"/>
    <m/>
    <m/>
    <s v="Aguas de poliol-isocianato con tratamiento D09"/>
    <s v="null"/>
    <s v="null"/>
    <d v="2023-01-12T00:00:00"/>
    <x v="11"/>
    <s v="12-31-2023"/>
    <x v="0"/>
    <n v="830"/>
    <n v="830000"/>
    <n v="33200"/>
    <n v="33.200000000000003"/>
    <n v="2023"/>
    <x v="0"/>
  </r>
  <r>
    <x v="2"/>
    <s v="Madrid"/>
    <n v="160214"/>
    <s v="Discarded equipment other than those specified in codes 16 02 09 to 16 02 13."/>
    <s v="null"/>
    <s v="R04"/>
    <s v="Metal recycling"/>
    <d v="2023-01-12T00:00:00"/>
    <x v="11"/>
    <s v="12-31-2023"/>
    <x v="0"/>
    <n v="970"/>
    <n v="970000"/>
    <n v="38800"/>
    <n v="38.799999999999997"/>
    <n v="2023"/>
    <x v="0"/>
  </r>
  <r>
    <x v="2"/>
    <s v="Madrid"/>
    <n v="150103"/>
    <s v="Wooden containers."/>
    <s v="null"/>
    <s v="R12"/>
    <s v="Waste exchange to submit them to R1 to R10 operations"/>
    <d v="2023-01-04T00:00:00"/>
    <x v="14"/>
    <s v="04-30-2023"/>
    <x v="15"/>
    <n v="1220"/>
    <n v="1220000"/>
    <n v="48800"/>
    <n v="48.8"/>
    <n v="2023"/>
    <x v="0"/>
  </r>
  <r>
    <x v="2"/>
    <s v="Madrid"/>
    <n v="150101"/>
    <s v="Paper and cardboard containers."/>
    <s v="null"/>
    <s v="R03"/>
    <s v="Recycling/recovery of organic substances"/>
    <d v="2023-01-09T00:00:00"/>
    <x v="4"/>
    <s v="09-30-2023"/>
    <x v="4"/>
    <n v="1360"/>
    <n v="1360000"/>
    <n v="54400"/>
    <n v="54.4"/>
    <n v="2023"/>
    <x v="0"/>
  </r>
  <r>
    <x v="2"/>
    <s v="Madrid"/>
    <n v="150103"/>
    <s v="Wooden containers."/>
    <s v="null"/>
    <s v="R12"/>
    <s v="Waste exchange to submit them to R1 to R10 operations"/>
    <d v="2023-01-07T00:00:00"/>
    <x v="6"/>
    <s v="07-31-2023"/>
    <x v="7"/>
    <n v="1840"/>
    <n v="1840000"/>
    <n v="73600"/>
    <n v="73.599999999999994"/>
    <n v="2023"/>
    <x v="0"/>
  </r>
  <r>
    <x v="2"/>
    <s v="Madrid"/>
    <n v="150103"/>
    <s v="Wooden containers."/>
    <s v="null"/>
    <s v="R12"/>
    <s v="Waste exchange to submit them to R1 to R10 operations"/>
    <d v="2023-01-11T00:00:00"/>
    <x v="2"/>
    <s v="11-30-2023"/>
    <x v="2"/>
    <n v="1840"/>
    <n v="1840000"/>
    <n v="73600"/>
    <n v="73.599999999999994"/>
    <n v="2023"/>
    <x v="0"/>
  </r>
  <r>
    <x v="2"/>
    <s v="Madrid"/>
    <n v="150101"/>
    <s v="Paper and cardboard containers."/>
    <s v="null"/>
    <s v="R03"/>
    <s v="Recycling/recovery of organic substances"/>
    <d v="2023-01-12T00:00:00"/>
    <x v="11"/>
    <s v="12-31-2023"/>
    <x v="0"/>
    <n v="1940"/>
    <n v="1940000"/>
    <n v="77600"/>
    <n v="77.599999999999994"/>
    <n v="2023"/>
    <x v="0"/>
  </r>
  <r>
    <x v="2"/>
    <s v="Madrid"/>
    <s v="120301*"/>
    <s v="Aqueous cleaning liquids."/>
    <s v="Aguas de poliol-isocianato con tratamiento D09"/>
    <s v="null"/>
    <s v="null"/>
    <d v="2023-01-07T00:00:00"/>
    <x v="6"/>
    <s v="07-31-2023"/>
    <x v="7"/>
    <n v="1950"/>
    <n v="1950000"/>
    <n v="78000"/>
    <n v="78"/>
    <n v="2023"/>
    <x v="1"/>
  </r>
  <r>
    <x v="2"/>
    <s v="Madrid"/>
    <n v="150103"/>
    <s v="Wooden containers."/>
    <s v="null"/>
    <s v="R12"/>
    <s v="Waste exchange to submit them to R1 to R10 operations"/>
    <d v="2023-01-03T00:00:00"/>
    <x v="9"/>
    <s v="03-31-2023"/>
    <x v="10"/>
    <n v="1960"/>
    <n v="1960000"/>
    <n v="78400"/>
    <n v="78.400000000000006"/>
    <n v="2023"/>
    <x v="0"/>
  </r>
  <r>
    <x v="2"/>
    <s v="Madrid"/>
    <n v="150103"/>
    <s v="Wooden containers."/>
    <s v="null"/>
    <s v="R12"/>
    <s v="Waste exchange to submit them to R1 to R10 operations"/>
    <d v="2023-01-05T00:00:00"/>
    <x v="8"/>
    <s v="05-31-2023"/>
    <x v="9"/>
    <n v="2000"/>
    <n v="2000000"/>
    <n v="80000"/>
    <n v="80"/>
    <n v="2023"/>
    <x v="0"/>
  </r>
  <r>
    <x v="2"/>
    <s v="Madrid"/>
    <n v="160117"/>
    <s v="Ferrous metals."/>
    <s v="null"/>
    <s v="R04"/>
    <s v="Metal recycling"/>
    <d v="2023-01-06T00:00:00"/>
    <x v="5"/>
    <s v="06-30-2023"/>
    <x v="6"/>
    <n v="2000"/>
    <n v="2000000"/>
    <n v="80000"/>
    <n v="80"/>
    <n v="2023"/>
    <x v="0"/>
  </r>
  <r>
    <x v="2"/>
    <s v="Madrid"/>
    <n v="160117"/>
    <s v="Ferrous metals."/>
    <s v="null"/>
    <s v="R04"/>
    <s v="Metal recycling"/>
    <d v="2023-01-03T00:00:00"/>
    <x v="9"/>
    <s v="03-31-2023"/>
    <x v="10"/>
    <n v="2080"/>
    <n v="2080000"/>
    <n v="83200"/>
    <n v="83.2"/>
    <n v="2023"/>
    <x v="0"/>
  </r>
  <r>
    <x v="2"/>
    <s v="Madrid"/>
    <n v="150103"/>
    <s v="Wooden containers."/>
    <s v="null"/>
    <s v="R12"/>
    <s v="Waste exchange to submit them to R1 to R10 operations"/>
    <d v="2023-01-02T00:00:00"/>
    <x v="3"/>
    <s v="02-28-2023"/>
    <x v="3"/>
    <n v="2100"/>
    <n v="2100000"/>
    <n v="84000"/>
    <n v="84"/>
    <n v="2023"/>
    <x v="0"/>
  </r>
  <r>
    <x v="2"/>
    <s v="Madrid"/>
    <n v="160117"/>
    <s v="Ferrous metals."/>
    <s v="null"/>
    <s v="R04"/>
    <s v="Metal recycling"/>
    <d v="2023-01-02T00:00:00"/>
    <x v="3"/>
    <s v="02-28-2023"/>
    <x v="3"/>
    <n v="2100"/>
    <n v="2100000"/>
    <n v="84000"/>
    <n v="84"/>
    <n v="2023"/>
    <x v="0"/>
  </r>
  <r>
    <x v="2"/>
    <s v="Madrid"/>
    <n v="150102"/>
    <s v="Plastic bottles."/>
    <s v="null"/>
    <s v="R03"/>
    <s v="Recycling/recovery of organic substances"/>
    <d v="2023-01-06T00:00:00"/>
    <x v="5"/>
    <s v="06-30-2023"/>
    <x v="6"/>
    <n v="2150"/>
    <n v="2150000"/>
    <n v="86000"/>
    <n v="86"/>
    <n v="2023"/>
    <x v="0"/>
  </r>
  <r>
    <x v="2"/>
    <s v="Madrid"/>
    <n v="150102"/>
    <s v="Plastic bottles."/>
    <s v="null"/>
    <s v="R03"/>
    <s v="Recycling/recovery of organic substances"/>
    <d v="2023-01-03T00:00:00"/>
    <x v="9"/>
    <s v="03-31-2023"/>
    <x v="10"/>
    <n v="2200"/>
    <n v="2200000"/>
    <n v="88000"/>
    <n v="88"/>
    <n v="2023"/>
    <x v="0"/>
  </r>
  <r>
    <x v="2"/>
    <s v="Madrid"/>
    <n v="150101"/>
    <s v="Paper and cardboard containers."/>
    <s v="null"/>
    <s v="R03"/>
    <s v="Recycling/recovery of organic substances"/>
    <d v="2023-01-05T00:00:00"/>
    <x v="8"/>
    <s v="05-31-2023"/>
    <x v="9"/>
    <n v="2220"/>
    <n v="2220000"/>
    <n v="88800"/>
    <n v="88.8"/>
    <n v="2023"/>
    <x v="0"/>
  </r>
  <r>
    <x v="2"/>
    <s v="Madrid"/>
    <n v="150103"/>
    <s v="Wooden containers."/>
    <s v="null"/>
    <s v="R12"/>
    <s v="Waste exchange to submit them to R1 to R10 operations"/>
    <d v="2023-01-12T00:00:00"/>
    <x v="11"/>
    <s v="12-31-2023"/>
    <x v="0"/>
    <n v="2360"/>
    <n v="2360000"/>
    <n v="94400"/>
    <n v="94.4"/>
    <n v="2023"/>
    <x v="0"/>
  </r>
  <r>
    <x v="2"/>
    <s v="Madrid"/>
    <n v="150102"/>
    <s v="Plastic bottles."/>
    <s v="null"/>
    <s v="R03"/>
    <s v="Recycling/recovery of organic substances"/>
    <d v="2023-01-10T00:00:00"/>
    <x v="10"/>
    <s v="10-31-2023"/>
    <x v="11"/>
    <n v="2400"/>
    <n v="2400000"/>
    <n v="96000"/>
    <n v="96"/>
    <n v="2023"/>
    <x v="0"/>
  </r>
  <r>
    <x v="2"/>
    <s v="Madrid"/>
    <n v="150103"/>
    <s v="Wooden containers."/>
    <s v="null"/>
    <s v="R12"/>
    <s v="Waste exchange to submit them to R1 to R10 operations"/>
    <d v="2023-01-08T00:00:00"/>
    <x v="7"/>
    <s v="08-31-2023"/>
    <x v="8"/>
    <n v="2440"/>
    <n v="2440000"/>
    <n v="97600"/>
    <n v="97.6"/>
    <n v="2023"/>
    <x v="0"/>
  </r>
  <r>
    <x v="2"/>
    <s v="Madrid"/>
    <n v="150101"/>
    <s v="Paper and cardboard containers."/>
    <s v="null"/>
    <s v="R03"/>
    <s v="Recycling/recovery of organic substances"/>
    <d v="2023-01-02T00:00:00"/>
    <x v="3"/>
    <s v="02-28-2023"/>
    <x v="3"/>
    <n v="2860"/>
    <n v="2860000"/>
    <n v="114400"/>
    <n v="114.4"/>
    <n v="2023"/>
    <x v="0"/>
  </r>
  <r>
    <x v="2"/>
    <s v="Madrid"/>
    <n v="150102"/>
    <s v="Plastic bottles."/>
    <s v="null"/>
    <s v="R03"/>
    <s v="Recycling/recovery of organic substances"/>
    <d v="2023-01-01T00:00:00"/>
    <x v="0"/>
    <s v="01-31-2023"/>
    <x v="5"/>
    <n v="2940"/>
    <n v="2940000"/>
    <n v="117600"/>
    <n v="117.6"/>
    <n v="2023"/>
    <x v="0"/>
  </r>
  <r>
    <x v="2"/>
    <s v="Madrid"/>
    <n v="150103"/>
    <s v="Wooden containers."/>
    <s v="null"/>
    <s v="R12"/>
    <s v="Waste exchange to submit them to R1 to R10 operations"/>
    <d v="2023-01-09T00:00:00"/>
    <x v="4"/>
    <s v="09-30-2023"/>
    <x v="4"/>
    <n v="3020"/>
    <n v="3020000"/>
    <n v="120800"/>
    <n v="120.8"/>
    <n v="2023"/>
    <x v="0"/>
  </r>
  <r>
    <x v="2"/>
    <s v="Madrid"/>
    <n v="150103"/>
    <s v="Wooden containers."/>
    <s v="null"/>
    <s v="R12"/>
    <s v="Waste exchange to submit them to R1 to R10 operations"/>
    <d v="2023-01-10T00:00:00"/>
    <x v="10"/>
    <s v="10-31-2023"/>
    <x v="11"/>
    <n v="3080"/>
    <n v="3080000"/>
    <n v="123200"/>
    <n v="123.2"/>
    <n v="2023"/>
    <x v="0"/>
  </r>
  <r>
    <x v="2"/>
    <s v="Madrid"/>
    <n v="150101"/>
    <s v="Paper and cardboard containers."/>
    <s v="null"/>
    <s v="R03"/>
    <s v="Recycling/recovery of organic substances"/>
    <d v="2023-01-01T00:00:00"/>
    <x v="0"/>
    <s v="01-31-2023"/>
    <x v="5"/>
    <n v="3100"/>
    <n v="3100000"/>
    <n v="124000"/>
    <n v="124"/>
    <n v="2023"/>
    <x v="0"/>
  </r>
  <r>
    <x v="2"/>
    <s v="Madrid"/>
    <n v="160117"/>
    <s v="Ferrous metals."/>
    <s v="null"/>
    <s v="R04"/>
    <s v="Metal recycling"/>
    <d v="2023-01-11T00:00:00"/>
    <x v="2"/>
    <s v="11-30-2023"/>
    <x v="2"/>
    <n v="3200"/>
    <n v="3200000"/>
    <n v="128000"/>
    <n v="128"/>
    <n v="2023"/>
    <x v="0"/>
  </r>
  <r>
    <x v="2"/>
    <s v="Madrid"/>
    <n v="160117"/>
    <s v="Ferrous metals."/>
    <s v="null"/>
    <s v="R04"/>
    <s v="Metal recycling"/>
    <d v="2023-01-01T00:00:00"/>
    <x v="0"/>
    <s v="01-31-2023"/>
    <x v="5"/>
    <n v="3440"/>
    <n v="3440000"/>
    <n v="137600"/>
    <n v="137.6"/>
    <n v="2023"/>
    <x v="0"/>
  </r>
  <r>
    <x v="2"/>
    <s v="Madrid"/>
    <n v="150101"/>
    <s v="Paper and cardboard containers."/>
    <s v="null"/>
    <s v="R03"/>
    <s v="Recycling/recovery of organic substances"/>
    <d v="2023-01-11T00:00:00"/>
    <x v="2"/>
    <s v="11-30-2023"/>
    <x v="2"/>
    <n v="3860"/>
    <n v="3860000"/>
    <n v="154400"/>
    <n v="154.4"/>
    <n v="2023"/>
    <x v="0"/>
  </r>
  <r>
    <x v="2"/>
    <s v="Madrid"/>
    <n v="150101"/>
    <s v="Paper and cardboard containers."/>
    <s v="null"/>
    <s v="R03"/>
    <s v="Recycling/recovery of organic substances"/>
    <d v="2023-01-08T00:00:00"/>
    <x v="7"/>
    <s v="08-31-2023"/>
    <x v="8"/>
    <n v="4480"/>
    <n v="4480000"/>
    <n v="179200"/>
    <n v="179.2"/>
    <n v="2023"/>
    <x v="0"/>
  </r>
  <r>
    <x v="2"/>
    <s v="Madrid"/>
    <n v="150101"/>
    <s v="Paper and cardboard containers."/>
    <s v="null"/>
    <s v="R03"/>
    <s v="Recycling/recovery of organic substances"/>
    <d v="2023-01-10T00:00:00"/>
    <x v="10"/>
    <s v="10-31-2023"/>
    <x v="11"/>
    <n v="4720"/>
    <n v="4720000"/>
    <n v="188800"/>
    <n v="188.8"/>
    <n v="2023"/>
    <x v="0"/>
  </r>
  <r>
    <x v="2"/>
    <s v="Madrid"/>
    <n v="150103"/>
    <s v="Wooden containers."/>
    <s v="null"/>
    <s v="R12"/>
    <s v="Waste exchange to submit them to R1 to R10 operations"/>
    <d v="2023-01-01T00:00:00"/>
    <x v="0"/>
    <s v="01-31-2023"/>
    <x v="5"/>
    <n v="5180"/>
    <n v="5180000"/>
    <n v="207200"/>
    <n v="207.2"/>
    <n v="2023"/>
    <x v="0"/>
  </r>
  <r>
    <x v="2"/>
    <s v="Madrid"/>
    <n v="200301"/>
    <s v="MIXTURES OF MUNICIPAL WASTE."/>
    <s v="null"/>
    <s v="D05"/>
    <s v="Deposit in controlled places"/>
    <d v="2023-01-07T00:00:00"/>
    <x v="6"/>
    <s v="07-31-2023"/>
    <x v="7"/>
    <n v="5340"/>
    <n v="5340000"/>
    <n v="213600"/>
    <n v="213.6"/>
    <n v="2023"/>
    <x v="0"/>
  </r>
  <r>
    <x v="2"/>
    <s v="Madrid"/>
    <n v="150103"/>
    <s v="Wooden containers."/>
    <s v="null"/>
    <s v="R12"/>
    <s v="Waste exchange to submit them to R1 to R10 operations"/>
    <d v="2023-01-06T00:00:00"/>
    <x v="5"/>
    <s v="06-30-2023"/>
    <x v="6"/>
    <n v="6140"/>
    <n v="6140000"/>
    <n v="245600"/>
    <n v="245.6"/>
    <n v="2023"/>
    <x v="0"/>
  </r>
  <r>
    <x v="2"/>
    <s v="Madrid"/>
    <n v="150101"/>
    <s v="Paper and cardboard containers."/>
    <s v="null"/>
    <s v="R03"/>
    <s v="Recycling/recovery of organic substances"/>
    <d v="2023-01-03T00:00:00"/>
    <x v="9"/>
    <s v="03-31-2023"/>
    <x v="10"/>
    <n v="6300"/>
    <n v="6300000"/>
    <n v="252000"/>
    <n v="252"/>
    <n v="2023"/>
    <x v="0"/>
  </r>
  <r>
    <x v="2"/>
    <s v="Madrid"/>
    <n v="200301"/>
    <s v="MIXTURES OF MUNICIPAL WASTE."/>
    <s v="null"/>
    <s v="D05"/>
    <s v="Deposit in controlled places"/>
    <d v="2023-01-11T00:00:00"/>
    <x v="2"/>
    <s v="11-30-2023"/>
    <x v="2"/>
    <n v="6320"/>
    <n v="6320000"/>
    <n v="252800"/>
    <n v="252.8"/>
    <n v="2023"/>
    <x v="0"/>
  </r>
  <r>
    <x v="2"/>
    <s v="Madrid"/>
    <n v="150101"/>
    <s v="Paper and cardboard containers."/>
    <s v="null"/>
    <s v="R03"/>
    <s v="Recycling/recovery of organic substances"/>
    <d v="2023-01-06T00:00:00"/>
    <x v="5"/>
    <s v="06-30-2023"/>
    <x v="6"/>
    <n v="6400"/>
    <n v="6400000"/>
    <n v="256000"/>
    <n v="256"/>
    <n v="2023"/>
    <x v="0"/>
  </r>
  <r>
    <x v="2"/>
    <s v="Madrid"/>
    <n v="160117"/>
    <s v="Ferrous metals."/>
    <s v="null"/>
    <s v="R04"/>
    <s v="Metal recycling"/>
    <d v="2023-01-10T00:00:00"/>
    <x v="10"/>
    <s v="10-31-2023"/>
    <x v="11"/>
    <n v="7920"/>
    <n v="7920000"/>
    <n v="316800"/>
    <n v="316.8"/>
    <n v="2023"/>
    <x v="0"/>
  </r>
  <r>
    <x v="3"/>
    <s v="Dcycle Ltd"/>
    <s v="160211*"/>
    <s v="Discarded equipment containing chlorofluorocarbons, HCFC, HFC."/>
    <s v="null"/>
    <s v="null"/>
    <s v="null"/>
    <d v="2022-01-01T00:00:00"/>
    <x v="1"/>
    <s v="12-31-2022"/>
    <x v="1"/>
    <n v="103"/>
    <n v="103000"/>
    <n v="4120"/>
    <n v="4.12"/>
    <n v="2022"/>
    <x v="1"/>
  </r>
  <r>
    <x v="3"/>
    <s v="Dcycle Ltd"/>
    <s v="160213*"/>
    <s v="Discarded equipment containing hazardous components [4], other than those specified in codes 16 02 09 to 16 02 12."/>
    <s v="null"/>
    <s v="null"/>
    <s v="null"/>
    <d v="2023-01-01T00:00:00"/>
    <x v="0"/>
    <s v="12-31-2023"/>
    <x v="0"/>
    <n v="138.44999999999999"/>
    <n v="138450"/>
    <n v="5538"/>
    <n v="5.5380000000000003"/>
    <n v="2023"/>
    <x v="1"/>
  </r>
  <r>
    <x v="3"/>
    <s v="Dcycle Ltd"/>
    <s v="160213*"/>
    <s v="Discarded equipment containing hazardous components [4], other than those specified in codes 16 02 09 to 16 02 12."/>
    <s v="null"/>
    <s v="null"/>
    <s v="null"/>
    <d v="2022-01-01T00:00:00"/>
    <x v="1"/>
    <s v="12-31-2022"/>
    <x v="1"/>
    <n v="268.60000000000002"/>
    <n v="268600"/>
    <n v="10744"/>
    <n v="10.744"/>
    <n v="2022"/>
    <x v="1"/>
  </r>
  <r>
    <x v="3"/>
    <s v="Dcycle Ltd"/>
    <s v="160211*"/>
    <s v="Discarded equipment containing chlorofluorocarbons, HCFC, HFC."/>
    <s v="null"/>
    <s v="null"/>
    <s v="null"/>
    <d v="2023-01-01T00:00:00"/>
    <x v="0"/>
    <s v="12-31-2023"/>
    <x v="0"/>
    <n v="280"/>
    <n v="280000"/>
    <n v="11200"/>
    <n v="11.2"/>
    <n v="2023"/>
    <x v="1"/>
  </r>
  <r>
    <x v="3"/>
    <s v="Dcycle Ltd"/>
    <n v="200140"/>
    <s v="Metals"/>
    <s v="null"/>
    <s v="null"/>
    <s v="null"/>
    <d v="2023-01-01T00:00:00"/>
    <x v="0"/>
    <s v="12-31-2023"/>
    <x v="0"/>
    <n v="3280"/>
    <n v="3280000"/>
    <n v="131200"/>
    <n v="131.19999999999999"/>
    <n v="2023"/>
    <x v="0"/>
  </r>
  <r>
    <x v="3"/>
    <s v="Dcycle Ltd"/>
    <n v="200140"/>
    <s v="Metals"/>
    <s v="null"/>
    <s v="null"/>
    <s v="null"/>
    <d v="2022-01-01T00:00:00"/>
    <x v="1"/>
    <s v="12-31-2022"/>
    <x v="1"/>
    <n v="4160"/>
    <n v="4160000"/>
    <n v="166400"/>
    <n v="166.4"/>
    <n v="2022"/>
    <x v="0"/>
  </r>
  <r>
    <x v="3"/>
    <s v="Dcycle Ltd"/>
    <n v="150101"/>
    <s v="Paper and cardboard containers."/>
    <s v="null"/>
    <s v="null"/>
    <s v="null"/>
    <d v="2022-01-01T00:00:00"/>
    <x v="1"/>
    <s v="12-31-2022"/>
    <x v="1"/>
    <n v="13640"/>
    <n v="13640000"/>
    <n v="545600"/>
    <n v="545.6"/>
    <n v="2022"/>
    <x v="0"/>
  </r>
  <r>
    <x v="3"/>
    <s v="Dcycle Ltd"/>
    <n v="150101"/>
    <s v="Paper and cardboard containers."/>
    <s v="null"/>
    <s v="null"/>
    <s v="null"/>
    <d v="2023-01-01T00:00:00"/>
    <x v="0"/>
    <s v="12-31-2023"/>
    <x v="0"/>
    <n v="14322"/>
    <n v="14322000"/>
    <n v="572880"/>
    <n v="572.88"/>
    <n v="2023"/>
    <x v="0"/>
  </r>
  <r>
    <x v="3"/>
    <s v="Dcycle Ltd"/>
    <n v="200301"/>
    <s v="MIXTURES OF MUNICIPAL WASTE."/>
    <s v="null"/>
    <s v="null"/>
    <s v="null"/>
    <d v="2022-01-01T00:00:00"/>
    <x v="1"/>
    <s v="12-31-2022"/>
    <x v="1"/>
    <n v="21000"/>
    <n v="21000000"/>
    <n v="840000"/>
    <n v="840"/>
    <n v="2022"/>
    <x v="0"/>
  </r>
  <r>
    <x v="3"/>
    <s v="Dcycle Ltd"/>
    <n v="200301"/>
    <s v="MIXTURES OF MUNICIPAL WASTE."/>
    <s v="null"/>
    <s v="null"/>
    <s v="null"/>
    <d v="2023-01-01T00:00:00"/>
    <x v="0"/>
    <s v="12-31-2023"/>
    <x v="0"/>
    <n v="23300"/>
    <n v="23300000"/>
    <n v="932000"/>
    <n v="932"/>
    <n v="2023"/>
    <x v="0"/>
  </r>
  <r>
    <x v="4"/>
    <s v="Dcycle SpA Italy"/>
    <s v="150202*"/>
    <s v="Absorbent, filtration materials [including un specified oil filters in another category], cleaning rags and protective clothes contaminated by hazardous substances."/>
    <s v="null"/>
    <s v="null"/>
    <s v="null"/>
    <d v="2022-01-01T00:00:00"/>
    <x v="1"/>
    <s v="12-31-2022"/>
    <x v="1"/>
    <n v="25"/>
    <n v="25000"/>
    <n v="1000"/>
    <n v="1"/>
    <n v="2022"/>
    <x v="1"/>
  </r>
  <r>
    <x v="4"/>
    <s v="Dcycle SpA Italy"/>
    <s v="160213*"/>
    <s v="Discarded equipment containing hazardous components [4], other than those specified in codes 16 02 09 to 16 02 12."/>
    <s v="null"/>
    <s v="null"/>
    <s v="null"/>
    <d v="2023-03-04T00:00:00"/>
    <x v="15"/>
    <d v="2023-04-04T00:00:00"/>
    <x v="16"/>
    <n v="25"/>
    <n v="25000"/>
    <n v="1000"/>
    <n v="1"/>
    <n v="2023"/>
    <x v="1"/>
  </r>
  <r>
    <x v="4"/>
    <s v="Dcycle SpA Italy"/>
    <n v="160605"/>
    <s v="Other batteries and accumulators."/>
    <s v="null"/>
    <s v="null"/>
    <s v="null"/>
    <d v="2023-09-02T00:00:00"/>
    <x v="16"/>
    <d v="2023-10-02T00:00:00"/>
    <x v="17"/>
    <n v="50"/>
    <n v="50000"/>
    <n v="2000"/>
    <n v="2"/>
    <n v="2023"/>
    <x v="0"/>
  </r>
  <r>
    <x v="4"/>
    <s v="Dcycle SpA Italy"/>
    <s v="150110*"/>
    <s v="Packaging containing remains of hazardous substances or are contaminated by them."/>
    <s v="null"/>
    <s v="null"/>
    <s v="null"/>
    <d v="2022-01-01T00:00:00"/>
    <x v="1"/>
    <s v="12-31-2022"/>
    <x v="1"/>
    <n v="56"/>
    <n v="56000"/>
    <n v="2240"/>
    <n v="2.2400000000000002"/>
    <n v="2022"/>
    <x v="1"/>
  </r>
  <r>
    <x v="4"/>
    <s v="Dcycle SpA Italy"/>
    <s v="160303*"/>
    <s v="Inorganic waste containing hazardous substances."/>
    <s v="null"/>
    <s v="null"/>
    <s v="null"/>
    <d v="2022-01-01T00:00:00"/>
    <x v="1"/>
    <s v="12-31-2022"/>
    <x v="1"/>
    <n v="60"/>
    <n v="60000"/>
    <n v="2400"/>
    <n v="2.4"/>
    <n v="2022"/>
    <x v="1"/>
  </r>
  <r>
    <x v="4"/>
    <s v="Dcycle SpA Italy"/>
    <n v="150106"/>
    <s v="Mixed containers."/>
    <s v="null"/>
    <s v="null"/>
    <s v="null"/>
    <d v="2023-04-09T00:00:00"/>
    <x v="17"/>
    <s v="12-15-2023"/>
    <x v="18"/>
    <n v="120"/>
    <n v="120000"/>
    <n v="4800"/>
    <n v="4.8"/>
    <n v="2023"/>
    <x v="0"/>
  </r>
  <r>
    <x v="4"/>
    <s v="Dcycle SpA Italy"/>
    <n v="160216"/>
    <s v="Components removed from discarded equipment, other than those specified in Code 17 02 15."/>
    <s v="null"/>
    <s v="null"/>
    <s v="null"/>
    <d v="2023-03-04T00:00:00"/>
    <x v="15"/>
    <d v="2023-04-04T00:00:00"/>
    <x v="16"/>
    <n v="340"/>
    <n v="340000"/>
    <n v="13600"/>
    <n v="13.6"/>
    <n v="2023"/>
    <x v="0"/>
  </r>
  <r>
    <x v="4"/>
    <s v="Dcycle SpA Italy"/>
    <n v="150102"/>
    <s v="Plastic bottles."/>
    <s v="null"/>
    <s v="null"/>
    <s v="null"/>
    <d v="2023-04-09T00:00:00"/>
    <x v="17"/>
    <s v="12-15-2023"/>
    <x v="18"/>
    <n v="350"/>
    <n v="350000"/>
    <n v="14000"/>
    <n v="14"/>
    <n v="2023"/>
    <x v="0"/>
  </r>
  <r>
    <x v="4"/>
    <s v="Dcycle SpA Italy"/>
    <n v="150102"/>
    <s v="Plastic bottles."/>
    <s v="null"/>
    <s v="null"/>
    <s v="null"/>
    <s v="04-20-2023"/>
    <x v="18"/>
    <d v="2023-04-09T00:00:00"/>
    <x v="19"/>
    <n v="355"/>
    <n v="355000"/>
    <n v="14200"/>
    <n v="14.2"/>
    <n v="2023"/>
    <x v="0"/>
  </r>
  <r>
    <x v="4"/>
    <s v="Dcycle SpA Italy"/>
    <n v="150102"/>
    <s v="Plastic bottles."/>
    <s v="null"/>
    <s v="null"/>
    <s v="null"/>
    <d v="2022-01-01T00:00:00"/>
    <x v="1"/>
    <s v="12-31-2022"/>
    <x v="1"/>
    <n v="380"/>
    <n v="380000"/>
    <n v="15200"/>
    <n v="15.2"/>
    <n v="2022"/>
    <x v="0"/>
  </r>
  <r>
    <x v="4"/>
    <s v="Dcycle SpA Italy"/>
    <n v="150103"/>
    <s v="Wooden containers."/>
    <s v="null"/>
    <s v="null"/>
    <s v="null"/>
    <s v="03-20-2023"/>
    <x v="19"/>
    <d v="2023-04-09T00:00:00"/>
    <x v="19"/>
    <n v="400"/>
    <n v="400000"/>
    <n v="16000"/>
    <n v="16"/>
    <n v="2023"/>
    <x v="0"/>
  </r>
  <r>
    <x v="4"/>
    <s v="Dcycle SpA Italy"/>
    <s v="130507*"/>
    <s v="Aceitose water from water separators/oily substances."/>
    <s v="null"/>
    <s v="null"/>
    <s v="null"/>
    <d v="2022-01-01T00:00:00"/>
    <x v="1"/>
    <s v="12-31-2022"/>
    <x v="1"/>
    <n v="425"/>
    <n v="425000"/>
    <n v="17000"/>
    <n v="17"/>
    <n v="2022"/>
    <x v="1"/>
  </r>
  <r>
    <x v="4"/>
    <s v="Dcycle SpA Italy"/>
    <n v="150103"/>
    <s v="Wooden containers."/>
    <s v="null"/>
    <s v="null"/>
    <s v="null"/>
    <d v="2023-04-09T00:00:00"/>
    <x v="17"/>
    <s v="12-15-2023"/>
    <x v="18"/>
    <n v="440"/>
    <n v="440000"/>
    <n v="17600"/>
    <n v="17.600000000000001"/>
    <n v="2023"/>
    <x v="0"/>
  </r>
  <r>
    <x v="4"/>
    <s v="Dcycle SpA Italy"/>
    <s v="130507*"/>
    <s v="Aceitose water from water separators/oily substances."/>
    <s v="null"/>
    <s v="null"/>
    <s v="null"/>
    <d v="2023-01-11T00:00:00"/>
    <x v="2"/>
    <s v="12-15-2023"/>
    <x v="18"/>
    <n v="500"/>
    <n v="500000"/>
    <n v="20000"/>
    <n v="20"/>
    <n v="2023"/>
    <x v="1"/>
  </r>
  <r>
    <x v="4"/>
    <s v="Dcycle SpA Italy"/>
    <n v="160214"/>
    <s v="Discarded equipment other than those specified in codes 16 02 09 to 16 02 13."/>
    <s v="null"/>
    <s v="null"/>
    <s v="null"/>
    <d v="2023-03-04T00:00:00"/>
    <x v="15"/>
    <d v="2023-04-04T00:00:00"/>
    <x v="16"/>
    <n v="600"/>
    <n v="600000"/>
    <n v="24000"/>
    <n v="24"/>
    <n v="2023"/>
    <x v="0"/>
  </r>
  <r>
    <x v="4"/>
    <s v="Dcycle SpA Italy"/>
    <n v="150103"/>
    <s v="Wooden containers."/>
    <s v="null"/>
    <s v="null"/>
    <s v="null"/>
    <d v="2022-01-01T00:00:00"/>
    <x v="1"/>
    <s v="12-31-2022"/>
    <x v="1"/>
    <n v="780"/>
    <n v="780000"/>
    <n v="31200"/>
    <n v="31.2"/>
    <n v="2022"/>
    <x v="0"/>
  </r>
  <r>
    <x v="4"/>
    <s v="Dcycle SpA Italy"/>
    <n v="160216"/>
    <s v="Components removed from discarded equipment, other than those specified in Code 17 02 15."/>
    <s v="null"/>
    <s v="null"/>
    <s v="null"/>
    <d v="2023-04-09T00:00:00"/>
    <x v="17"/>
    <s v="12-15-2023"/>
    <x v="18"/>
    <n v="1641"/>
    <n v="1641000"/>
    <n v="65640"/>
    <n v="65.64"/>
    <n v="2023"/>
    <x v="0"/>
  </r>
  <r>
    <x v="4"/>
    <s v="Dcycle SpA Italy"/>
    <n v="150101"/>
    <s v="Paper and cardboard containers."/>
    <s v="null"/>
    <s v="null"/>
    <s v="null"/>
    <s v="09-28-2023"/>
    <x v="20"/>
    <s v="12-15-2023"/>
    <x v="18"/>
    <n v="4000"/>
    <n v="4000000"/>
    <n v="160000"/>
    <n v="160"/>
    <n v="2023"/>
    <x v="0"/>
  </r>
  <r>
    <x v="4"/>
    <s v="Dcycle SpA Italy"/>
    <n v="150106"/>
    <s v="Mixed containers."/>
    <s v="null"/>
    <s v="null"/>
    <s v="null"/>
    <d v="2023-01-03T00:00:00"/>
    <x v="9"/>
    <d v="2023-04-08T00:00:00"/>
    <x v="20"/>
    <n v="7290"/>
    <n v="7290000"/>
    <n v="291600"/>
    <n v="291.60000000000002"/>
    <n v="2023"/>
    <x v="0"/>
  </r>
  <r>
    <x v="4"/>
    <s v="Dcycle SpA Italy"/>
    <n v="150101"/>
    <s v="Paper and cardboard containers."/>
    <s v="null"/>
    <s v="null"/>
    <s v="null"/>
    <s v="02-23-2023"/>
    <x v="21"/>
    <s v="07-20-2023"/>
    <x v="21"/>
    <n v="8000"/>
    <n v="8000000"/>
    <n v="320000"/>
    <n v="320"/>
    <n v="2023"/>
    <x v="0"/>
  </r>
  <r>
    <x v="4"/>
    <s v="Dcycle SpA Italy"/>
    <n v="150106"/>
    <s v="Mixed containers."/>
    <s v="null"/>
    <s v="null"/>
    <s v="null"/>
    <d v="2022-01-01T00:00:00"/>
    <x v="1"/>
    <s v="12-31-2022"/>
    <x v="1"/>
    <n v="8780"/>
    <n v="8780000"/>
    <n v="351200"/>
    <n v="351.2"/>
    <n v="2022"/>
    <x v="0"/>
  </r>
  <r>
    <x v="4"/>
    <s v="Dcycle SpA Italy"/>
    <n v="150106"/>
    <s v="Mixed containers."/>
    <s v="null"/>
    <s v="null"/>
    <s v="null"/>
    <d v="2023-10-01T00:00:00"/>
    <x v="22"/>
    <s v="01-13-2023"/>
    <x v="22"/>
    <n v="10350"/>
    <n v="10350000"/>
    <n v="414000"/>
    <n v="414"/>
    <n v="2023"/>
    <x v="0"/>
  </r>
  <r>
    <x v="4"/>
    <s v="Dcycle SpA Italy"/>
    <n v="150101"/>
    <s v="Paper and cardboard containers."/>
    <s v="null"/>
    <s v="null"/>
    <s v="null"/>
    <d v="2022-01-01T00:00:00"/>
    <x v="1"/>
    <s v="12-31-2022"/>
    <x v="1"/>
    <n v="11240"/>
    <n v="11240000"/>
    <n v="449600"/>
    <n v="449.6"/>
    <n v="2022"/>
    <x v="0"/>
  </r>
  <r>
    <x v="4"/>
    <s v="Dcycle SpA Italy"/>
    <n v="160216"/>
    <s v="Components removed from discarded equipment, other than those specified in Code 17 02 15."/>
    <s v="null"/>
    <s v="null"/>
    <s v="null"/>
    <d v="2022-01-01T00:00:00"/>
    <x v="1"/>
    <s v="12-31-2022"/>
    <x v="1"/>
    <n v="13516"/>
    <n v="13516000"/>
    <n v="540640"/>
    <n v="540.64"/>
    <n v="202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481DD-2640-449B-BB0C-E310FEBAC980}"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2:B52" firstHeaderRow="1" firstDataRow="1" firstDataCol="1"/>
  <pivotFields count="14">
    <pivotField axis="axisRow" showAll="0">
      <items count="10">
        <item x="2"/>
        <item x="3"/>
        <item x="1"/>
        <item x="4"/>
        <item x="6"/>
        <item x="0"/>
        <item x="8"/>
        <item x="7"/>
        <item x="5"/>
        <item t="default"/>
      </items>
    </pivotField>
    <pivotField showAll="0"/>
    <pivotField showAll="0"/>
    <pivotField numFmtId="14" showAll="0"/>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defaultSubtotal="0"/>
    <pivotField showAll="0" defaultSubtotal="0">
      <items count="6">
        <item x="0"/>
        <item x="1"/>
        <item x="2"/>
        <item x="3"/>
        <item x="4"/>
        <item x="5"/>
      </items>
    </pivotField>
    <pivotField showAll="0" defaultSubtotal="0">
      <items count="6">
        <item x="0"/>
        <item x="1"/>
        <item x="2"/>
        <item x="3"/>
        <item x="4"/>
        <item x="5"/>
      </items>
    </pivotField>
  </pivotFields>
  <rowFields count="1">
    <field x="0"/>
  </rowFields>
  <rowItems count="10">
    <i>
      <x/>
    </i>
    <i>
      <x v="1"/>
    </i>
    <i>
      <x v="2"/>
    </i>
    <i>
      <x v="3"/>
    </i>
    <i>
      <x v="4"/>
    </i>
    <i>
      <x v="5"/>
    </i>
    <i>
      <x v="6"/>
    </i>
    <i>
      <x v="7"/>
    </i>
    <i>
      <x v="8"/>
    </i>
    <i t="grand">
      <x/>
    </i>
  </rowItems>
  <colItems count="1">
    <i/>
  </colItems>
  <dataFields count="1">
    <dataField name="Sum of CO2eq(KG)" fld="7" baseField="0" baseItem="0" numFmtId="2"/>
  </dataFields>
  <formats count="6">
    <format dxfId="45">
      <pivotArea type="all" dataOnly="0" outline="0" fieldPosition="0"/>
    </format>
    <format dxfId="44">
      <pivotArea outline="0" collapsedLevelsAreSubtotals="1" fieldPosition="0"/>
    </format>
    <format dxfId="43">
      <pivotArea field="0" type="button" dataOnly="0" labelOnly="1" outline="0" axis="axisRow" fieldPosition="0"/>
    </format>
    <format dxfId="42">
      <pivotArea dataOnly="0" labelOnly="1" fieldPosition="0">
        <references count="1">
          <reference field="0" count="0"/>
        </references>
      </pivotArea>
    </format>
    <format dxfId="41">
      <pivotArea dataOnly="0" labelOnly="1" grandRow="1" outline="0" fieldPosition="0"/>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6E194F-5BAE-4AA1-9783-F49CBC2FA2E5}"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3:F70" firstHeaderRow="1" firstDataRow="2" firstDataCol="1" rowPageCount="2" colPageCount="1"/>
  <pivotFields count="14">
    <pivotField axis="axisRow" showAll="0">
      <items count="10">
        <item h="1" x="2"/>
        <item h="1" x="3"/>
        <item h="1" x="1"/>
        <item h="1" x="4"/>
        <item h="1" x="6"/>
        <item x="0"/>
        <item h="1" x="8"/>
        <item h="1" x="7"/>
        <item h="1" x="5"/>
        <item t="default"/>
      </items>
    </pivotField>
    <pivotField axis="axisRow" multipleItemSelectionAllowed="1" showAll="0">
      <items count="15">
        <item x="3"/>
        <item x="11"/>
        <item x="5"/>
        <item x="6"/>
        <item x="7"/>
        <item x="4"/>
        <item x="8"/>
        <item x="10"/>
        <item x="13"/>
        <item x="12"/>
        <item x="9"/>
        <item x="0"/>
        <item x="1"/>
        <item x="2"/>
        <item t="default"/>
      </items>
    </pivotField>
    <pivotField axis="axisCol" showAll="0">
      <items count="5">
        <item x="1"/>
        <item x="2"/>
        <item x="3"/>
        <item x="0"/>
        <item t="default"/>
      </items>
    </pivotField>
    <pivotField numFmtId="14" showAll="0"/>
    <pivotField axis="axisPage" numFmtId="14" multipleItemSelectionAllowed="1"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numFmtId="2" showAll="0"/>
    <pivotField showAll="0"/>
    <pivotField showAll="0"/>
    <pivotField dataField="1" showAll="0"/>
    <pivotField showAll="0" defaultSubtotal="0"/>
    <pivotField showAll="0" defaultSubtotal="0"/>
    <pivotField axis="axisPage" multipleItemSelectionAllowed="1" showAll="0" defaultSubtotal="0">
      <items count="6">
        <item h="1" x="0"/>
        <item h="1" x="1"/>
        <item h="1" x="2"/>
        <item x="3"/>
        <item h="1" x="4"/>
        <item h="1" x="5"/>
      </items>
    </pivotField>
  </pivotFields>
  <rowFields count="2">
    <field x="0"/>
    <field x="1"/>
  </rowFields>
  <rowItems count="6">
    <i>
      <x v="5"/>
    </i>
    <i r="1">
      <x/>
    </i>
    <i r="1">
      <x v="11"/>
    </i>
    <i r="1">
      <x v="12"/>
    </i>
    <i r="1">
      <x v="13"/>
    </i>
    <i t="grand">
      <x/>
    </i>
  </rowItems>
  <colFields count="1">
    <field x="2"/>
  </colFields>
  <colItems count="5">
    <i>
      <x/>
    </i>
    <i>
      <x v="1"/>
    </i>
    <i>
      <x v="2"/>
    </i>
    <i>
      <x v="3"/>
    </i>
    <i t="grand">
      <x/>
    </i>
  </colItems>
  <pageFields count="2">
    <pageField fld="4" hier="-1"/>
    <pageField fld="13" hier="-1"/>
  </pageFields>
  <dataFields count="1">
    <dataField name="Sum of CO2_Noduplicates" fld="10" baseField="0" baseItem="0"/>
  </dataFields>
  <formats count="1">
    <format dxfId="4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D8D537-9178-4C7A-9045-714821228086}"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F34" firstHeaderRow="1" firstDataRow="2" firstDataCol="1" rowPageCount="1" colPageCount="1"/>
  <pivotFields count="14">
    <pivotField axis="axisRow" showAll="0">
      <items count="10">
        <item x="2"/>
        <item x="3"/>
        <item x="1"/>
        <item x="4"/>
        <item x="6"/>
        <item x="0"/>
        <item x="8"/>
        <item x="7"/>
        <item x="5"/>
        <item t="default"/>
      </items>
    </pivotField>
    <pivotField showAll="0"/>
    <pivotField axis="axisCol" showAll="0">
      <items count="5">
        <item x="1"/>
        <item x="2"/>
        <item x="3"/>
        <item x="0"/>
        <item t="default"/>
      </items>
    </pivotField>
    <pivotField numFmtId="14" showAll="0"/>
    <pivotField axis="axisPage" numFmtId="14" multipleItemSelectionAllowed="1" showAll="0">
      <items count="120">
        <item h="1" x="41"/>
        <item h="1" x="42"/>
        <item h="1" x="43"/>
        <item h="1" x="2"/>
        <item h="1" x="0"/>
        <item h="1" x="3"/>
        <item h="1" x="7"/>
        <item h="1" x="8"/>
        <item h="1" x="5"/>
        <item h="1" x="9"/>
        <item h="1" x="10"/>
        <item h="1" x="11"/>
        <item h="1" x="6"/>
        <item h="1" x="12"/>
        <item h="1" x="59"/>
        <item h="1" x="14"/>
        <item h="1" x="15"/>
        <item h="1" x="13"/>
        <item h="1" x="17"/>
        <item h="1" x="16"/>
        <item h="1" x="1"/>
        <item h="1" x="50"/>
        <item h="1" x="82"/>
        <item h="1" x="4"/>
        <item h="1"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dataField="1" numFmtId="2" showAll="0"/>
    <pivotField showAll="0"/>
    <pivotField numFmtId="2"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0"/>
  </rowFields>
  <rowItems count="10">
    <i>
      <x/>
    </i>
    <i>
      <x v="1"/>
    </i>
    <i>
      <x v="2"/>
    </i>
    <i>
      <x v="3"/>
    </i>
    <i>
      <x v="4"/>
    </i>
    <i>
      <x v="5"/>
    </i>
    <i>
      <x v="6"/>
    </i>
    <i>
      <x v="7"/>
    </i>
    <i>
      <x v="8"/>
    </i>
    <i t="grand">
      <x/>
    </i>
  </rowItems>
  <colFields count="1">
    <field x="2"/>
  </colFields>
  <colItems count="5">
    <i>
      <x/>
    </i>
    <i>
      <x v="1"/>
    </i>
    <i>
      <x v="2"/>
    </i>
    <i>
      <x v="3"/>
    </i>
    <i t="grand">
      <x/>
    </i>
  </colItems>
  <pageFields count="1">
    <pageField fld="4" hier="-1"/>
  </pageFields>
  <dataFields count="1">
    <dataField name="Sum of Quantity_correc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C76AEF-B16E-48C3-8063-940547E5AE07}"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4">
    <pivotField axis="axisRow" showAll="0">
      <items count="10">
        <item x="2"/>
        <item x="3"/>
        <item x="1"/>
        <item x="4"/>
        <item x="6"/>
        <item x="0"/>
        <item x="8"/>
        <item x="7"/>
        <item x="5"/>
        <item t="default"/>
      </items>
    </pivotField>
    <pivotField showAll="0"/>
    <pivotField axis="axisCol" showAll="0">
      <items count="5">
        <item x="1"/>
        <item x="2"/>
        <item x="3"/>
        <item x="0"/>
        <item t="default"/>
      </items>
    </pivotField>
    <pivotField numFmtId="14" showAll="0"/>
    <pivotField axis="axisPage" numFmtId="14" multipleItemSelectionAllowed="1" showAll="0">
      <items count="120">
        <item h="1" x="41"/>
        <item h="1" x="42"/>
        <item h="1" x="43"/>
        <item h="1" x="2"/>
        <item h="1" x="0"/>
        <item h="1" x="3"/>
        <item h="1" x="7"/>
        <item h="1" x="8"/>
        <item h="1" x="5"/>
        <item h="1" x="9"/>
        <item h="1" x="10"/>
        <item h="1" x="11"/>
        <item h="1" x="6"/>
        <item h="1" x="12"/>
        <item h="1" x="59"/>
        <item h="1" x="14"/>
        <item h="1" x="15"/>
        <item h="1" x="13"/>
        <item h="1" x="17"/>
        <item h="1" x="16"/>
        <item h="1" x="1"/>
        <item h="1" x="50"/>
        <item h="1" x="82"/>
        <item h="1" x="4"/>
        <item h="1"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0"/>
  </rowFields>
  <rowItems count="10">
    <i>
      <x/>
    </i>
    <i>
      <x v="1"/>
    </i>
    <i>
      <x v="2"/>
    </i>
    <i>
      <x v="3"/>
    </i>
    <i>
      <x v="4"/>
    </i>
    <i>
      <x v="5"/>
    </i>
    <i>
      <x v="6"/>
    </i>
    <i>
      <x v="7"/>
    </i>
    <i>
      <x v="8"/>
    </i>
    <i t="grand">
      <x/>
    </i>
  </rowItems>
  <colFields count="1">
    <field x="2"/>
  </colFields>
  <colItems count="5">
    <i>
      <x/>
    </i>
    <i>
      <x v="1"/>
    </i>
    <i>
      <x v="2"/>
    </i>
    <i>
      <x v="3"/>
    </i>
    <i t="grand">
      <x/>
    </i>
  </colItems>
  <pageFields count="1">
    <pageField fld="4" hier="-1"/>
  </pageFields>
  <dataFields count="1">
    <dataField name="Sum of CO2eq(KG)"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A45ED-5AA2-445C-B51F-ABE71863F6D1}" name="PivotTable8"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120:A121" firstHeaderRow="1" firstDataRow="1" firstDataCol="0" rowPageCount="1" colPageCount="1"/>
  <pivotFields count="16">
    <pivotField showAll="0">
      <items count="10">
        <item x="2"/>
        <item x="3"/>
        <item x="1"/>
        <item x="4"/>
        <item x="6"/>
        <item x="0"/>
        <item x="8"/>
        <item x="7"/>
        <item x="5"/>
        <item t="default"/>
      </items>
    </pivotField>
    <pivotField showAll="0"/>
    <pivotField axis="axisPage" multipleItemSelectionAllowed="1" showAll="0">
      <items count="5">
        <item x="1"/>
        <item h="1" x="2"/>
        <item h="1" x="3"/>
        <item h="1"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dataField="1" numFmtId="2" showAll="0"/>
    <pivotField showAll="0"/>
    <pivotField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pageFields count="1">
    <pageField fld="2" hier="-1"/>
  </pageFields>
  <dataFields count="1">
    <dataField name="Sum of Quantity_correct" fld="5" baseField="0" baseItem="0" numFmtId="2"/>
  </dataFields>
  <formats count="1">
    <format dxfId="34">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B750C1-4B0F-4333-9179-7EB71ADEB2A3}" name="PivotTable3"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4:F40" firstHeaderRow="1" firstDataRow="2" firstDataCol="1"/>
  <pivotFields count="16">
    <pivotField showAll="0">
      <items count="10">
        <item x="2"/>
        <item x="3"/>
        <item x="1"/>
        <item x="4"/>
        <item x="6"/>
        <item x="0"/>
        <item x="8"/>
        <item x="7"/>
        <item x="5"/>
        <item t="default"/>
      </items>
    </pivotField>
    <pivotField showAll="0"/>
    <pivotField axis="axisCol"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14"/>
    <field x="13"/>
  </rowFields>
  <rowItems count="5">
    <i>
      <x v="1"/>
    </i>
    <i>
      <x v="2"/>
    </i>
    <i>
      <x v="3"/>
    </i>
    <i>
      <x v="4"/>
    </i>
    <i t="grand">
      <x/>
    </i>
  </rowItems>
  <colFields count="1">
    <field x="2"/>
  </colFields>
  <colItems count="5">
    <i>
      <x/>
    </i>
    <i>
      <x v="1"/>
    </i>
    <i>
      <x v="2"/>
    </i>
    <i>
      <x v="3"/>
    </i>
    <i t="grand">
      <x/>
    </i>
  </colItems>
  <dataFields count="1">
    <dataField name="Sum of CO2eq(KG)" fld="7" baseField="0" baseItem="0"/>
  </dataFields>
  <chartFormats count="10">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2">
          <reference field="4294967294" count="1" selected="0">
            <x v="0"/>
          </reference>
          <reference field="2" count="1" selected="0">
            <x v="2"/>
          </reference>
        </references>
      </pivotArea>
    </chartFormat>
    <chartFormat chart="7" format="11" series="1">
      <pivotArea type="data" outline="0" fieldPosition="0">
        <references count="2">
          <reference field="4294967294" count="1" selected="0">
            <x v="0"/>
          </reference>
          <reference field="2" count="1" selected="0">
            <x v="3"/>
          </reference>
        </references>
      </pivotArea>
    </chartFormat>
    <chartFormat chart="7" format="1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D76AF8-1542-4244-9A14-6D4D3855C134}" name="PivotTable2"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20:K26" firstHeaderRow="1" firstDataRow="2" firstDataCol="1"/>
  <pivotFields count="16">
    <pivotField axis="axisCol" showAll="0">
      <items count="10">
        <item x="2"/>
        <item x="3"/>
        <item x="1"/>
        <item x="4"/>
        <item x="6"/>
        <item x="0"/>
        <item x="8"/>
        <item x="7"/>
        <item x="5"/>
        <item t="default"/>
      </items>
    </pivotField>
    <pivotField showAll="0"/>
    <pivotField axis="axisRow"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x v="1"/>
    </i>
    <i>
      <x v="2"/>
    </i>
    <i>
      <x v="3"/>
    </i>
    <i t="grand">
      <x/>
    </i>
  </rowItems>
  <colFields count="1">
    <field x="0"/>
  </colFields>
  <colItems count="10">
    <i>
      <x/>
    </i>
    <i>
      <x v="1"/>
    </i>
    <i>
      <x v="2"/>
    </i>
    <i>
      <x v="3"/>
    </i>
    <i>
      <x v="4"/>
    </i>
    <i>
      <x v="5"/>
    </i>
    <i>
      <x v="6"/>
    </i>
    <i>
      <x v="7"/>
    </i>
    <i>
      <x v="8"/>
    </i>
    <i t="grand">
      <x/>
    </i>
  </colItems>
  <dataFields count="1">
    <dataField name="Sum of CO2eq(KG)" fld="7" baseField="0" baseItem="0"/>
  </dataFields>
  <chartFormats count="92">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 chart="1" format="8" series="1">
      <pivotArea type="data" outline="0" fieldPosition="0">
        <references count="2">
          <reference field="4294967294" count="1" selected="0">
            <x v="0"/>
          </reference>
          <reference field="0" count="1" selected="0">
            <x v="8"/>
          </reference>
        </references>
      </pivotArea>
    </chartFormat>
    <chartFormat chart="1" format="9">
      <pivotArea type="data" outline="0" fieldPosition="0">
        <references count="3">
          <reference field="4294967294" count="1" selected="0">
            <x v="0"/>
          </reference>
          <reference field="0" count="1" selected="0">
            <x v="0"/>
          </reference>
          <reference field="2" count="1" selected="0">
            <x v="0"/>
          </reference>
        </references>
      </pivotArea>
    </chartFormat>
    <chartFormat chart="1" format="10">
      <pivotArea type="data" outline="0" fieldPosition="0">
        <references count="3">
          <reference field="4294967294" count="1" selected="0">
            <x v="0"/>
          </reference>
          <reference field="0" count="1" selected="0">
            <x v="0"/>
          </reference>
          <reference field="2" count="1" selected="0">
            <x v="1"/>
          </reference>
        </references>
      </pivotArea>
    </chartFormat>
    <chartFormat chart="1" format="11">
      <pivotArea type="data" outline="0" fieldPosition="0">
        <references count="3">
          <reference field="4294967294" count="1" selected="0">
            <x v="0"/>
          </reference>
          <reference field="0" count="1" selected="0">
            <x v="0"/>
          </reference>
          <reference field="2" count="1" selected="0">
            <x v="2"/>
          </reference>
        </references>
      </pivotArea>
    </chartFormat>
    <chartFormat chart="1" format="12">
      <pivotArea type="data" outline="0" fieldPosition="0">
        <references count="3">
          <reference field="4294967294" count="1" selected="0">
            <x v="0"/>
          </reference>
          <reference field="0" count="1" selected="0">
            <x v="0"/>
          </reference>
          <reference field="2" count="1" selected="0">
            <x v="3"/>
          </reference>
        </references>
      </pivotArea>
    </chartFormat>
    <chartFormat chart="1" format="13">
      <pivotArea type="data" outline="0" fieldPosition="0">
        <references count="3">
          <reference field="4294967294" count="1" selected="0">
            <x v="0"/>
          </reference>
          <reference field="0" count="1" selected="0">
            <x v="1"/>
          </reference>
          <reference field="2" count="1" selected="0">
            <x v="0"/>
          </reference>
        </references>
      </pivotArea>
    </chartFormat>
    <chartFormat chart="1" format="14">
      <pivotArea type="data" outline="0" fieldPosition="0">
        <references count="3">
          <reference field="4294967294" count="1" selected="0">
            <x v="0"/>
          </reference>
          <reference field="0" count="1" selected="0">
            <x v="1"/>
          </reference>
          <reference field="2" count="1" selected="0">
            <x v="1"/>
          </reference>
        </references>
      </pivotArea>
    </chartFormat>
    <chartFormat chart="1" format="15">
      <pivotArea type="data" outline="0" fieldPosition="0">
        <references count="3">
          <reference field="4294967294" count="1" selected="0">
            <x v="0"/>
          </reference>
          <reference field="0" count="1" selected="0">
            <x v="1"/>
          </reference>
          <reference field="2" count="1" selected="0">
            <x v="2"/>
          </reference>
        </references>
      </pivotArea>
    </chartFormat>
    <chartFormat chart="1" format="16">
      <pivotArea type="data" outline="0" fieldPosition="0">
        <references count="3">
          <reference field="4294967294" count="1" selected="0">
            <x v="0"/>
          </reference>
          <reference field="0" count="1" selected="0">
            <x v="1"/>
          </reference>
          <reference field="2" count="1" selected="0">
            <x v="3"/>
          </reference>
        </references>
      </pivotArea>
    </chartFormat>
    <chartFormat chart="1" format="17">
      <pivotArea type="data" outline="0" fieldPosition="0">
        <references count="3">
          <reference field="4294967294" count="1" selected="0">
            <x v="0"/>
          </reference>
          <reference field="0" count="1" selected="0">
            <x v="2"/>
          </reference>
          <reference field="2" count="1" selected="0">
            <x v="0"/>
          </reference>
        </references>
      </pivotArea>
    </chartFormat>
    <chartFormat chart="1" format="18">
      <pivotArea type="data" outline="0" fieldPosition="0">
        <references count="3">
          <reference field="4294967294" count="1" selected="0">
            <x v="0"/>
          </reference>
          <reference field="0" count="1" selected="0">
            <x v="2"/>
          </reference>
          <reference field="2" count="1" selected="0">
            <x v="1"/>
          </reference>
        </references>
      </pivotArea>
    </chartFormat>
    <chartFormat chart="1" format="19">
      <pivotArea type="data" outline="0" fieldPosition="0">
        <references count="3">
          <reference field="4294967294" count="1" selected="0">
            <x v="0"/>
          </reference>
          <reference field="0" count="1" selected="0">
            <x v="2"/>
          </reference>
          <reference field="2" count="1" selected="0">
            <x v="2"/>
          </reference>
        </references>
      </pivotArea>
    </chartFormat>
    <chartFormat chart="1" format="20">
      <pivotArea type="data" outline="0" fieldPosition="0">
        <references count="3">
          <reference field="4294967294" count="1" selected="0">
            <x v="0"/>
          </reference>
          <reference field="0" count="1" selected="0">
            <x v="2"/>
          </reference>
          <reference field="2" count="1" selected="0">
            <x v="3"/>
          </reference>
        </references>
      </pivotArea>
    </chartFormat>
    <chartFormat chart="1" format="21">
      <pivotArea type="data" outline="0" fieldPosition="0">
        <references count="3">
          <reference field="4294967294" count="1" selected="0">
            <x v="0"/>
          </reference>
          <reference field="0" count="1" selected="0">
            <x v="3"/>
          </reference>
          <reference field="2" count="1" selected="0">
            <x v="0"/>
          </reference>
        </references>
      </pivotArea>
    </chartFormat>
    <chartFormat chart="1" format="22">
      <pivotArea type="data" outline="0" fieldPosition="0">
        <references count="3">
          <reference field="4294967294" count="1" selected="0">
            <x v="0"/>
          </reference>
          <reference field="0" count="1" selected="0">
            <x v="3"/>
          </reference>
          <reference field="2" count="1" selected="0">
            <x v="1"/>
          </reference>
        </references>
      </pivotArea>
    </chartFormat>
    <chartFormat chart="1" format="23">
      <pivotArea type="data" outline="0" fieldPosition="0">
        <references count="3">
          <reference field="4294967294" count="1" selected="0">
            <x v="0"/>
          </reference>
          <reference field="0" count="1" selected="0">
            <x v="3"/>
          </reference>
          <reference field="2" count="1" selected="0">
            <x v="2"/>
          </reference>
        </references>
      </pivotArea>
    </chartFormat>
    <chartFormat chart="1" format="24">
      <pivotArea type="data" outline="0" fieldPosition="0">
        <references count="3">
          <reference field="4294967294" count="1" selected="0">
            <x v="0"/>
          </reference>
          <reference field="0" count="1" selected="0">
            <x v="3"/>
          </reference>
          <reference field="2" count="1" selected="0">
            <x v="3"/>
          </reference>
        </references>
      </pivotArea>
    </chartFormat>
    <chartFormat chart="1" format="25">
      <pivotArea type="data" outline="0" fieldPosition="0">
        <references count="3">
          <reference field="4294967294" count="1" selected="0">
            <x v="0"/>
          </reference>
          <reference field="0" count="1" selected="0">
            <x v="4"/>
          </reference>
          <reference field="2" count="1" selected="0">
            <x v="0"/>
          </reference>
        </references>
      </pivotArea>
    </chartFormat>
    <chartFormat chart="1" format="26">
      <pivotArea type="data" outline="0" fieldPosition="0">
        <references count="3">
          <reference field="4294967294" count="1" selected="0">
            <x v="0"/>
          </reference>
          <reference field="0" count="1" selected="0">
            <x v="4"/>
          </reference>
          <reference field="2" count="1" selected="0">
            <x v="1"/>
          </reference>
        </references>
      </pivotArea>
    </chartFormat>
    <chartFormat chart="1" format="27">
      <pivotArea type="data" outline="0" fieldPosition="0">
        <references count="3">
          <reference field="4294967294" count="1" selected="0">
            <x v="0"/>
          </reference>
          <reference field="0" count="1" selected="0">
            <x v="4"/>
          </reference>
          <reference field="2" count="1" selected="0">
            <x v="2"/>
          </reference>
        </references>
      </pivotArea>
    </chartFormat>
    <chartFormat chart="1" format="28">
      <pivotArea type="data" outline="0" fieldPosition="0">
        <references count="3">
          <reference field="4294967294" count="1" selected="0">
            <x v="0"/>
          </reference>
          <reference field="0" count="1" selected="0">
            <x v="4"/>
          </reference>
          <reference field="2" count="1" selected="0">
            <x v="3"/>
          </reference>
        </references>
      </pivotArea>
    </chartFormat>
    <chartFormat chart="1" format="29">
      <pivotArea type="data" outline="0" fieldPosition="0">
        <references count="3">
          <reference field="4294967294" count="1" selected="0">
            <x v="0"/>
          </reference>
          <reference field="0" count="1" selected="0">
            <x v="5"/>
          </reference>
          <reference field="2" count="1" selected="0">
            <x v="0"/>
          </reference>
        </references>
      </pivotArea>
    </chartFormat>
    <chartFormat chart="1" format="30">
      <pivotArea type="data" outline="0" fieldPosition="0">
        <references count="3">
          <reference field="4294967294" count="1" selected="0">
            <x v="0"/>
          </reference>
          <reference field="0" count="1" selected="0">
            <x v="5"/>
          </reference>
          <reference field="2" count="1" selected="0">
            <x v="1"/>
          </reference>
        </references>
      </pivotArea>
    </chartFormat>
    <chartFormat chart="1" format="31">
      <pivotArea type="data" outline="0" fieldPosition="0">
        <references count="3">
          <reference field="4294967294" count="1" selected="0">
            <x v="0"/>
          </reference>
          <reference field="0" count="1" selected="0">
            <x v="5"/>
          </reference>
          <reference field="2" count="1" selected="0">
            <x v="2"/>
          </reference>
        </references>
      </pivotArea>
    </chartFormat>
    <chartFormat chart="1" format="32">
      <pivotArea type="data" outline="0" fieldPosition="0">
        <references count="3">
          <reference field="4294967294" count="1" selected="0">
            <x v="0"/>
          </reference>
          <reference field="0" count="1" selected="0">
            <x v="5"/>
          </reference>
          <reference field="2" count="1" selected="0">
            <x v="3"/>
          </reference>
        </references>
      </pivotArea>
    </chartFormat>
    <chartFormat chart="1" format="33">
      <pivotArea type="data" outline="0" fieldPosition="0">
        <references count="3">
          <reference field="4294967294" count="1" selected="0">
            <x v="0"/>
          </reference>
          <reference field="0" count="1" selected="0">
            <x v="6"/>
          </reference>
          <reference field="2" count="1" selected="0">
            <x v="0"/>
          </reference>
        </references>
      </pivotArea>
    </chartFormat>
    <chartFormat chart="1" format="34">
      <pivotArea type="data" outline="0" fieldPosition="0">
        <references count="3">
          <reference field="4294967294" count="1" selected="0">
            <x v="0"/>
          </reference>
          <reference field="0" count="1" selected="0">
            <x v="6"/>
          </reference>
          <reference field="2" count="1" selected="0">
            <x v="1"/>
          </reference>
        </references>
      </pivotArea>
    </chartFormat>
    <chartFormat chart="1" format="35">
      <pivotArea type="data" outline="0" fieldPosition="0">
        <references count="3">
          <reference field="4294967294" count="1" selected="0">
            <x v="0"/>
          </reference>
          <reference field="0" count="1" selected="0">
            <x v="6"/>
          </reference>
          <reference field="2" count="1" selected="0">
            <x v="2"/>
          </reference>
        </references>
      </pivotArea>
    </chartFormat>
    <chartFormat chart="1" format="36">
      <pivotArea type="data" outline="0" fieldPosition="0">
        <references count="3">
          <reference field="4294967294" count="1" selected="0">
            <x v="0"/>
          </reference>
          <reference field="0" count="1" selected="0">
            <x v="6"/>
          </reference>
          <reference field="2" count="1" selected="0">
            <x v="3"/>
          </reference>
        </references>
      </pivotArea>
    </chartFormat>
    <chartFormat chart="1" format="37">
      <pivotArea type="data" outline="0" fieldPosition="0">
        <references count="3">
          <reference field="4294967294" count="1" selected="0">
            <x v="0"/>
          </reference>
          <reference field="0" count="1" selected="0">
            <x v="7"/>
          </reference>
          <reference field="2" count="1" selected="0">
            <x v="0"/>
          </reference>
        </references>
      </pivotArea>
    </chartFormat>
    <chartFormat chart="1" format="38">
      <pivotArea type="data" outline="0" fieldPosition="0">
        <references count="3">
          <reference field="4294967294" count="1" selected="0">
            <x v="0"/>
          </reference>
          <reference field="0" count="1" selected="0">
            <x v="7"/>
          </reference>
          <reference field="2" count="1" selected="0">
            <x v="1"/>
          </reference>
        </references>
      </pivotArea>
    </chartFormat>
    <chartFormat chart="1" format="39">
      <pivotArea type="data" outline="0" fieldPosition="0">
        <references count="3">
          <reference field="4294967294" count="1" selected="0">
            <x v="0"/>
          </reference>
          <reference field="0" count="1" selected="0">
            <x v="7"/>
          </reference>
          <reference field="2" count="1" selected="0">
            <x v="2"/>
          </reference>
        </references>
      </pivotArea>
    </chartFormat>
    <chartFormat chart="1" format="40">
      <pivotArea type="data" outline="0" fieldPosition="0">
        <references count="3">
          <reference field="4294967294" count="1" selected="0">
            <x v="0"/>
          </reference>
          <reference field="0" count="1" selected="0">
            <x v="7"/>
          </reference>
          <reference field="2" count="1" selected="0">
            <x v="3"/>
          </reference>
        </references>
      </pivotArea>
    </chartFormat>
    <chartFormat chart="1" format="41">
      <pivotArea type="data" outline="0" fieldPosition="0">
        <references count="3">
          <reference field="4294967294" count="1" selected="0">
            <x v="0"/>
          </reference>
          <reference field="0" count="1" selected="0">
            <x v="8"/>
          </reference>
          <reference field="2" count="1" selected="0">
            <x v="0"/>
          </reference>
        </references>
      </pivotArea>
    </chartFormat>
    <chartFormat chart="1" format="42">
      <pivotArea type="data" outline="0" fieldPosition="0">
        <references count="3">
          <reference field="4294967294" count="1" selected="0">
            <x v="0"/>
          </reference>
          <reference field="0" count="1" selected="0">
            <x v="8"/>
          </reference>
          <reference field="2" count="1" selected="0">
            <x v="1"/>
          </reference>
        </references>
      </pivotArea>
    </chartFormat>
    <chartFormat chart="1" format="43">
      <pivotArea type="data" outline="0" fieldPosition="0">
        <references count="3">
          <reference field="4294967294" count="1" selected="0">
            <x v="0"/>
          </reference>
          <reference field="0" count="1" selected="0">
            <x v="8"/>
          </reference>
          <reference field="2" count="1" selected="0">
            <x v="2"/>
          </reference>
        </references>
      </pivotArea>
    </chartFormat>
    <chartFormat chart="1" format="44">
      <pivotArea type="data" outline="0" fieldPosition="0">
        <references count="3">
          <reference field="4294967294" count="1" selected="0">
            <x v="0"/>
          </reference>
          <reference field="0" count="1" selected="0">
            <x v="8"/>
          </reference>
          <reference field="2" count="1" selected="0">
            <x v="3"/>
          </reference>
        </references>
      </pivotArea>
    </chartFormat>
    <chartFormat chart="5" format="90" series="1">
      <pivotArea type="data" outline="0" fieldPosition="0">
        <references count="2">
          <reference field="4294967294" count="1" selected="0">
            <x v="0"/>
          </reference>
          <reference field="0" count="1" selected="0">
            <x v="0"/>
          </reference>
        </references>
      </pivotArea>
    </chartFormat>
    <chartFormat chart="5" format="91">
      <pivotArea type="data" outline="0" fieldPosition="0">
        <references count="3">
          <reference field="4294967294" count="1" selected="0">
            <x v="0"/>
          </reference>
          <reference field="0" count="1" selected="0">
            <x v="0"/>
          </reference>
          <reference field="2" count="1" selected="0">
            <x v="0"/>
          </reference>
        </references>
      </pivotArea>
    </chartFormat>
    <chartFormat chart="5" format="92">
      <pivotArea type="data" outline="0" fieldPosition="0">
        <references count="3">
          <reference field="4294967294" count="1" selected="0">
            <x v="0"/>
          </reference>
          <reference field="0" count="1" selected="0">
            <x v="0"/>
          </reference>
          <reference field="2" count="1" selected="0">
            <x v="1"/>
          </reference>
        </references>
      </pivotArea>
    </chartFormat>
    <chartFormat chart="5" format="93">
      <pivotArea type="data" outline="0" fieldPosition="0">
        <references count="3">
          <reference field="4294967294" count="1" selected="0">
            <x v="0"/>
          </reference>
          <reference field="0" count="1" selected="0">
            <x v="0"/>
          </reference>
          <reference field="2" count="1" selected="0">
            <x v="2"/>
          </reference>
        </references>
      </pivotArea>
    </chartFormat>
    <chartFormat chart="5" format="94">
      <pivotArea type="data" outline="0" fieldPosition="0">
        <references count="3">
          <reference field="4294967294" count="1" selected="0">
            <x v="0"/>
          </reference>
          <reference field="0" count="1" selected="0">
            <x v="0"/>
          </reference>
          <reference field="2" count="1" selected="0">
            <x v="3"/>
          </reference>
        </references>
      </pivotArea>
    </chartFormat>
    <chartFormat chart="5" format="95" series="1">
      <pivotArea type="data" outline="0" fieldPosition="0">
        <references count="2">
          <reference field="4294967294" count="1" selected="0">
            <x v="0"/>
          </reference>
          <reference field="0" count="1" selected="0">
            <x v="1"/>
          </reference>
        </references>
      </pivotArea>
    </chartFormat>
    <chartFormat chart="5" format="96">
      <pivotArea type="data" outline="0" fieldPosition="0">
        <references count="3">
          <reference field="4294967294" count="1" selected="0">
            <x v="0"/>
          </reference>
          <reference field="0" count="1" selected="0">
            <x v="1"/>
          </reference>
          <reference field="2" count="1" selected="0">
            <x v="0"/>
          </reference>
        </references>
      </pivotArea>
    </chartFormat>
    <chartFormat chart="5" format="97">
      <pivotArea type="data" outline="0" fieldPosition="0">
        <references count="3">
          <reference field="4294967294" count="1" selected="0">
            <x v="0"/>
          </reference>
          <reference field="0" count="1" selected="0">
            <x v="1"/>
          </reference>
          <reference field="2" count="1" selected="0">
            <x v="1"/>
          </reference>
        </references>
      </pivotArea>
    </chartFormat>
    <chartFormat chart="5" format="98">
      <pivotArea type="data" outline="0" fieldPosition="0">
        <references count="3">
          <reference field="4294967294" count="1" selected="0">
            <x v="0"/>
          </reference>
          <reference field="0" count="1" selected="0">
            <x v="1"/>
          </reference>
          <reference field="2" count="1" selected="0">
            <x v="2"/>
          </reference>
        </references>
      </pivotArea>
    </chartFormat>
    <chartFormat chart="5" format="99">
      <pivotArea type="data" outline="0" fieldPosition="0">
        <references count="3">
          <reference field="4294967294" count="1" selected="0">
            <x v="0"/>
          </reference>
          <reference field="0" count="1" selected="0">
            <x v="1"/>
          </reference>
          <reference field="2" count="1" selected="0">
            <x v="3"/>
          </reference>
        </references>
      </pivotArea>
    </chartFormat>
    <chartFormat chart="5" format="100" series="1">
      <pivotArea type="data" outline="0" fieldPosition="0">
        <references count="2">
          <reference field="4294967294" count="1" selected="0">
            <x v="0"/>
          </reference>
          <reference field="0" count="1" selected="0">
            <x v="2"/>
          </reference>
        </references>
      </pivotArea>
    </chartFormat>
    <chartFormat chart="5" format="101">
      <pivotArea type="data" outline="0" fieldPosition="0">
        <references count="3">
          <reference field="4294967294" count="1" selected="0">
            <x v="0"/>
          </reference>
          <reference field="0" count="1" selected="0">
            <x v="2"/>
          </reference>
          <reference field="2" count="1" selected="0">
            <x v="0"/>
          </reference>
        </references>
      </pivotArea>
    </chartFormat>
    <chartFormat chart="5" format="102">
      <pivotArea type="data" outline="0" fieldPosition="0">
        <references count="3">
          <reference field="4294967294" count="1" selected="0">
            <x v="0"/>
          </reference>
          <reference field="0" count="1" selected="0">
            <x v="2"/>
          </reference>
          <reference field="2" count="1" selected="0">
            <x v="1"/>
          </reference>
        </references>
      </pivotArea>
    </chartFormat>
    <chartFormat chart="5" format="103">
      <pivotArea type="data" outline="0" fieldPosition="0">
        <references count="3">
          <reference field="4294967294" count="1" selected="0">
            <x v="0"/>
          </reference>
          <reference field="0" count="1" selected="0">
            <x v="2"/>
          </reference>
          <reference field="2" count="1" selected="0">
            <x v="2"/>
          </reference>
        </references>
      </pivotArea>
    </chartFormat>
    <chartFormat chart="5" format="104">
      <pivotArea type="data" outline="0" fieldPosition="0">
        <references count="3">
          <reference field="4294967294" count="1" selected="0">
            <x v="0"/>
          </reference>
          <reference field="0" count="1" selected="0">
            <x v="2"/>
          </reference>
          <reference field="2" count="1" selected="0">
            <x v="3"/>
          </reference>
        </references>
      </pivotArea>
    </chartFormat>
    <chartFormat chart="5" format="105" series="1">
      <pivotArea type="data" outline="0" fieldPosition="0">
        <references count="2">
          <reference field="4294967294" count="1" selected="0">
            <x v="0"/>
          </reference>
          <reference field="0" count="1" selected="0">
            <x v="3"/>
          </reference>
        </references>
      </pivotArea>
    </chartFormat>
    <chartFormat chart="5" format="106">
      <pivotArea type="data" outline="0" fieldPosition="0">
        <references count="3">
          <reference field="4294967294" count="1" selected="0">
            <x v="0"/>
          </reference>
          <reference field="0" count="1" selected="0">
            <x v="3"/>
          </reference>
          <reference field="2" count="1" selected="0">
            <x v="0"/>
          </reference>
        </references>
      </pivotArea>
    </chartFormat>
    <chartFormat chart="5" format="107">
      <pivotArea type="data" outline="0" fieldPosition="0">
        <references count="3">
          <reference field="4294967294" count="1" selected="0">
            <x v="0"/>
          </reference>
          <reference field="0" count="1" selected="0">
            <x v="3"/>
          </reference>
          <reference field="2" count="1" selected="0">
            <x v="1"/>
          </reference>
        </references>
      </pivotArea>
    </chartFormat>
    <chartFormat chart="5" format="108">
      <pivotArea type="data" outline="0" fieldPosition="0">
        <references count="3">
          <reference field="4294967294" count="1" selected="0">
            <x v="0"/>
          </reference>
          <reference field="0" count="1" selected="0">
            <x v="3"/>
          </reference>
          <reference field="2" count="1" selected="0">
            <x v="2"/>
          </reference>
        </references>
      </pivotArea>
    </chartFormat>
    <chartFormat chart="5" format="109">
      <pivotArea type="data" outline="0" fieldPosition="0">
        <references count="3">
          <reference field="4294967294" count="1" selected="0">
            <x v="0"/>
          </reference>
          <reference field="0" count="1" selected="0">
            <x v="3"/>
          </reference>
          <reference field="2" count="1" selected="0">
            <x v="3"/>
          </reference>
        </references>
      </pivotArea>
    </chartFormat>
    <chartFormat chart="5" format="110" series="1">
      <pivotArea type="data" outline="0" fieldPosition="0">
        <references count="2">
          <reference field="4294967294" count="1" selected="0">
            <x v="0"/>
          </reference>
          <reference field="0" count="1" selected="0">
            <x v="4"/>
          </reference>
        </references>
      </pivotArea>
    </chartFormat>
    <chartFormat chart="5" format="111">
      <pivotArea type="data" outline="0" fieldPosition="0">
        <references count="3">
          <reference field="4294967294" count="1" selected="0">
            <x v="0"/>
          </reference>
          <reference field="0" count="1" selected="0">
            <x v="4"/>
          </reference>
          <reference field="2" count="1" selected="0">
            <x v="0"/>
          </reference>
        </references>
      </pivotArea>
    </chartFormat>
    <chartFormat chart="5" format="112">
      <pivotArea type="data" outline="0" fieldPosition="0">
        <references count="3">
          <reference field="4294967294" count="1" selected="0">
            <x v="0"/>
          </reference>
          <reference field="0" count="1" selected="0">
            <x v="4"/>
          </reference>
          <reference field="2" count="1" selected="0">
            <x v="1"/>
          </reference>
        </references>
      </pivotArea>
    </chartFormat>
    <chartFormat chart="5" format="113">
      <pivotArea type="data" outline="0" fieldPosition="0">
        <references count="3">
          <reference field="4294967294" count="1" selected="0">
            <x v="0"/>
          </reference>
          <reference field="0" count="1" selected="0">
            <x v="4"/>
          </reference>
          <reference field="2" count="1" selected="0">
            <x v="2"/>
          </reference>
        </references>
      </pivotArea>
    </chartFormat>
    <chartFormat chart="5" format="114">
      <pivotArea type="data" outline="0" fieldPosition="0">
        <references count="3">
          <reference field="4294967294" count="1" selected="0">
            <x v="0"/>
          </reference>
          <reference field="0" count="1" selected="0">
            <x v="4"/>
          </reference>
          <reference field="2" count="1" selected="0">
            <x v="3"/>
          </reference>
        </references>
      </pivotArea>
    </chartFormat>
    <chartFormat chart="5" format="115" series="1">
      <pivotArea type="data" outline="0" fieldPosition="0">
        <references count="2">
          <reference field="4294967294" count="1" selected="0">
            <x v="0"/>
          </reference>
          <reference field="0" count="1" selected="0">
            <x v="5"/>
          </reference>
        </references>
      </pivotArea>
    </chartFormat>
    <chartFormat chart="5" format="116">
      <pivotArea type="data" outline="0" fieldPosition="0">
        <references count="3">
          <reference field="4294967294" count="1" selected="0">
            <x v="0"/>
          </reference>
          <reference field="0" count="1" selected="0">
            <x v="5"/>
          </reference>
          <reference field="2" count="1" selected="0">
            <x v="0"/>
          </reference>
        </references>
      </pivotArea>
    </chartFormat>
    <chartFormat chart="5" format="117">
      <pivotArea type="data" outline="0" fieldPosition="0">
        <references count="3">
          <reference field="4294967294" count="1" selected="0">
            <x v="0"/>
          </reference>
          <reference field="0" count="1" selected="0">
            <x v="5"/>
          </reference>
          <reference field="2" count="1" selected="0">
            <x v="1"/>
          </reference>
        </references>
      </pivotArea>
    </chartFormat>
    <chartFormat chart="5" format="118">
      <pivotArea type="data" outline="0" fieldPosition="0">
        <references count="3">
          <reference field="4294967294" count="1" selected="0">
            <x v="0"/>
          </reference>
          <reference field="0" count="1" selected="0">
            <x v="5"/>
          </reference>
          <reference field="2" count="1" selected="0">
            <x v="2"/>
          </reference>
        </references>
      </pivotArea>
    </chartFormat>
    <chartFormat chart="5" format="119">
      <pivotArea type="data" outline="0" fieldPosition="0">
        <references count="3">
          <reference field="4294967294" count="1" selected="0">
            <x v="0"/>
          </reference>
          <reference field="0" count="1" selected="0">
            <x v="5"/>
          </reference>
          <reference field="2" count="1" selected="0">
            <x v="3"/>
          </reference>
        </references>
      </pivotArea>
    </chartFormat>
    <chartFormat chart="5" format="120" series="1">
      <pivotArea type="data" outline="0" fieldPosition="0">
        <references count="2">
          <reference field="4294967294" count="1" selected="0">
            <x v="0"/>
          </reference>
          <reference field="0" count="1" selected="0">
            <x v="6"/>
          </reference>
        </references>
      </pivotArea>
    </chartFormat>
    <chartFormat chart="5" format="121">
      <pivotArea type="data" outline="0" fieldPosition="0">
        <references count="3">
          <reference field="4294967294" count="1" selected="0">
            <x v="0"/>
          </reference>
          <reference field="0" count="1" selected="0">
            <x v="6"/>
          </reference>
          <reference field="2" count="1" selected="0">
            <x v="0"/>
          </reference>
        </references>
      </pivotArea>
    </chartFormat>
    <chartFormat chart="5" format="122">
      <pivotArea type="data" outline="0" fieldPosition="0">
        <references count="3">
          <reference field="4294967294" count="1" selected="0">
            <x v="0"/>
          </reference>
          <reference field="0" count="1" selected="0">
            <x v="6"/>
          </reference>
          <reference field="2" count="1" selected="0">
            <x v="1"/>
          </reference>
        </references>
      </pivotArea>
    </chartFormat>
    <chartFormat chart="5" format="123">
      <pivotArea type="data" outline="0" fieldPosition="0">
        <references count="3">
          <reference field="4294967294" count="1" selected="0">
            <x v="0"/>
          </reference>
          <reference field="0" count="1" selected="0">
            <x v="6"/>
          </reference>
          <reference field="2" count="1" selected="0">
            <x v="2"/>
          </reference>
        </references>
      </pivotArea>
    </chartFormat>
    <chartFormat chart="5" format="124">
      <pivotArea type="data" outline="0" fieldPosition="0">
        <references count="3">
          <reference field="4294967294" count="1" selected="0">
            <x v="0"/>
          </reference>
          <reference field="0" count="1" selected="0">
            <x v="6"/>
          </reference>
          <reference field="2" count="1" selected="0">
            <x v="3"/>
          </reference>
        </references>
      </pivotArea>
    </chartFormat>
    <chartFormat chart="5" format="125" series="1">
      <pivotArea type="data" outline="0" fieldPosition="0">
        <references count="2">
          <reference field="4294967294" count="1" selected="0">
            <x v="0"/>
          </reference>
          <reference field="0" count="1" selected="0">
            <x v="7"/>
          </reference>
        </references>
      </pivotArea>
    </chartFormat>
    <chartFormat chart="5" format="126">
      <pivotArea type="data" outline="0" fieldPosition="0">
        <references count="3">
          <reference field="4294967294" count="1" selected="0">
            <x v="0"/>
          </reference>
          <reference field="0" count="1" selected="0">
            <x v="7"/>
          </reference>
          <reference field="2" count="1" selected="0">
            <x v="0"/>
          </reference>
        </references>
      </pivotArea>
    </chartFormat>
    <chartFormat chart="5" format="127">
      <pivotArea type="data" outline="0" fieldPosition="0">
        <references count="3">
          <reference field="4294967294" count="1" selected="0">
            <x v="0"/>
          </reference>
          <reference field="0" count="1" selected="0">
            <x v="7"/>
          </reference>
          <reference field="2" count="1" selected="0">
            <x v="1"/>
          </reference>
        </references>
      </pivotArea>
    </chartFormat>
    <chartFormat chart="5" format="128">
      <pivotArea type="data" outline="0" fieldPosition="0">
        <references count="3">
          <reference field="4294967294" count="1" selected="0">
            <x v="0"/>
          </reference>
          <reference field="0" count="1" selected="0">
            <x v="7"/>
          </reference>
          <reference field="2" count="1" selected="0">
            <x v="2"/>
          </reference>
        </references>
      </pivotArea>
    </chartFormat>
    <chartFormat chart="5" format="129">
      <pivotArea type="data" outline="0" fieldPosition="0">
        <references count="3">
          <reference field="4294967294" count="1" selected="0">
            <x v="0"/>
          </reference>
          <reference field="0" count="1" selected="0">
            <x v="7"/>
          </reference>
          <reference field="2" count="1" selected="0">
            <x v="3"/>
          </reference>
        </references>
      </pivotArea>
    </chartFormat>
    <chartFormat chart="5" format="130" series="1">
      <pivotArea type="data" outline="0" fieldPosition="0">
        <references count="2">
          <reference field="4294967294" count="1" selected="0">
            <x v="0"/>
          </reference>
          <reference field="0" count="1" selected="0">
            <x v="8"/>
          </reference>
        </references>
      </pivotArea>
    </chartFormat>
    <chartFormat chart="5" format="131">
      <pivotArea type="data" outline="0" fieldPosition="0">
        <references count="3">
          <reference field="4294967294" count="1" selected="0">
            <x v="0"/>
          </reference>
          <reference field="0" count="1" selected="0">
            <x v="8"/>
          </reference>
          <reference field="2" count="1" selected="0">
            <x v="0"/>
          </reference>
        </references>
      </pivotArea>
    </chartFormat>
    <chartFormat chart="5" format="132">
      <pivotArea type="data" outline="0" fieldPosition="0">
        <references count="3">
          <reference field="4294967294" count="1" selected="0">
            <x v="0"/>
          </reference>
          <reference field="0" count="1" selected="0">
            <x v="8"/>
          </reference>
          <reference field="2" count="1" selected="0">
            <x v="1"/>
          </reference>
        </references>
      </pivotArea>
    </chartFormat>
    <chartFormat chart="5" format="133">
      <pivotArea type="data" outline="0" fieldPosition="0">
        <references count="3">
          <reference field="4294967294" count="1" selected="0">
            <x v="0"/>
          </reference>
          <reference field="0" count="1" selected="0">
            <x v="8"/>
          </reference>
          <reference field="2" count="1" selected="0">
            <x v="2"/>
          </reference>
        </references>
      </pivotArea>
    </chartFormat>
    <chartFormat chart="5" format="134">
      <pivotArea type="data" outline="0" fieldPosition="0">
        <references count="3">
          <reference field="4294967294" count="1" selected="0">
            <x v="0"/>
          </reference>
          <reference field="0" count="1" selected="0">
            <x v="8"/>
          </reference>
          <reference field="2" count="1" selected="0">
            <x v="3"/>
          </reference>
        </references>
      </pivotArea>
    </chartFormat>
    <chartFormat chart="5" format="135" series="1">
      <pivotArea type="data" outline="0" fieldPosition="0">
        <references count="1">
          <reference field="4294967294" count="1" selected="0">
            <x v="0"/>
          </reference>
        </references>
      </pivotArea>
    </chartFormat>
    <chartFormat chart="1" format="4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45240B-3446-4EED-A35C-391D1B1D6271}" name="PivotTable12"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E125:E126" firstHeaderRow="1" firstDataRow="1" firstDataCol="0" rowPageCount="1" colPageCount="1"/>
  <pivotFields count="16">
    <pivotField showAll="0">
      <items count="10">
        <item x="2"/>
        <item x="3"/>
        <item x="1"/>
        <item x="4"/>
        <item x="6"/>
        <item x="0"/>
        <item x="8"/>
        <item x="7"/>
        <item x="5"/>
        <item t="default"/>
      </items>
    </pivotField>
    <pivotField showAll="0"/>
    <pivotField axis="axisPage" multipleItemSelectionAllowed="1" showAll="0">
      <items count="5">
        <item h="1" x="1"/>
        <item h="1" x="2"/>
        <item h="1"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dataField="1" numFmtId="2" showAll="0"/>
    <pivotField showAll="0"/>
    <pivotField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pageFields count="1">
    <pageField fld="2" hier="-1"/>
  </pageFields>
  <dataFields count="1">
    <dataField name="Sum of Quantity_correct" fld="5" baseField="0" baseItem="0" numFmtId="2"/>
  </dataFields>
  <formats count="1">
    <format dxfId="35">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CFC883-0AE6-4E66-AFD3-EFD35D300D94}"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4:D71" firstHeaderRow="1" firstDataRow="2" firstDataCol="1" rowPageCount="2" colPageCount="1"/>
  <pivotFields count="17">
    <pivotField axis="axisRow" showAll="0">
      <items count="6">
        <item x="1"/>
        <item x="0"/>
        <item x="3"/>
        <item x="2"/>
        <item x="4"/>
        <item t="default"/>
      </items>
    </pivotField>
    <pivotField showAll="0"/>
    <pivotField showAll="0"/>
    <pivotField showAll="0"/>
    <pivotField showAll="0"/>
    <pivotField showAll="0"/>
    <pivotField showAll="0"/>
    <pivotField showAll="0"/>
    <pivotField axis="axisPage" numFmtId="14" multipleItemSelectionAllowed="1" showAll="0">
      <items count="24">
        <item h="1" x="1"/>
        <item x="0"/>
        <item x="22"/>
        <item x="3"/>
        <item x="16"/>
        <item x="21"/>
        <item x="9"/>
        <item x="19"/>
        <item x="14"/>
        <item x="15"/>
        <item x="18"/>
        <item x="8"/>
        <item x="5"/>
        <item x="6"/>
        <item x="7"/>
        <item x="4"/>
        <item x="17"/>
        <item x="20"/>
        <item x="12"/>
        <item x="10"/>
        <item x="2"/>
        <item x="11"/>
        <item h="1" x="13"/>
        <item t="default"/>
      </items>
    </pivotField>
    <pivotField showAll="0"/>
    <pivotField axis="axisPage" numFmtId="14" multipleItemSelectionAllowed="1" showAll="0">
      <items count="24">
        <item h="1" x="1"/>
        <item x="22"/>
        <item x="5"/>
        <item x="17"/>
        <item x="12"/>
        <item x="3"/>
        <item x="10"/>
        <item x="16"/>
        <item x="15"/>
        <item x="9"/>
        <item x="6"/>
        <item x="21"/>
        <item x="7"/>
        <item x="20"/>
        <item x="8"/>
        <item x="19"/>
        <item x="4"/>
        <item x="13"/>
        <item x="11"/>
        <item x="2"/>
        <item x="18"/>
        <item x="0"/>
        <item x="14"/>
        <item t="default"/>
      </items>
    </pivotField>
    <pivotField dataField="1" showAll="0"/>
    <pivotField showAll="0"/>
    <pivotField showAll="0"/>
    <pivotField showAll="0"/>
    <pivotField showAll="0"/>
    <pivotField axis="axisCol" showAll="0">
      <items count="3">
        <item x="0"/>
        <item x="1"/>
        <item t="default"/>
      </items>
    </pivotField>
  </pivotFields>
  <rowFields count="1">
    <field x="0"/>
  </rowFields>
  <rowItems count="6">
    <i>
      <x/>
    </i>
    <i>
      <x v="1"/>
    </i>
    <i>
      <x v="2"/>
    </i>
    <i>
      <x v="3"/>
    </i>
    <i>
      <x v="4"/>
    </i>
    <i t="grand">
      <x/>
    </i>
  </rowItems>
  <colFields count="1">
    <field x="16"/>
  </colFields>
  <colItems count="3">
    <i>
      <x/>
    </i>
    <i>
      <x v="1"/>
    </i>
    <i t="grand">
      <x/>
    </i>
  </colItems>
  <pageFields count="2">
    <pageField fld="10" hier="-1"/>
    <pageField fld="8" hier="-1"/>
  </pageFields>
  <dataFields count="1">
    <dataField name="Sum of quantity[wastes]" fld="11" baseField="0" baseItem="0"/>
  </dataFields>
  <chartFormats count="4">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5" format="4" series="1">
      <pivotArea type="data" outline="0" fieldPosition="0">
        <references count="2">
          <reference field="4294967294" count="1" selected="0">
            <x v="0"/>
          </reference>
          <reference field="16" count="1" selected="0">
            <x v="0"/>
          </reference>
        </references>
      </pivotArea>
    </chartFormat>
    <chartFormat chart="5"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F59940-0852-4F96-9D4E-DE93D575CC4A}" name="PivotTable4"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47:F58" firstHeaderRow="1" firstDataRow="2" firstDataCol="1"/>
  <pivotFields count="16">
    <pivotField axis="axisRow" showAll="0">
      <items count="10">
        <item x="2"/>
        <item x="3"/>
        <item x="1"/>
        <item x="4"/>
        <item x="6"/>
        <item x="0"/>
        <item x="8"/>
        <item x="7"/>
        <item x="5"/>
        <item t="default"/>
      </items>
    </pivotField>
    <pivotField showAll="0"/>
    <pivotField axis="axisCol"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defaultSubtotal="0"/>
    <pivotField showAll="0" defaultSubtotal="0">
      <items count="6">
        <item x="0"/>
        <item x="1"/>
        <item x="2"/>
        <item x="3"/>
        <item x="4"/>
        <item x="5"/>
      </items>
    </pivotField>
    <pivotField showAll="0" defaultSubtotal="0">
      <items count="6">
        <item x="0"/>
        <item x="1"/>
        <item x="2"/>
        <item x="3"/>
        <item x="4"/>
        <item x="5"/>
      </items>
    </pivotField>
  </pivotFields>
  <rowFields count="1">
    <field x="0"/>
  </rowFields>
  <rowItems count="10">
    <i>
      <x/>
    </i>
    <i>
      <x v="1"/>
    </i>
    <i>
      <x v="2"/>
    </i>
    <i>
      <x v="3"/>
    </i>
    <i>
      <x v="4"/>
    </i>
    <i>
      <x v="5"/>
    </i>
    <i>
      <x v="6"/>
    </i>
    <i>
      <x v="7"/>
    </i>
    <i>
      <x v="8"/>
    </i>
    <i t="grand">
      <x/>
    </i>
  </rowItems>
  <colFields count="1">
    <field x="2"/>
  </colFields>
  <colItems count="5">
    <i>
      <x/>
    </i>
    <i>
      <x v="1"/>
    </i>
    <i>
      <x v="2"/>
    </i>
    <i>
      <x v="3"/>
    </i>
    <i t="grand">
      <x/>
    </i>
  </colItems>
  <dataFields count="1">
    <dataField name="Sum of CO2eq(KG)" fld="7" baseField="0" baseItem="0"/>
  </dataFields>
  <chartFormats count="45">
    <chartFormat chart="1" format="4" series="1">
      <pivotArea type="data" outline="0" fieldPosition="0">
        <references count="1">
          <reference field="2" count="1" selected="0">
            <x v="0"/>
          </reference>
        </references>
      </pivotArea>
    </chartFormat>
    <chartFormat chart="1" format="5" series="1">
      <pivotArea type="data" outline="0" fieldPosition="0">
        <references count="1">
          <reference field="2" count="1" selected="0">
            <x v="1"/>
          </reference>
        </references>
      </pivotArea>
    </chartFormat>
    <chartFormat chart="1" format="6" series="1">
      <pivotArea type="data" outline="0" fieldPosition="0">
        <references count="1">
          <reference field="2" count="1" selected="0">
            <x v="2"/>
          </reference>
        </references>
      </pivotArea>
    </chartFormat>
    <chartFormat chart="1" format="7" series="1">
      <pivotArea type="data" outline="0" fieldPosition="0">
        <references count="1">
          <reference field="2" count="1" selected="0">
            <x v="3"/>
          </reference>
        </references>
      </pivotArea>
    </chartFormat>
    <chartFormat chart="1" format="8" series="1">
      <pivotArea type="data" outline="0" fieldPosition="0">
        <references count="2">
          <reference field="4294967294" count="1" selected="0">
            <x v="0"/>
          </reference>
          <reference field="2" count="1" selected="0">
            <x v="0"/>
          </reference>
        </references>
      </pivotArea>
    </chartFormat>
    <chartFormat chart="1" format="9">
      <pivotArea type="data" outline="0" fieldPosition="0">
        <references count="3">
          <reference field="4294967294" count="1" selected="0">
            <x v="0"/>
          </reference>
          <reference field="0" count="1" selected="0">
            <x v="0"/>
          </reference>
          <reference field="2" count="1" selected="0">
            <x v="0"/>
          </reference>
        </references>
      </pivotArea>
    </chartFormat>
    <chartFormat chart="1" format="10">
      <pivotArea type="data" outline="0" fieldPosition="0">
        <references count="3">
          <reference field="4294967294" count="1" selected="0">
            <x v="0"/>
          </reference>
          <reference field="0" count="1" selected="0">
            <x v="1"/>
          </reference>
          <reference field="2" count="1" selected="0">
            <x v="0"/>
          </reference>
        </references>
      </pivotArea>
    </chartFormat>
    <chartFormat chart="1" format="11">
      <pivotArea type="data" outline="0" fieldPosition="0">
        <references count="3">
          <reference field="4294967294" count="1" selected="0">
            <x v="0"/>
          </reference>
          <reference field="0" count="1" selected="0">
            <x v="2"/>
          </reference>
          <reference field="2" count="1" selected="0">
            <x v="0"/>
          </reference>
        </references>
      </pivotArea>
    </chartFormat>
    <chartFormat chart="1" format="12">
      <pivotArea type="data" outline="0" fieldPosition="0">
        <references count="3">
          <reference field="4294967294" count="1" selected="0">
            <x v="0"/>
          </reference>
          <reference field="0" count="1" selected="0">
            <x v="3"/>
          </reference>
          <reference field="2" count="1" selected="0">
            <x v="0"/>
          </reference>
        </references>
      </pivotArea>
    </chartFormat>
    <chartFormat chart="1" format="13">
      <pivotArea type="data" outline="0" fieldPosition="0">
        <references count="3">
          <reference field="4294967294" count="1" selected="0">
            <x v="0"/>
          </reference>
          <reference field="0" count="1" selected="0">
            <x v="4"/>
          </reference>
          <reference field="2" count="1" selected="0">
            <x v="0"/>
          </reference>
        </references>
      </pivotArea>
    </chartFormat>
    <chartFormat chart="1" format="14">
      <pivotArea type="data" outline="0" fieldPosition="0">
        <references count="3">
          <reference field="4294967294" count="1" selected="0">
            <x v="0"/>
          </reference>
          <reference field="0" count="1" selected="0">
            <x v="5"/>
          </reference>
          <reference field="2" count="1" selected="0">
            <x v="0"/>
          </reference>
        </references>
      </pivotArea>
    </chartFormat>
    <chartFormat chart="1" format="15">
      <pivotArea type="data" outline="0" fieldPosition="0">
        <references count="3">
          <reference field="4294967294" count="1" selected="0">
            <x v="0"/>
          </reference>
          <reference field="0" count="1" selected="0">
            <x v="6"/>
          </reference>
          <reference field="2" count="1" selected="0">
            <x v="0"/>
          </reference>
        </references>
      </pivotArea>
    </chartFormat>
    <chartFormat chart="1" format="16">
      <pivotArea type="data" outline="0" fieldPosition="0">
        <references count="3">
          <reference field="4294967294" count="1" selected="0">
            <x v="0"/>
          </reference>
          <reference field="0" count="1" selected="0">
            <x v="7"/>
          </reference>
          <reference field="2" count="1" selected="0">
            <x v="0"/>
          </reference>
        </references>
      </pivotArea>
    </chartFormat>
    <chartFormat chart="1" format="17">
      <pivotArea type="data" outline="0" fieldPosition="0">
        <references count="3">
          <reference field="4294967294" count="1" selected="0">
            <x v="0"/>
          </reference>
          <reference field="0" count="1" selected="0">
            <x v="8"/>
          </reference>
          <reference field="2" count="1" selected="0">
            <x v="0"/>
          </reference>
        </references>
      </pivotArea>
    </chartFormat>
    <chartFormat chart="1" format="18" series="1">
      <pivotArea type="data" outline="0" fieldPosition="0">
        <references count="2">
          <reference field="4294967294" count="1" selected="0">
            <x v="0"/>
          </reference>
          <reference field="2" count="1" selected="0">
            <x v="1"/>
          </reference>
        </references>
      </pivotArea>
    </chartFormat>
    <chartFormat chart="1" format="19">
      <pivotArea type="data" outline="0" fieldPosition="0">
        <references count="3">
          <reference field="4294967294" count="1" selected="0">
            <x v="0"/>
          </reference>
          <reference field="0" count="1" selected="0">
            <x v="0"/>
          </reference>
          <reference field="2" count="1" selected="0">
            <x v="1"/>
          </reference>
        </references>
      </pivotArea>
    </chartFormat>
    <chartFormat chart="1" format="20">
      <pivotArea type="data" outline="0" fieldPosition="0">
        <references count="3">
          <reference field="4294967294" count="1" selected="0">
            <x v="0"/>
          </reference>
          <reference field="0" count="1" selected="0">
            <x v="1"/>
          </reference>
          <reference field="2" count="1" selected="0">
            <x v="1"/>
          </reference>
        </references>
      </pivotArea>
    </chartFormat>
    <chartFormat chart="1" format="21">
      <pivotArea type="data" outline="0" fieldPosition="0">
        <references count="3">
          <reference field="4294967294" count="1" selected="0">
            <x v="0"/>
          </reference>
          <reference field="0" count="1" selected="0">
            <x v="2"/>
          </reference>
          <reference field="2" count="1" selected="0">
            <x v="1"/>
          </reference>
        </references>
      </pivotArea>
    </chartFormat>
    <chartFormat chart="1" format="22">
      <pivotArea type="data" outline="0" fieldPosition="0">
        <references count="3">
          <reference field="4294967294" count="1" selected="0">
            <x v="0"/>
          </reference>
          <reference field="0" count="1" selected="0">
            <x v="3"/>
          </reference>
          <reference field="2" count="1" selected="0">
            <x v="1"/>
          </reference>
        </references>
      </pivotArea>
    </chartFormat>
    <chartFormat chart="1" format="23">
      <pivotArea type="data" outline="0" fieldPosition="0">
        <references count="3">
          <reference field="4294967294" count="1" selected="0">
            <x v="0"/>
          </reference>
          <reference field="0" count="1" selected="0">
            <x v="4"/>
          </reference>
          <reference field="2" count="1" selected="0">
            <x v="1"/>
          </reference>
        </references>
      </pivotArea>
    </chartFormat>
    <chartFormat chart="1" format="24">
      <pivotArea type="data" outline="0" fieldPosition="0">
        <references count="3">
          <reference field="4294967294" count="1" selected="0">
            <x v="0"/>
          </reference>
          <reference field="0" count="1" selected="0">
            <x v="5"/>
          </reference>
          <reference field="2" count="1" selected="0">
            <x v="1"/>
          </reference>
        </references>
      </pivotArea>
    </chartFormat>
    <chartFormat chart="1" format="25">
      <pivotArea type="data" outline="0" fieldPosition="0">
        <references count="3">
          <reference field="4294967294" count="1" selected="0">
            <x v="0"/>
          </reference>
          <reference field="0" count="1" selected="0">
            <x v="6"/>
          </reference>
          <reference field="2" count="1" selected="0">
            <x v="1"/>
          </reference>
        </references>
      </pivotArea>
    </chartFormat>
    <chartFormat chart="1" format="26">
      <pivotArea type="data" outline="0" fieldPosition="0">
        <references count="3">
          <reference field="4294967294" count="1" selected="0">
            <x v="0"/>
          </reference>
          <reference field="0" count="1" selected="0">
            <x v="7"/>
          </reference>
          <reference field="2" count="1" selected="0">
            <x v="1"/>
          </reference>
        </references>
      </pivotArea>
    </chartFormat>
    <chartFormat chart="1" format="27">
      <pivotArea type="data" outline="0" fieldPosition="0">
        <references count="3">
          <reference field="4294967294" count="1" selected="0">
            <x v="0"/>
          </reference>
          <reference field="0" count="1" selected="0">
            <x v="8"/>
          </reference>
          <reference field="2" count="1" selected="0">
            <x v="1"/>
          </reference>
        </references>
      </pivotArea>
    </chartFormat>
    <chartFormat chart="1" format="28" series="1">
      <pivotArea type="data" outline="0" fieldPosition="0">
        <references count="2">
          <reference field="4294967294" count="1" selected="0">
            <x v="0"/>
          </reference>
          <reference field="2" count="1" selected="0">
            <x v="2"/>
          </reference>
        </references>
      </pivotArea>
    </chartFormat>
    <chartFormat chart="1" format="29">
      <pivotArea type="data" outline="0" fieldPosition="0">
        <references count="3">
          <reference field="4294967294" count="1" selected="0">
            <x v="0"/>
          </reference>
          <reference field="0" count="1" selected="0">
            <x v="0"/>
          </reference>
          <reference field="2" count="1" selected="0">
            <x v="2"/>
          </reference>
        </references>
      </pivotArea>
    </chartFormat>
    <chartFormat chart="1" format="30">
      <pivotArea type="data" outline="0" fieldPosition="0">
        <references count="3">
          <reference field="4294967294" count="1" selected="0">
            <x v="0"/>
          </reference>
          <reference field="0" count="1" selected="0">
            <x v="1"/>
          </reference>
          <reference field="2" count="1" selected="0">
            <x v="2"/>
          </reference>
        </references>
      </pivotArea>
    </chartFormat>
    <chartFormat chart="1" format="31">
      <pivotArea type="data" outline="0" fieldPosition="0">
        <references count="3">
          <reference field="4294967294" count="1" selected="0">
            <x v="0"/>
          </reference>
          <reference field="0" count="1" selected="0">
            <x v="2"/>
          </reference>
          <reference field="2" count="1" selected="0">
            <x v="2"/>
          </reference>
        </references>
      </pivotArea>
    </chartFormat>
    <chartFormat chart="1" format="32">
      <pivotArea type="data" outline="0" fieldPosition="0">
        <references count="3">
          <reference field="4294967294" count="1" selected="0">
            <x v="0"/>
          </reference>
          <reference field="0" count="1" selected="0">
            <x v="3"/>
          </reference>
          <reference field="2" count="1" selected="0">
            <x v="2"/>
          </reference>
        </references>
      </pivotArea>
    </chartFormat>
    <chartFormat chart="1" format="33">
      <pivotArea type="data" outline="0" fieldPosition="0">
        <references count="3">
          <reference field="4294967294" count="1" selected="0">
            <x v="0"/>
          </reference>
          <reference field="0" count="1" selected="0">
            <x v="4"/>
          </reference>
          <reference field="2" count="1" selected="0">
            <x v="2"/>
          </reference>
        </references>
      </pivotArea>
    </chartFormat>
    <chartFormat chart="1" format="34">
      <pivotArea type="data" outline="0" fieldPosition="0">
        <references count="3">
          <reference field="4294967294" count="1" selected="0">
            <x v="0"/>
          </reference>
          <reference field="0" count="1" selected="0">
            <x v="5"/>
          </reference>
          <reference field="2" count="1" selected="0">
            <x v="2"/>
          </reference>
        </references>
      </pivotArea>
    </chartFormat>
    <chartFormat chart="1" format="35">
      <pivotArea type="data" outline="0" fieldPosition="0">
        <references count="3">
          <reference field="4294967294" count="1" selected="0">
            <x v="0"/>
          </reference>
          <reference field="0" count="1" selected="0">
            <x v="6"/>
          </reference>
          <reference field="2" count="1" selected="0">
            <x v="2"/>
          </reference>
        </references>
      </pivotArea>
    </chartFormat>
    <chartFormat chart="1" format="36">
      <pivotArea type="data" outline="0" fieldPosition="0">
        <references count="3">
          <reference field="4294967294" count="1" selected="0">
            <x v="0"/>
          </reference>
          <reference field="0" count="1" selected="0">
            <x v="7"/>
          </reference>
          <reference field="2" count="1" selected="0">
            <x v="2"/>
          </reference>
        </references>
      </pivotArea>
    </chartFormat>
    <chartFormat chart="1" format="37">
      <pivotArea type="data" outline="0" fieldPosition="0">
        <references count="3">
          <reference field="4294967294" count="1" selected="0">
            <x v="0"/>
          </reference>
          <reference field="0" count="1" selected="0">
            <x v="8"/>
          </reference>
          <reference field="2" count="1" selected="0">
            <x v="2"/>
          </reference>
        </references>
      </pivotArea>
    </chartFormat>
    <chartFormat chart="1" format="38" series="1">
      <pivotArea type="data" outline="0" fieldPosition="0">
        <references count="2">
          <reference field="4294967294" count="1" selected="0">
            <x v="0"/>
          </reference>
          <reference field="2" count="1" selected="0">
            <x v="3"/>
          </reference>
        </references>
      </pivotArea>
    </chartFormat>
    <chartFormat chart="1" format="39">
      <pivotArea type="data" outline="0" fieldPosition="0">
        <references count="3">
          <reference field="4294967294" count="1" selected="0">
            <x v="0"/>
          </reference>
          <reference field="0" count="1" selected="0">
            <x v="0"/>
          </reference>
          <reference field="2" count="1" selected="0">
            <x v="3"/>
          </reference>
        </references>
      </pivotArea>
    </chartFormat>
    <chartFormat chart="1" format="40">
      <pivotArea type="data" outline="0" fieldPosition="0">
        <references count="3">
          <reference field="4294967294" count="1" selected="0">
            <x v="0"/>
          </reference>
          <reference field="0" count="1" selected="0">
            <x v="1"/>
          </reference>
          <reference field="2" count="1" selected="0">
            <x v="3"/>
          </reference>
        </references>
      </pivotArea>
    </chartFormat>
    <chartFormat chart="1" format="41">
      <pivotArea type="data" outline="0" fieldPosition="0">
        <references count="3">
          <reference field="4294967294" count="1" selected="0">
            <x v="0"/>
          </reference>
          <reference field="0" count="1" selected="0">
            <x v="2"/>
          </reference>
          <reference field="2" count="1" selected="0">
            <x v="3"/>
          </reference>
        </references>
      </pivotArea>
    </chartFormat>
    <chartFormat chart="1" format="42">
      <pivotArea type="data" outline="0" fieldPosition="0">
        <references count="3">
          <reference field="4294967294" count="1" selected="0">
            <x v="0"/>
          </reference>
          <reference field="0" count="1" selected="0">
            <x v="3"/>
          </reference>
          <reference field="2" count="1" selected="0">
            <x v="3"/>
          </reference>
        </references>
      </pivotArea>
    </chartFormat>
    <chartFormat chart="1" format="43">
      <pivotArea type="data" outline="0" fieldPosition="0">
        <references count="3">
          <reference field="4294967294" count="1" selected="0">
            <x v="0"/>
          </reference>
          <reference field="0" count="1" selected="0">
            <x v="4"/>
          </reference>
          <reference field="2" count="1" selected="0">
            <x v="3"/>
          </reference>
        </references>
      </pivotArea>
    </chartFormat>
    <chartFormat chart="1" format="44">
      <pivotArea type="data" outline="0" fieldPosition="0">
        <references count="3">
          <reference field="4294967294" count="1" selected="0">
            <x v="0"/>
          </reference>
          <reference field="0" count="1" selected="0">
            <x v="5"/>
          </reference>
          <reference field="2" count="1" selected="0">
            <x v="3"/>
          </reference>
        </references>
      </pivotArea>
    </chartFormat>
    <chartFormat chart="1" format="45">
      <pivotArea type="data" outline="0" fieldPosition="0">
        <references count="3">
          <reference field="4294967294" count="1" selected="0">
            <x v="0"/>
          </reference>
          <reference field="0" count="1" selected="0">
            <x v="6"/>
          </reference>
          <reference field="2" count="1" selected="0">
            <x v="3"/>
          </reference>
        </references>
      </pivotArea>
    </chartFormat>
    <chartFormat chart="1" format="46">
      <pivotArea type="data" outline="0" fieldPosition="0">
        <references count="3">
          <reference field="4294967294" count="1" selected="0">
            <x v="0"/>
          </reference>
          <reference field="0" count="1" selected="0">
            <x v="7"/>
          </reference>
          <reference field="2" count="1" selected="0">
            <x v="3"/>
          </reference>
        </references>
      </pivotArea>
    </chartFormat>
    <chartFormat chart="1" format="47">
      <pivotArea type="data" outline="0" fieldPosition="0">
        <references count="3">
          <reference field="4294967294" count="1" selected="0">
            <x v="0"/>
          </reference>
          <reference field="0" count="1" selected="0">
            <x v="8"/>
          </reference>
          <reference field="2" count="1" selected="0">
            <x v="3"/>
          </reference>
        </references>
      </pivotArea>
    </chartFormat>
    <chartFormat chart="1"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84F25B-2155-4FF5-ABE1-F3C7EBEDA82A}" name="PivotTable11"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E120:E121" firstHeaderRow="1" firstDataRow="1" firstDataCol="0" rowPageCount="1" colPageCount="1"/>
  <pivotFields count="16">
    <pivotField showAll="0">
      <items count="10">
        <item x="2"/>
        <item x="3"/>
        <item x="1"/>
        <item x="4"/>
        <item x="6"/>
        <item x="0"/>
        <item x="8"/>
        <item x="7"/>
        <item x="5"/>
        <item t="default"/>
      </items>
    </pivotField>
    <pivotField showAll="0"/>
    <pivotField axis="axisPage" multipleItemSelectionAllowed="1" showAll="0">
      <items count="5">
        <item h="1" x="1"/>
        <item h="1" x="2"/>
        <item x="3"/>
        <item h="1"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dataField="1" numFmtId="2" showAll="0"/>
    <pivotField showAll="0"/>
    <pivotField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pageFields count="1">
    <pageField fld="2" hier="-1"/>
  </pageFields>
  <dataFields count="1">
    <dataField name="Sum of Quantity_correct" fld="5" baseField="0" baseItem="0" numFmtId="2"/>
  </dataFields>
  <formats count="1">
    <format dxfId="36">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BD958A9-49E9-4AC0-ADE2-1EF6785472A5}" name="PivotTable7"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95:F111" firstHeaderRow="1" firstDataRow="2" firstDataCol="1"/>
  <pivotFields count="16">
    <pivotField showAll="0">
      <items count="10">
        <item x="2"/>
        <item x="3"/>
        <item x="1"/>
        <item x="4"/>
        <item x="6"/>
        <item x="0"/>
        <item x="8"/>
        <item x="7"/>
        <item x="5"/>
        <item t="default"/>
      </items>
    </pivotField>
    <pivotField axis="axisRow" showAll="0">
      <items count="15">
        <item x="3"/>
        <item x="11"/>
        <item x="5"/>
        <item x="6"/>
        <item x="7"/>
        <item x="4"/>
        <item x="8"/>
        <item x="10"/>
        <item x="13"/>
        <item x="12"/>
        <item x="9"/>
        <item x="0"/>
        <item x="1"/>
        <item x="2"/>
        <item t="default"/>
      </items>
    </pivotField>
    <pivotField axis="axisCol"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15">
    <i>
      <x/>
    </i>
    <i>
      <x v="1"/>
    </i>
    <i>
      <x v="2"/>
    </i>
    <i>
      <x v="3"/>
    </i>
    <i>
      <x v="4"/>
    </i>
    <i>
      <x v="5"/>
    </i>
    <i>
      <x v="6"/>
    </i>
    <i>
      <x v="7"/>
    </i>
    <i>
      <x v="8"/>
    </i>
    <i>
      <x v="9"/>
    </i>
    <i>
      <x v="10"/>
    </i>
    <i>
      <x v="11"/>
    </i>
    <i>
      <x v="12"/>
    </i>
    <i>
      <x v="13"/>
    </i>
    <i t="grand">
      <x/>
    </i>
  </rowItems>
  <colFields count="1">
    <field x="2"/>
  </colFields>
  <colItems count="5">
    <i>
      <x/>
    </i>
    <i>
      <x v="1"/>
    </i>
    <i>
      <x v="2"/>
    </i>
    <i>
      <x v="3"/>
    </i>
    <i t="grand">
      <x/>
    </i>
  </colItems>
  <dataFields count="1">
    <dataField name="Sum of CO2eq(KG)" fld="7" baseField="0" baseItem="0"/>
  </dataFields>
  <chartFormats count="1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0" format="8" series="1">
      <pivotArea type="data" outline="0" fieldPosition="0">
        <references count="2">
          <reference field="4294967294" count="1" selected="0">
            <x v="0"/>
          </reference>
          <reference field="2" count="1" selected="0">
            <x v="0"/>
          </reference>
        </references>
      </pivotArea>
    </chartFormat>
    <chartFormat chart="10" format="9" series="1">
      <pivotArea type="data" outline="0" fieldPosition="0">
        <references count="2">
          <reference field="4294967294" count="1" selected="0">
            <x v="0"/>
          </reference>
          <reference field="2" count="1" selected="0">
            <x v="1"/>
          </reference>
        </references>
      </pivotArea>
    </chartFormat>
    <chartFormat chart="10" format="10" series="1">
      <pivotArea type="data" outline="0" fieldPosition="0">
        <references count="2">
          <reference field="4294967294" count="1" selected="0">
            <x v="0"/>
          </reference>
          <reference field="2" count="1" selected="0">
            <x v="2"/>
          </reference>
        </references>
      </pivotArea>
    </chartFormat>
    <chartFormat chart="10" format="11" series="1">
      <pivotArea type="data" outline="0" fieldPosition="0">
        <references count="2">
          <reference field="4294967294" count="1" selected="0">
            <x v="0"/>
          </reference>
          <reference field="2" count="1" selected="0">
            <x v="3"/>
          </reference>
        </references>
      </pivotArea>
    </chartFormat>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20" format="8" series="1">
      <pivotArea type="data" outline="0" fieldPosition="0">
        <references count="2">
          <reference field="4294967294" count="1" selected="0">
            <x v="0"/>
          </reference>
          <reference field="2" count="1" selected="0">
            <x v="0"/>
          </reference>
        </references>
      </pivotArea>
    </chartFormat>
    <chartFormat chart="20" format="9" series="1">
      <pivotArea type="data" outline="0" fieldPosition="0">
        <references count="2">
          <reference field="4294967294" count="1" selected="0">
            <x v="0"/>
          </reference>
          <reference field="2" count="1" selected="0">
            <x v="1"/>
          </reference>
        </references>
      </pivotArea>
    </chartFormat>
    <chartFormat chart="20" format="10" series="1">
      <pivotArea type="data" outline="0" fieldPosition="0">
        <references count="2">
          <reference field="4294967294" count="1" selected="0">
            <x v="0"/>
          </reference>
          <reference field="2" count="1" selected="0">
            <x v="2"/>
          </reference>
        </references>
      </pivotArea>
    </chartFormat>
    <chartFormat chart="20" format="11" series="1">
      <pivotArea type="data" outline="0" fieldPosition="0">
        <references count="2">
          <reference field="4294967294" count="1" selected="0">
            <x v="0"/>
          </reference>
          <reference field="2" count="1" selected="0">
            <x v="3"/>
          </reference>
        </references>
      </pivotArea>
    </chartFormat>
    <chartFormat chart="20" format="1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6CBB81-FEF4-46FD-90E2-9C0A3FBA6C97}" name="PivotTable6"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78:B88" firstHeaderRow="1" firstDataRow="1" firstDataCol="1"/>
  <pivotFields count="16">
    <pivotField axis="axisRow" showAll="0">
      <items count="10">
        <item x="2"/>
        <item x="3"/>
        <item x="1"/>
        <item x="4"/>
        <item x="6"/>
        <item x="0"/>
        <item x="8"/>
        <item x="7"/>
        <item x="5"/>
        <item t="default"/>
      </items>
    </pivotField>
    <pivotField showAll="0"/>
    <pivotField showAll="0"/>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defaultSubtotal="0"/>
    <pivotField showAll="0" defaultSubtotal="0">
      <items count="6">
        <item x="0"/>
        <item x="1"/>
        <item x="2"/>
        <item x="3"/>
        <item x="4"/>
        <item x="5"/>
      </items>
    </pivotField>
    <pivotField showAll="0" defaultSubtotal="0">
      <items count="6">
        <item x="0"/>
        <item x="1"/>
        <item x="2"/>
        <item x="3"/>
        <item x="4"/>
        <item x="5"/>
      </items>
    </pivotField>
  </pivotFields>
  <rowFields count="1">
    <field x="0"/>
  </rowFields>
  <rowItems count="10">
    <i>
      <x/>
    </i>
    <i>
      <x v="1"/>
    </i>
    <i>
      <x v="2"/>
    </i>
    <i>
      <x v="3"/>
    </i>
    <i>
      <x v="4"/>
    </i>
    <i>
      <x v="5"/>
    </i>
    <i>
      <x v="6"/>
    </i>
    <i>
      <x v="7"/>
    </i>
    <i>
      <x v="8"/>
    </i>
    <i t="grand">
      <x/>
    </i>
  </rowItems>
  <colItems count="1">
    <i/>
  </colItems>
  <dataFields count="1">
    <dataField name="Sum of CO2eq(KG)" fld="7" baseField="0" baseItem="0" numFmtId="2"/>
  </dataFields>
  <formats count="1">
    <format dxfId="37">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FADC53-D1DB-4F62-A9BC-01D72784EEA5}" name="PivotTable10"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125:A126" firstHeaderRow="1" firstDataRow="1" firstDataCol="0" rowPageCount="1" colPageCount="1"/>
  <pivotFields count="16">
    <pivotField showAll="0">
      <items count="10">
        <item x="2"/>
        <item x="3"/>
        <item x="1"/>
        <item x="4"/>
        <item x="6"/>
        <item x="0"/>
        <item x="8"/>
        <item x="7"/>
        <item x="5"/>
        <item t="default"/>
      </items>
    </pivotField>
    <pivotField showAll="0"/>
    <pivotField axis="axisPage" multipleItemSelectionAllowed="1" showAll="0">
      <items count="5">
        <item h="1" x="1"/>
        <item x="2"/>
        <item h="1" x="3"/>
        <item h="1"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dataField="1" numFmtId="2" showAll="0"/>
    <pivotField showAll="0"/>
    <pivotField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pageFields count="1">
    <pageField fld="2" hier="-1"/>
  </pageFields>
  <dataFields count="1">
    <dataField name="Sum of Quantity_correct" fld="5" baseField="0" baseItem="0" numFmtId="2"/>
  </dataFields>
  <formats count="1">
    <format dxfId="38">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70E19EC-CFD9-4366-818F-4DA88A74615D}" name="PivotTable1"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F14" firstHeaderRow="1" firstDataRow="2" firstDataCol="1"/>
  <pivotFields count="16">
    <pivotField axis="axisRow" showAll="0">
      <items count="10">
        <item x="2"/>
        <item x="3"/>
        <item x="1"/>
        <item x="4"/>
        <item x="6"/>
        <item x="0"/>
        <item x="8"/>
        <item x="7"/>
        <item x="5"/>
        <item t="default"/>
      </items>
    </pivotField>
    <pivotField showAll="0"/>
    <pivotField axis="axisCol"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0"/>
  </rowFields>
  <rowItems count="10">
    <i>
      <x/>
    </i>
    <i>
      <x v="1"/>
    </i>
    <i>
      <x v="2"/>
    </i>
    <i>
      <x v="3"/>
    </i>
    <i>
      <x v="4"/>
    </i>
    <i>
      <x v="5"/>
    </i>
    <i>
      <x v="6"/>
    </i>
    <i>
      <x v="7"/>
    </i>
    <i>
      <x v="8"/>
    </i>
    <i t="grand">
      <x/>
    </i>
  </rowItems>
  <colFields count="1">
    <field x="2"/>
  </colFields>
  <colItems count="5">
    <i>
      <x/>
    </i>
    <i>
      <x v="1"/>
    </i>
    <i>
      <x v="2"/>
    </i>
    <i>
      <x v="3"/>
    </i>
    <i t="grand">
      <x/>
    </i>
  </colItems>
  <dataFields count="1">
    <dataField name="Sum of CO2eq(KG)" fld="7" baseField="0" baseItem="0"/>
  </dataFields>
  <chartFormats count="2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0" format="8" series="1">
      <pivotArea type="data" outline="0" fieldPosition="0">
        <references count="2">
          <reference field="4294967294" count="1" selected="0">
            <x v="0"/>
          </reference>
          <reference field="2" count="1" selected="0">
            <x v="0"/>
          </reference>
        </references>
      </pivotArea>
    </chartFormat>
    <chartFormat chart="10" format="9" series="1">
      <pivotArea type="data" outline="0" fieldPosition="0">
        <references count="2">
          <reference field="4294967294" count="1" selected="0">
            <x v="0"/>
          </reference>
          <reference field="2" count="1" selected="0">
            <x v="1"/>
          </reference>
        </references>
      </pivotArea>
    </chartFormat>
    <chartFormat chart="10" format="10" series="1">
      <pivotArea type="data" outline="0" fieldPosition="0">
        <references count="2">
          <reference field="4294967294" count="1" selected="0">
            <x v="0"/>
          </reference>
          <reference field="2" count="1" selected="0">
            <x v="2"/>
          </reference>
        </references>
      </pivotArea>
    </chartFormat>
    <chartFormat chart="10" format="11" series="1">
      <pivotArea type="data" outline="0" fieldPosition="0">
        <references count="2">
          <reference field="4294967294" count="1" selected="0">
            <x v="0"/>
          </reference>
          <reference field="2" count="1" selected="0">
            <x v="3"/>
          </reference>
        </references>
      </pivotArea>
    </chartFormat>
    <chartFormat chart="10"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0"/>
          </reference>
        </references>
      </pivotArea>
    </chartFormat>
    <chartFormat chart="14" format="5" series="1">
      <pivotArea type="data" outline="0" fieldPosition="0">
        <references count="2">
          <reference field="4294967294" count="1" selected="0">
            <x v="0"/>
          </reference>
          <reference field="2" count="1" selected="0">
            <x v="1"/>
          </reference>
        </references>
      </pivotArea>
    </chartFormat>
    <chartFormat chart="14" format="6" series="1">
      <pivotArea type="data" outline="0" fieldPosition="0">
        <references count="2">
          <reference field="4294967294" count="1" selected="0">
            <x v="0"/>
          </reference>
          <reference field="2" count="1" selected="0">
            <x v="2"/>
          </reference>
        </references>
      </pivotArea>
    </chartFormat>
    <chartFormat chart="14" format="7" series="1">
      <pivotArea type="data" outline="0" fieldPosition="0">
        <references count="2">
          <reference field="4294967294" count="1" selected="0">
            <x v="0"/>
          </reference>
          <reference field="2" count="1" selected="0">
            <x v="3"/>
          </reference>
        </references>
      </pivotArea>
    </chartFormat>
    <chartFormat chart="15" format="8" series="1">
      <pivotArea type="data" outline="0" fieldPosition="0">
        <references count="2">
          <reference field="4294967294" count="1" selected="0">
            <x v="0"/>
          </reference>
          <reference field="2" count="1" selected="0">
            <x v="0"/>
          </reference>
        </references>
      </pivotArea>
    </chartFormat>
    <chartFormat chart="15" format="9" series="1">
      <pivotArea type="data" outline="0" fieldPosition="0">
        <references count="2">
          <reference field="4294967294" count="1" selected="0">
            <x v="0"/>
          </reference>
          <reference field="2" count="1" selected="0">
            <x v="1"/>
          </reference>
        </references>
      </pivotArea>
    </chartFormat>
    <chartFormat chart="15" format="10" series="1">
      <pivotArea type="data" outline="0" fieldPosition="0">
        <references count="2">
          <reference field="4294967294" count="1" selected="0">
            <x v="0"/>
          </reference>
          <reference field="2" count="1" selected="0">
            <x v="2"/>
          </reference>
        </references>
      </pivotArea>
    </chartFormat>
    <chartFormat chart="15"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8B4258-EC17-4800-81E9-039A8A813C8C}" name="PivotTable9"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133:A134" firstHeaderRow="1" firstDataRow="1" firstDataCol="0"/>
  <pivotFields count="16">
    <pivotField showAll="0">
      <items count="10">
        <item x="2"/>
        <item x="3"/>
        <item x="1"/>
        <item x="4"/>
        <item x="6"/>
        <item x="0"/>
        <item x="8"/>
        <item x="7"/>
        <item x="5"/>
        <item t="default"/>
      </items>
    </pivotField>
    <pivotField showAll="0"/>
    <pivotField showAll="0">
      <items count="5">
        <item x="1"/>
        <item x="2"/>
        <item x="3"/>
        <item x="0"/>
        <item t="default"/>
      </items>
    </pivotField>
    <pivotField numFmtId="14" showAll="0">
      <items count="134">
        <item x="0"/>
        <item x="67"/>
        <item x="50"/>
        <item x="51"/>
        <item x="1"/>
        <item x="52"/>
        <item x="2"/>
        <item x="3"/>
        <item x="4"/>
        <item x="5"/>
        <item x="6"/>
        <item x="7"/>
        <item x="8"/>
        <item x="9"/>
        <item x="10"/>
        <item x="11"/>
        <item x="12"/>
        <item x="13"/>
        <item x="14"/>
        <item x="15"/>
        <item x="101"/>
        <item x="68"/>
        <item x="104"/>
        <item x="16"/>
        <item x="17"/>
        <item x="18"/>
        <item x="19"/>
        <item x="20"/>
        <item x="103"/>
        <item x="59"/>
        <item x="107"/>
        <item x="79"/>
        <item x="69"/>
        <item x="21"/>
        <item x="22"/>
        <item x="23"/>
        <item x="60"/>
        <item x="132"/>
        <item x="24"/>
        <item x="80"/>
        <item x="70"/>
        <item x="25"/>
        <item x="26"/>
        <item x="108"/>
        <item x="61"/>
        <item x="27"/>
        <item x="28"/>
        <item x="127"/>
        <item x="105"/>
        <item x="81"/>
        <item x="102"/>
        <item x="131"/>
        <item x="71"/>
        <item x="29"/>
        <item x="30"/>
        <item x="91"/>
        <item x="62"/>
        <item x="31"/>
        <item x="129"/>
        <item x="109"/>
        <item x="82"/>
        <item x="72"/>
        <item x="32"/>
        <item x="33"/>
        <item x="126"/>
        <item x="63"/>
        <item x="92"/>
        <item x="110"/>
        <item x="111"/>
        <item x="83"/>
        <item x="34"/>
        <item x="35"/>
        <item x="36"/>
        <item x="93"/>
        <item x="37"/>
        <item x="84"/>
        <item x="73"/>
        <item x="38"/>
        <item x="39"/>
        <item x="64"/>
        <item x="94"/>
        <item x="112"/>
        <item x="56"/>
        <item x="85"/>
        <item x="74"/>
        <item x="40"/>
        <item x="41"/>
        <item x="42"/>
        <item x="57"/>
        <item x="65"/>
        <item x="95"/>
        <item x="66"/>
        <item x="86"/>
        <item x="43"/>
        <item x="44"/>
        <item x="45"/>
        <item x="96"/>
        <item x="116"/>
        <item x="113"/>
        <item x="114"/>
        <item x="87"/>
        <item x="75"/>
        <item x="117"/>
        <item x="46"/>
        <item x="47"/>
        <item x="48"/>
        <item x="49"/>
        <item x="128"/>
        <item x="97"/>
        <item x="88"/>
        <item x="76"/>
        <item x="130"/>
        <item x="118"/>
        <item x="53"/>
        <item x="121"/>
        <item x="98"/>
        <item x="99"/>
        <item x="115"/>
        <item x="106"/>
        <item x="89"/>
        <item x="77"/>
        <item x="122"/>
        <item x="58"/>
        <item x="54"/>
        <item x="100"/>
        <item x="119"/>
        <item x="123"/>
        <item x="90"/>
        <item x="78"/>
        <item x="124"/>
        <item x="55"/>
        <item x="120"/>
        <item x="125"/>
        <item t="default"/>
      </items>
    </pivotField>
    <pivotField numFmtId="14" showAll="0">
      <items count="120">
        <item x="41"/>
        <item x="42"/>
        <item x="43"/>
        <item x="2"/>
        <item x="0"/>
        <item x="3"/>
        <item x="7"/>
        <item x="8"/>
        <item x="5"/>
        <item x="9"/>
        <item x="10"/>
        <item x="11"/>
        <item x="6"/>
        <item x="12"/>
        <item x="59"/>
        <item x="14"/>
        <item x="15"/>
        <item x="13"/>
        <item x="17"/>
        <item x="16"/>
        <item x="1"/>
        <item x="50"/>
        <item x="82"/>
        <item x="4"/>
        <item x="118"/>
        <item x="70"/>
        <item x="60"/>
        <item x="20"/>
        <item x="51"/>
        <item x="83"/>
        <item x="18"/>
        <item x="22"/>
        <item x="115"/>
        <item x="97"/>
        <item x="71"/>
        <item x="96"/>
        <item x="52"/>
        <item x="23"/>
        <item x="19"/>
        <item x="84"/>
        <item x="53"/>
        <item x="25"/>
        <item x="102"/>
        <item x="72"/>
        <item x="61"/>
        <item x="26"/>
        <item x="54"/>
        <item x="114"/>
        <item x="85"/>
        <item x="103"/>
        <item x="73"/>
        <item x="62"/>
        <item x="27"/>
        <item x="29"/>
        <item x="86"/>
        <item x="55"/>
        <item x="24"/>
        <item x="74"/>
        <item x="63"/>
        <item x="101"/>
        <item x="31"/>
        <item x="56"/>
        <item x="87"/>
        <item x="46"/>
        <item x="98"/>
        <item x="75"/>
        <item x="64"/>
        <item x="30"/>
        <item x="33"/>
        <item x="47"/>
        <item x="88"/>
        <item x="58"/>
        <item x="76"/>
        <item x="117"/>
        <item x="65"/>
        <item x="32"/>
        <item x="35"/>
        <item x="89"/>
        <item x="57"/>
        <item x="104"/>
        <item x="105"/>
        <item x="77"/>
        <item x="66"/>
        <item x="107"/>
        <item x="34"/>
        <item x="38"/>
        <item x="37"/>
        <item x="48"/>
        <item x="106"/>
        <item x="90"/>
        <item x="78"/>
        <item x="67"/>
        <item x="40"/>
        <item x="28"/>
        <item x="91"/>
        <item x="92"/>
        <item x="99"/>
        <item x="79"/>
        <item x="36"/>
        <item x="39"/>
        <item x="108"/>
        <item x="44"/>
        <item x="93"/>
        <item x="109"/>
        <item x="80"/>
        <item x="68"/>
        <item x="111"/>
        <item x="45"/>
        <item x="94"/>
        <item x="95"/>
        <item x="116"/>
        <item x="81"/>
        <item x="100"/>
        <item x="69"/>
        <item x="49"/>
        <item x="112"/>
        <item x="21"/>
        <item x="110"/>
        <item x="113"/>
        <item t="default"/>
      </items>
    </pivotField>
    <pivotField numFmtId="2" showAll="0"/>
    <pivotField showAll="0"/>
    <pivotField dataField="1" numFmtId="2"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CO2eq(KG)" fld="7" baseField="0" baseItem="0" numFmtId="2"/>
  </dataFields>
  <formats count="1">
    <format dxfId="39">
      <pivotArea outline="0" collapsedLevelsAreSubtotals="1" fieldPosition="0"/>
    </format>
  </formats>
  <pivotTableStyleInfo name="PivotStyleLight16" showRowHeaders="1" showColHeaders="1" showRowStripes="0" showColStripes="0" showLastColumn="1"/>
  <filters count="2">
    <filter fld="3" type="dateBetween" evalOrder="-1" id="120" name="Start">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dateBetween" evalOrder="-1" id="119" name="End">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1" xr10:uid="{82EC3651-FAF7-4751-AC4E-4D49E8674BD8}" sourceName="company_name">
  <pivotTables>
    <pivotTable tabId="13" name="PivotTable1"/>
    <pivotTable tabId="13" name="PivotTable2"/>
    <pivotTable tabId="13" name="PivotTable3"/>
    <pivotTable tabId="13" name="PivotTable7"/>
    <pivotTable tabId="13" name="PivotTable8"/>
    <pivotTable tabId="13" name="PivotTable9"/>
    <pivotTable tabId="13" name="PivotTable10"/>
    <pivotTable tabId="13" name="PivotTable11"/>
    <pivotTable tabId="13" name="PivotTable12"/>
  </pivotTables>
  <data>
    <tabular pivotCacheId="1114052071">
      <items count="9">
        <i x="2" s="1"/>
        <i x="3" s="1"/>
        <i x="1" s="1"/>
        <i x="4" s="1"/>
        <i x="6" s="1"/>
        <i x="0" s="1"/>
        <i x="8" s="1"/>
        <i x="7"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334B3111-BAB7-4A2D-9DC2-37FE7C0A7C5E}" sourceName="Type">
  <pivotTables>
    <pivotTable tabId="13" name="PivotTable1"/>
    <pivotTable tabId="13" name="PivotTable3"/>
    <pivotTable tabId="13" name="PivotTable4"/>
    <pivotTable tabId="13" name="PivotTable7"/>
    <pivotTable tabId="13" name="PivotTable9"/>
  </pivotTables>
  <data>
    <tabular pivotCacheId="1114052071">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End1" xr10:uid="{01D787E8-1FE3-4FB3-8347-A9137DB40197}" sourceName="Quarters (End)">
  <pivotTables>
    <pivotTable tabId="13" name="PivotTable1"/>
    <pivotTable tabId="13" name="PivotTable2"/>
    <pivotTable tabId="13" name="PivotTable3"/>
    <pivotTable tabId="13" name="PivotTable4"/>
    <pivotTable tabId="13" name="PivotTable6"/>
    <pivotTable tabId="13" name="PivotTable7"/>
    <pivotTable tabId="13" name="PivotTable8"/>
    <pivotTable tabId="13" name="PivotTable9"/>
    <pivotTable tabId="13" name="PivotTable10"/>
    <pivotTable tabId="13" name="PivotTable11"/>
    <pivotTable tabId="13" name="PivotTable12"/>
  </pivotTables>
  <data>
    <tabular pivotCacheId="111405207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name 2" xr10:uid="{7B6ED49C-6920-45B6-9063-0F58AEBD446B}" cache="Slicer_company_name1" caption="Company" columnCount="3" style="SlicerStyleLight6" rowHeight="180000"/>
  <slicer name="Type 2" xr10:uid="{9734D8FA-0D19-4770-B04B-FB98330496F7}" cache="Slicer_Type1" caption="Type" columnCount="2" style="SlicerStyleLight6" rowHeight="220133"/>
  <slicer name="Quarters (End) 2" xr10:uid="{A735AAD7-9560-40F2-89FE-5741804E9D6F}" cache="Slicer_Quarters__End1" caption="Quarters (End)" columnCount="2" style="SlicerStyleLight6"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86C8F-0294-4B8B-B068-A7C038FAF2AD}" name="Table3" displayName="Table3" ref="A1:H10" totalsRowShown="0" headerRowDxfId="107" dataDxfId="106">
  <autoFilter ref="A1:H10" xr:uid="{49D86C8F-0294-4B8B-B068-A7C038FAF2AD}"/>
  <tableColumns count="8">
    <tableColumn id="1" xr3:uid="{6F911D9A-7BF7-4B23-9488-55BEF2A68BFF}" name="Company_name" dataDxfId="105"/>
    <tableColumn id="2" xr3:uid="{6618173A-65F4-43BA-9B2A-5C15405CCEF2}" name="Investment participation" dataDxfId="104"/>
    <tableColumn id="3" xr3:uid="{AB78A8C9-6819-4919-9824-4EEAF4F2E27A}" name="Employee" dataDxfId="103"/>
    <tableColumn id="4" xr3:uid="{957F15A9-8EB5-4385-ACAD-DAA737B5D0A9}" name="Turnover M€" dataDxfId="102"/>
    <tableColumn id="8" xr3:uid="{0CCCD6B9-45AC-4DF2-B3FB-8A7416BEE6E9}" name="Turnover" dataDxfId="101">
      <calculatedColumnFormula>Table3[[#This Row],[Turnover M€]]*1000000</calculatedColumnFormula>
    </tableColumn>
    <tableColumn id="5" xr3:uid="{F2C086EE-DBB2-4694-B482-EFE9B652BA29}" name="Industry" dataDxfId="100"/>
    <tableColumn id="6" xr3:uid="{C69188D2-BF13-4BAD-B296-49319AA113E1}" name="Based year" dataDxfId="99"/>
    <tableColumn id="7" xr3:uid="{78734366-F475-456A-953F-DF39B541D8FC}" name="Reporting year" dataDxfId="9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F63E42-B984-4069-986D-5670A36D2A60}" name="Table1" displayName="Table1" ref="A1:Q123" totalsRowShown="0" headerRowDxfId="97" dataDxfId="96">
  <autoFilter ref="A1:Q123" xr:uid="{B1F63E42-B984-4069-986D-5670A36D2A60}"/>
  <tableColumns count="17">
    <tableColumn id="1" xr3:uid="{971E1511-F456-4437-989B-1F11D243E114}" name="company_name" dataDxfId="95"/>
    <tableColumn id="2" xr3:uid="{17644264-21CB-4E1F-87EF-8F4AFB9A70B9}" name="name" dataDxfId="94"/>
    <tableColumn id="3" xr3:uid="{F9495544-8E38-43B3-BA6C-E4BC12918378}" name="low_code" dataDxfId="93"/>
    <tableColumn id="4" xr3:uid="{B59994B2-BB22-49E7-911E-5C9CA3509726}" name="low_description" dataDxfId="92"/>
    <tableColumn id="5" xr3:uid="{CF9A639B-17C3-4FBE-A379-1EF9D850C4B3}" name="name[custom_emission_group]" dataDxfId="91"/>
    <tableColumn id="6" xr3:uid="{30EAE8BC-C046-432F-AD0F-3366D06E8E20}" name="rd_code" dataDxfId="90"/>
    <tableColumn id="7" xr3:uid="{759B5011-9A3D-4FE9-979A-41E4250020E4}" name="rd_description" dataDxfId="89"/>
    <tableColumn id="8" xr3:uid="{92C9382E-B7B3-482E-B433-CDD44171B7C2}" name="start_date[wastes]" dataDxfId="88"/>
    <tableColumn id="14" xr3:uid="{58742018-FC06-4C64-A394-CD7A9A5E16A5}" name="Start" dataDxfId="87">
      <calculatedColumnFormula>DATE(RIGHT(TEXT(H2,"dd-mm-yyyy"),4), LEFT(TEXT(H2,"dd-mm-yyyy"),2),MID(TEXT(H2,"dd-mm-yyyy"),4,2))</calculatedColumnFormula>
    </tableColumn>
    <tableColumn id="9" xr3:uid="{7AB7D0FB-C5FA-425A-804C-C68A3EB497FD}" name="end_date[wastes]" dataDxfId="86"/>
    <tableColumn id="15" xr3:uid="{7E3C8675-1BAE-4C80-8E27-34F6CE429F1A}" name="End" dataDxfId="85">
      <calculatedColumnFormula>DATE(RIGHT(TEXT(J2,"dd-mm-yyyy"),4), LEFT(TEXT(J2,"dd-mm-yyyy"),2),MID(TEXT(J2,"dd-mm-yyyy"),4,2))</calculatedColumnFormula>
    </tableColumn>
    <tableColumn id="10" xr3:uid="{F67C88F6-AC4B-47A9-AF7B-106630F94029}" name="quantity[wastes]" dataDxfId="84"/>
    <tableColumn id="16" xr3:uid="{E7538621-D342-431A-B7F8-48941E03D931}" name="Tonnes_quantity" dataDxfId="83">
      <calculatedColumnFormula>Table1[[#This Row],[quantity'[wastes']]]*1000</calculatedColumnFormula>
    </tableColumn>
    <tableColumn id="17" xr3:uid="{E4DE6244-9E97-41AD-988B-67DFF69C53F6}" name="Tonnes_CO2 eq (Kg)" dataDxfId="82">
      <calculatedColumnFormula>Table1[[#This Row],[Tonnes_quantity]]/25</calculatedColumnFormula>
    </tableColumn>
    <tableColumn id="11" xr3:uid="{D63840D8-1C6B-4B18-B3E2-9A81A1FEEFDE}" name="kg Co2eq" dataDxfId="81"/>
    <tableColumn id="12" xr3:uid="{802810E3-F3EE-4A4C-9D0E-1101A2FE3F7F}" name="year" dataDxfId="80"/>
    <tableColumn id="13" xr3:uid="{3CEA0F89-8AA7-4F24-8D92-E5C336433815}" name="filter hazardous" dataDxfId="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DF03B6-CE2A-435E-BA3C-7415AB35FE8B}" name="Table2" displayName="Table2" ref="A1:N436" totalsRowShown="0" headerRowDxfId="78" dataDxfId="77">
  <autoFilter ref="A1:N436" xr:uid="{18DF03B6-CE2A-435E-BA3C-7415AB35FE8B}">
    <filterColumn colId="0">
      <filters>
        <filter val="Dcycle SIA"/>
      </filters>
    </filterColumn>
    <filterColumn colId="10">
      <filters>
        <filter val="therm_(thm)"/>
      </filters>
    </filterColumn>
  </autoFilter>
  <tableColumns count="14">
    <tableColumn id="1" xr3:uid="{19FB0AE3-9627-4FAB-BE29-FDA69E7D0455}" name="company_name" dataDxfId="76"/>
    <tableColumn id="2" xr3:uid="{7A0D941C-8D05-4382-95E1-729BBFAD634A}" name="name" dataDxfId="75"/>
    <tableColumn id="12" xr3:uid="{A9D0C999-6C94-4A17-8B3A-4735D15226A4}" name="Type" dataDxfId="74">
      <calculatedColumnFormula>IF(OR(Table2[[#This Row],[units]]="litre_(l)", Table2[[#This Row],[units]]="gallon_(gal)", Table2[[#This Row],[units]]="cubic_metre_(m3)"), "water", Table2[[#This Row],[type2]])</calculatedColumnFormula>
    </tableColumn>
    <tableColumn id="3" xr3:uid="{CC8D30B1-6230-4774-96BB-F32B23A63632}" name="type2" dataDxfId="73"/>
    <tableColumn id="4" xr3:uid="{35E6F31F-30B8-4B18-9FA3-3FD39A363A63}" name="start_date" dataDxfId="72"/>
    <tableColumn id="9" xr3:uid="{38997B36-EABC-4DEB-AE15-4E5B7914297D}" name="Start" dataDxfId="71">
      <calculatedColumnFormula>DATE(RIGHT(TEXT(E2,"dd-mm-yyyy"),4), LEFT(TEXT(E2,"dd-mm-yyyy"),2),MID(TEXT(E2,"dd-mm-yyyy"),4,2))</calculatedColumnFormula>
    </tableColumn>
    <tableColumn id="5" xr3:uid="{2C3027E0-D6BE-4E5E-A2FB-7C6CF9BB397F}" name="end_date" dataDxfId="70"/>
    <tableColumn id="10" xr3:uid="{DDFFB096-F322-435E-B172-AD2DE3F5BA3A}" name="End" dataDxfId="69">
      <calculatedColumnFormula>DATE(RIGHT(TEXT(G2,"dd-mm-yyyy"),4), LEFT(TEXT(G2,"dd-mm-yyyy"),2),MID(TEXT(G2,"dd-mm-yyyy"),4,2))</calculatedColumnFormula>
    </tableColumn>
    <tableColumn id="6" xr3:uid="{4BC3E8D1-2C88-4056-B382-623EEB467AB7}" name="quantity" dataDxfId="68"/>
    <tableColumn id="11" xr3:uid="{11BE6FFD-0867-41D0-8948-F54AC3C3634C}" name="Quantity_correct" dataDxfId="67">
      <calculatedColumnFormula>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calculatedColumnFormula>
    </tableColumn>
    <tableColumn id="14" xr3:uid="{7DFD40F9-3FCC-473B-A757-3496D5F9A3C8}" name="Units_correct" dataDxfId="66">
      <calculatedColumnFormula>IF(Table2[[#This Row],[Type]]="electricity", "kilowatt_hour_(kwh)",
IF(Table2[[#This Row],[Type]]="water", "cubic_metre_(m3)",
IF(Table2[[#This Row],[Type]]="heat", "therm_(thm)",
"NA")))</calculatedColumnFormula>
    </tableColumn>
    <tableColumn id="7" xr3:uid="{D4B7C43B-E646-485E-A6BD-C538B0F2FB4B}" name="units" dataDxfId="65"/>
    <tableColumn id="13" xr3:uid="{8A27445B-2702-47D9-A7C2-04DB67087FF4}" name="CO2eq(KG)" dataDxfId="64">
      <calculatedColumnFormula>IF(Table2[[#This Row],[Type]]="electricity", Table2[[#This Row],[Quantity_correct]]/6.6667,
IF(Table2[[#This Row],[Type]]="water", Table2[[#This Row],[Quantity_correct]]/3.333,
IF(Table2[[#This Row],[Type]]="heat", Table2[[#This Row],[Quantity_correct]]/0.8333,
"NA")))</calculatedColumnFormula>
    </tableColumn>
    <tableColumn id="8" xr3:uid="{90FA4029-AFEC-437E-80D0-84A345B9A8F3}" name="kg Co2eq" dataDxfId="6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E749A5-9DA6-41A2-986E-95FA4C5831CA}" name="Table4" displayName="Table4" ref="A1:M558" totalsRowShown="0" headerRowDxfId="62" dataDxfId="61" tableBorderDxfId="60">
  <autoFilter ref="A1:M558" xr:uid="{85E749A5-9DA6-41A2-986E-95FA4C5831CA}">
    <filterColumn colId="3">
      <filters>
        <dateGroupItem year="2023" dateTimeGrouping="year"/>
        <dateGroupItem year="2022" dateTimeGrouping="year"/>
      </filters>
    </filterColumn>
  </autoFilter>
  <sortState xmlns:xlrd2="http://schemas.microsoft.com/office/spreadsheetml/2017/richdata2" ref="A57:M512">
    <sortCondition ref="D1:D558"/>
  </sortState>
  <tableColumns count="13">
    <tableColumn id="1" xr3:uid="{1BC1AEE4-E007-47A4-B2EE-92AFC87D25F5}" name="company_name" dataDxfId="59"/>
    <tableColumn id="2" xr3:uid="{66AB60D8-75A6-4111-818B-1511971BDEC3}" name="name" dataDxfId="58"/>
    <tableColumn id="3" xr3:uid="{401D3C5A-D91E-477F-992D-C4710817130F}" name="Type" dataDxfId="57"/>
    <tableColumn id="4" xr3:uid="{1CB9C4A0-1522-4D7A-95BA-7F95EA8C561E}" name="Start" dataDxfId="56"/>
    <tableColumn id="5" xr3:uid="{A3C73273-8A39-44FE-903C-919DF918C55D}" name="End" dataDxfId="55"/>
    <tableColumn id="6" xr3:uid="{F2BA818C-945E-4524-B133-97A853EE8041}" name="Quantity_correct" dataDxfId="54"/>
    <tableColumn id="7" xr3:uid="{A83777C5-F699-4E7F-BA6A-F574674BEF5B}" name="Units_correct" dataDxfId="53"/>
    <tableColumn id="8" xr3:uid="{F63E8F36-B793-4D3A-8A62-7228BCF657E5}" name="CO2eq(KG)" dataDxfId="52"/>
    <tableColumn id="9" xr3:uid="{209EC38A-266D-4FBF-B927-43CD8A09414D}" name="Duplicados" dataDxfId="51">
      <calculatedColumnFormula>A2&amp;B2&amp;C2&amp;D2&amp;E2</calculatedColumnFormula>
    </tableColumn>
    <tableColumn id="10" xr3:uid="{543F090F-927E-4CB8-BD1F-335B317EB159}" name="Quantity_Noduplicates" dataDxfId="50"/>
    <tableColumn id="11" xr3:uid="{A45D08E3-3419-4E19-97AE-E0D91497E01B}" name="CO2_Noduplicates" dataDxfId="49">
      <calculatedColumnFormula>IF(Combinadas!$C2="electricity", Combinadas!$J2/6.6667,
IF(Combinadas!$C2="water", Combinadas!$J2/3.333,
IF(Combinadas!$C2="heat", Combinadas!$J2/0.8333, IF(Combinadas!$C2="waste",Combinadas!$J2/25,
"NA"))))</calculatedColumnFormula>
    </tableColumn>
    <tableColumn id="12" xr3:uid="{4CB2569C-EDD1-464A-AE98-BAC5D9F743E4}" name="Q_Tonnes" dataDxfId="48"/>
    <tableColumn id="13" xr3:uid="{FA00A8FD-8903-45DB-B6F9-2A990A0B320E}" name="CO2_tonnes" dataDxfId="47">
      <calculatedColumnFormula>IF(Table4[[#This Row],[Type]]="waste", Table4[[#This Row],[Q_Tonnes]]/25, Table4[[#This Row],[CO2_Noduplicates]])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1" xr10:uid="{A59ABAC5-7A1A-4A03-8DD1-3F3C707E5015}" sourceName="Start">
  <pivotTables>
    <pivotTable tabId="13" name="PivotTable1"/>
    <pivotTable tabId="13" name="PivotTable2"/>
    <pivotTable tabId="13" name="PivotTable3"/>
    <pivotTable tabId="13" name="PivotTable4"/>
    <pivotTable tabId="13" name="PivotTable6"/>
    <pivotTable tabId="13" name="PivotTable7"/>
    <pivotTable tabId="13" name="PivotTable8"/>
    <pivotTable tabId="13" name="PivotTable9"/>
    <pivotTable tabId="13" name="PivotTable10"/>
    <pivotTable tabId="13" name="PivotTable11"/>
    <pivotTable tabId="13" name="PivotTable12"/>
  </pivotTables>
  <state minimalRefreshVersion="6" lastRefreshVersion="6" pivotCacheId="1114052071" filterType="dateBetween">
    <selection startDate="2023-01-01T00:00:00" endDate="2023-12-31T00:00:00"/>
    <bounds startDate="2021-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1" xr10:uid="{B9710DC4-CF6E-4E6C-954A-5DBF1EEAF6AC}" sourceName="End">
  <pivotTables>
    <pivotTable tabId="13" name="PivotTable1"/>
    <pivotTable tabId="13" name="PivotTable2"/>
    <pivotTable tabId="13" name="PivotTable3"/>
    <pivotTable tabId="13" name="PivotTable4"/>
    <pivotTable tabId="13" name="PivotTable6"/>
    <pivotTable tabId="13" name="PivotTable7"/>
    <pivotTable tabId="13" name="PivotTable8"/>
    <pivotTable tabId="13" name="PivotTable9"/>
    <pivotTable tabId="13" name="PivotTable10"/>
    <pivotTable tabId="13" name="PivotTable11"/>
    <pivotTable tabId="13" name="PivotTable12"/>
  </pivotTables>
  <state minimalRefreshVersion="6" lastRefreshVersion="6" pivotCacheId="1114052071" filterType="dateBetween">
    <selection startDate="2023-01-01T00:00:00" endDate="2023-12-31T00:00:00"/>
    <bounds startDate="2021-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 2" xr10:uid="{3E07A23E-DDD4-4BF1-8278-E029673DE1AE}" cache="NativeTimeline_Start1" caption="Start" level="2" selectionLevel="0" scrollPosition="2023-07-01T00:00:00" style="TimeSlicerStyleLight6"/>
  <timeline name="End 2" xr10:uid="{5C89FEE5-0D3E-4CBA-A152-81BB31C50D70}" cache="NativeTimeline_End1" caption="End" level="2" selectionLevel="0" scrollPosition="2022-09-04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drawing" Target="../drawings/drawing2.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7"/>
  <sheetViews>
    <sheetView workbookViewId="0">
      <selection activeCell="I7" sqref="I7"/>
    </sheetView>
  </sheetViews>
  <sheetFormatPr defaultColWidth="12.6328125" defaultRowHeight="15.75" customHeight="1" x14ac:dyDescent="0.25"/>
  <cols>
    <col min="2" max="2" width="21.453125" customWidth="1"/>
    <col min="3" max="3" width="23.54296875" customWidth="1"/>
    <col min="4" max="5" width="16.54296875" customWidth="1"/>
    <col min="6" max="6" width="13.81640625" customWidth="1"/>
    <col min="8" max="8" width="17.90625" customWidth="1"/>
    <col min="9" max="9" width="15.54296875" customWidth="1"/>
  </cols>
  <sheetData>
    <row r="1" spans="1:9" ht="15.75" customHeight="1" x14ac:dyDescent="0.25">
      <c r="A1" s="1" t="s">
        <v>0</v>
      </c>
      <c r="B1" s="1" t="s">
        <v>1</v>
      </c>
      <c r="C1" s="1" t="s">
        <v>2</v>
      </c>
      <c r="D1" s="1" t="s">
        <v>3</v>
      </c>
      <c r="E1" s="1" t="s">
        <v>246</v>
      </c>
      <c r="F1" s="1" t="s">
        <v>4</v>
      </c>
      <c r="G1" s="1" t="s">
        <v>5</v>
      </c>
      <c r="H1" s="1" t="s">
        <v>6</v>
      </c>
    </row>
    <row r="2" spans="1:9" ht="15.75" customHeight="1" x14ac:dyDescent="0.25">
      <c r="A2" s="1" t="s">
        <v>8</v>
      </c>
      <c r="B2" s="2">
        <v>1</v>
      </c>
      <c r="C2" s="1">
        <v>150</v>
      </c>
      <c r="D2" s="1">
        <v>9.6300000000000008</v>
      </c>
      <c r="E2" s="1">
        <f>Table3[[#This Row],[Turnover M€]]*1000000</f>
        <v>9630000</v>
      </c>
      <c r="F2" s="1" t="s">
        <v>9</v>
      </c>
      <c r="G2" s="1">
        <v>2023</v>
      </c>
      <c r="H2" s="1">
        <v>2023</v>
      </c>
    </row>
    <row r="3" spans="1:9" ht="15.75" customHeight="1" x14ac:dyDescent="0.25">
      <c r="A3" s="1" t="s">
        <v>10</v>
      </c>
      <c r="B3" s="2">
        <v>1</v>
      </c>
      <c r="C3" s="1">
        <v>100</v>
      </c>
      <c r="D3" s="1">
        <v>14.81</v>
      </c>
      <c r="E3" s="1">
        <f>Table3[[#This Row],[Turnover M€]]*1000000</f>
        <v>14810000</v>
      </c>
      <c r="F3" s="1" t="s">
        <v>9</v>
      </c>
      <c r="G3" s="1">
        <v>2023</v>
      </c>
      <c r="H3" s="1">
        <v>2023</v>
      </c>
    </row>
    <row r="4" spans="1:9" ht="15.75" customHeight="1" x14ac:dyDescent="0.25">
      <c r="A4" s="1" t="s">
        <v>11</v>
      </c>
      <c r="B4" s="2">
        <v>0.6</v>
      </c>
      <c r="C4" s="1">
        <v>20</v>
      </c>
      <c r="D4" s="1">
        <v>12.83</v>
      </c>
      <c r="E4" s="1">
        <f>Table3[[#This Row],[Turnover M€]]*1000000</f>
        <v>12830000</v>
      </c>
      <c r="F4" s="1" t="s">
        <v>9</v>
      </c>
      <c r="G4" s="1">
        <v>2023</v>
      </c>
      <c r="H4" s="1">
        <v>2023</v>
      </c>
    </row>
    <row r="5" spans="1:9" ht="15.75" customHeight="1" x14ac:dyDescent="0.25">
      <c r="A5" s="1" t="s">
        <v>12</v>
      </c>
      <c r="B5" s="2">
        <v>0.7</v>
      </c>
      <c r="C5" s="1">
        <v>30</v>
      </c>
      <c r="D5" s="1">
        <v>19.25</v>
      </c>
      <c r="E5" s="1">
        <f>Table3[[#This Row],[Turnover M€]]*1000000</f>
        <v>19250000</v>
      </c>
      <c r="F5" s="1" t="s">
        <v>13</v>
      </c>
      <c r="G5" s="1">
        <v>2023</v>
      </c>
      <c r="H5" s="1">
        <v>2023</v>
      </c>
    </row>
    <row r="6" spans="1:9" ht="15.75" customHeight="1" x14ac:dyDescent="0.25">
      <c r="A6" s="1" t="s">
        <v>14</v>
      </c>
      <c r="B6" s="2">
        <v>0.7</v>
      </c>
      <c r="C6" s="1">
        <v>200</v>
      </c>
      <c r="D6" s="1">
        <v>38.5</v>
      </c>
      <c r="E6" s="1">
        <f>Table3[[#This Row],[Turnover M€]]*1000000</f>
        <v>38500000</v>
      </c>
      <c r="F6" s="1" t="s">
        <v>9</v>
      </c>
      <c r="G6" s="1">
        <v>2023</v>
      </c>
      <c r="H6" s="1">
        <v>2023</v>
      </c>
    </row>
    <row r="7" spans="1:9" ht="15.75" customHeight="1" x14ac:dyDescent="0.25">
      <c r="A7" s="1" t="s">
        <v>15</v>
      </c>
      <c r="B7" s="2">
        <v>1</v>
      </c>
      <c r="C7" s="1">
        <v>130</v>
      </c>
      <c r="D7" s="1">
        <v>38.5</v>
      </c>
      <c r="E7" s="1">
        <f>Table3[[#This Row],[Turnover M€]]*1000000</f>
        <v>38500000</v>
      </c>
      <c r="F7" s="1" t="s">
        <v>16</v>
      </c>
      <c r="G7" s="1">
        <v>2023</v>
      </c>
      <c r="H7" s="1">
        <v>2023</v>
      </c>
    </row>
    <row r="8" spans="1:9" ht="15.75" customHeight="1" x14ac:dyDescent="0.25">
      <c r="A8" s="1" t="s">
        <v>17</v>
      </c>
      <c r="B8" s="2">
        <v>0.4</v>
      </c>
      <c r="C8" s="1">
        <v>30</v>
      </c>
      <c r="D8" s="1">
        <v>19.25</v>
      </c>
      <c r="E8" s="1">
        <f>Table3[[#This Row],[Turnover M€]]*1000000</f>
        <v>19250000</v>
      </c>
      <c r="F8" s="1" t="s">
        <v>16</v>
      </c>
      <c r="G8" s="1">
        <v>2023</v>
      </c>
      <c r="H8" s="1">
        <v>2023</v>
      </c>
    </row>
    <row r="9" spans="1:9" ht="15.75" customHeight="1" x14ac:dyDescent="0.25">
      <c r="A9" s="1" t="s">
        <v>18</v>
      </c>
      <c r="B9" s="2">
        <v>1</v>
      </c>
      <c r="C9" s="1">
        <v>99</v>
      </c>
      <c r="D9" s="1">
        <v>27.5</v>
      </c>
      <c r="E9" s="1">
        <f>Table3[[#This Row],[Turnover M€]]*1000000</f>
        <v>27500000</v>
      </c>
      <c r="F9" s="1" t="s">
        <v>9</v>
      </c>
      <c r="G9" s="1">
        <v>2023</v>
      </c>
      <c r="H9" s="1">
        <v>2023</v>
      </c>
    </row>
    <row r="10" spans="1:9" ht="15.75" customHeight="1" x14ac:dyDescent="0.25">
      <c r="A10" s="1" t="s">
        <v>19</v>
      </c>
      <c r="B10" s="2">
        <v>0.65</v>
      </c>
      <c r="C10" s="1">
        <v>145</v>
      </c>
      <c r="D10" s="1">
        <v>12.83</v>
      </c>
      <c r="E10" s="1">
        <f>Table3[[#This Row],[Turnover M€]]*1000000</f>
        <v>12830000</v>
      </c>
      <c r="F10" s="1" t="s">
        <v>13</v>
      </c>
      <c r="G10" s="1">
        <v>2023</v>
      </c>
      <c r="H10" s="1">
        <v>2023</v>
      </c>
    </row>
    <row r="12" spans="1:9" ht="15.75" customHeight="1" x14ac:dyDescent="0.25">
      <c r="A12" s="31" t="s">
        <v>7</v>
      </c>
      <c r="B12" s="32"/>
      <c r="C12" s="32">
        <f>SUM(Table3[Employee])</f>
        <v>904</v>
      </c>
      <c r="D12" s="31">
        <f>SUM(Table3[Turnover M€])</f>
        <v>193.10000000000002</v>
      </c>
      <c r="E12" s="31">
        <f>SUM(Table3[Turnover])</f>
        <v>193100000</v>
      </c>
      <c r="F12" s="31"/>
      <c r="G12" s="32">
        <v>2023</v>
      </c>
      <c r="H12" s="31">
        <v>2023</v>
      </c>
      <c r="I12" s="1"/>
    </row>
    <row r="14" spans="1:9" ht="15.75" customHeight="1" x14ac:dyDescent="0.25">
      <c r="A14" s="1" t="s">
        <v>20</v>
      </c>
    </row>
    <row r="15" spans="1:9" ht="15.75" customHeight="1" x14ac:dyDescent="0.25">
      <c r="A15" s="1" t="s">
        <v>21</v>
      </c>
    </row>
    <row r="19" spans="1:1" ht="15.75" customHeight="1" x14ac:dyDescent="0.25">
      <c r="A19" s="1" t="s">
        <v>22</v>
      </c>
    </row>
    <row r="20" spans="1:1" ht="15.75" customHeight="1" x14ac:dyDescent="0.25">
      <c r="A20" s="1" t="s">
        <v>23</v>
      </c>
    </row>
    <row r="21" spans="1:1" ht="12.5" x14ac:dyDescent="0.25">
      <c r="A21" s="1" t="s">
        <v>24</v>
      </c>
    </row>
    <row r="22" spans="1:1" ht="12.5" x14ac:dyDescent="0.25">
      <c r="A22" s="1" t="s">
        <v>25</v>
      </c>
    </row>
    <row r="23" spans="1:1" ht="12.5" x14ac:dyDescent="0.25">
      <c r="A23" s="1" t="s">
        <v>26</v>
      </c>
    </row>
    <row r="24" spans="1:1" ht="12.5" x14ac:dyDescent="0.25">
      <c r="A24" s="1" t="s">
        <v>27</v>
      </c>
    </row>
    <row r="25" spans="1:1" ht="12.5" x14ac:dyDescent="0.25">
      <c r="A25" s="1" t="s">
        <v>28</v>
      </c>
    </row>
    <row r="27" spans="1:1" ht="12.5" x14ac:dyDescent="0.25">
      <c r="A27" s="1" t="s">
        <v>29</v>
      </c>
    </row>
  </sheetData>
  <conditionalFormatting sqref="D2:D10">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23"/>
  <sheetViews>
    <sheetView topLeftCell="F1" zoomScale="86" workbookViewId="0">
      <pane ySplit="1" topLeftCell="A2" activePane="bottomLeft" state="frozen"/>
      <selection pane="bottomLeft" activeCell="O1" activeCellId="1" sqref="L1:L1048576 O1:O1048576"/>
    </sheetView>
  </sheetViews>
  <sheetFormatPr defaultColWidth="12.6328125" defaultRowHeight="15.75" customHeight="1" x14ac:dyDescent="0.25"/>
  <cols>
    <col min="1" max="1" width="16.26953125" customWidth="1"/>
    <col min="4" max="4" width="16.36328125" customWidth="1"/>
    <col min="5" max="5" width="29.81640625" customWidth="1"/>
    <col min="7" max="7" width="15.26953125" customWidth="1"/>
    <col min="8" max="8" width="18.81640625" hidden="1" customWidth="1"/>
    <col min="9" max="9" width="25.1796875" style="6" customWidth="1"/>
    <col min="10" max="10" width="18" hidden="1" customWidth="1"/>
    <col min="11" max="11" width="17.08984375" style="6" customWidth="1"/>
    <col min="14" max="14" width="16.26953125" customWidth="1"/>
  </cols>
  <sheetData>
    <row r="1" spans="1:17" ht="15.75" customHeight="1" x14ac:dyDescent="0.25">
      <c r="A1" s="1" t="s">
        <v>30</v>
      </c>
      <c r="B1" s="1" t="s">
        <v>31</v>
      </c>
      <c r="C1" s="1" t="s">
        <v>32</v>
      </c>
      <c r="D1" s="1" t="s">
        <v>33</v>
      </c>
      <c r="E1" s="1" t="s">
        <v>34</v>
      </c>
      <c r="F1" s="1" t="s">
        <v>35</v>
      </c>
      <c r="G1" s="1" t="s">
        <v>36</v>
      </c>
      <c r="H1" s="1" t="s">
        <v>37</v>
      </c>
      <c r="I1" s="8" t="s">
        <v>224</v>
      </c>
      <c r="J1" s="1" t="s">
        <v>38</v>
      </c>
      <c r="K1" s="8" t="s">
        <v>225</v>
      </c>
      <c r="L1" s="1" t="s">
        <v>39</v>
      </c>
      <c r="M1" s="1" t="s">
        <v>276</v>
      </c>
      <c r="N1" s="1" t="s">
        <v>277</v>
      </c>
      <c r="O1" s="1" t="s">
        <v>40</v>
      </c>
      <c r="P1" s="1" t="s">
        <v>41</v>
      </c>
      <c r="Q1" s="1" t="s">
        <v>42</v>
      </c>
    </row>
    <row r="2" spans="1:17" ht="15.75" customHeight="1" x14ac:dyDescent="0.25">
      <c r="A2" s="1" t="s">
        <v>10</v>
      </c>
      <c r="B2" s="1" t="s">
        <v>10</v>
      </c>
      <c r="C2" s="1">
        <v>200101</v>
      </c>
      <c r="D2" s="1" t="s">
        <v>43</v>
      </c>
      <c r="E2" s="1" t="s">
        <v>44</v>
      </c>
      <c r="F2" s="1" t="s">
        <v>44</v>
      </c>
      <c r="G2" s="1" t="s">
        <v>44</v>
      </c>
      <c r="H2" s="3">
        <v>44927</v>
      </c>
      <c r="I2" s="7">
        <f t="shared" ref="I2:I65" si="0">DATE(RIGHT(TEXT(H2,"dd-mm-yyyy"),4), LEFT(TEXT(H2,"dd-mm-yyyy"),2),MID(TEXT(H2,"dd-mm-yyyy"),4,2))</f>
        <v>44927</v>
      </c>
      <c r="J2" s="1" t="s">
        <v>45</v>
      </c>
      <c r="K2" s="8">
        <f t="shared" ref="K2:K33" si="1">DATE(RIGHT(TEXT(J2,"dd-mm-yyyy"),4), LEFT(TEXT(J2,"dd-mm-yyyy"),2),MID(TEXT(J2,"dd-mm-yyyy"),4,2))</f>
        <v>45291</v>
      </c>
      <c r="L2" s="1">
        <v>20517</v>
      </c>
      <c r="M2" s="1">
        <f>Table1[[#This Row],[quantity'[wastes']]]*1000</f>
        <v>20517000</v>
      </c>
      <c r="N2" s="1">
        <f>Table1[[#This Row],[Tonnes_quantity]]/25</f>
        <v>820680</v>
      </c>
      <c r="O2" s="1">
        <v>820.68</v>
      </c>
      <c r="P2" s="1">
        <v>2023</v>
      </c>
      <c r="Q2" s="1" t="s">
        <v>46</v>
      </c>
    </row>
    <row r="3" spans="1:17" ht="15.75" customHeight="1" x14ac:dyDescent="0.25">
      <c r="A3" s="1" t="s">
        <v>10</v>
      </c>
      <c r="B3" s="1" t="s">
        <v>10</v>
      </c>
      <c r="C3" s="1">
        <v>200301</v>
      </c>
      <c r="D3" s="1" t="s">
        <v>47</v>
      </c>
      <c r="E3" s="1" t="s">
        <v>44</v>
      </c>
      <c r="F3" s="1" t="s">
        <v>44</v>
      </c>
      <c r="G3" s="1" t="s">
        <v>44</v>
      </c>
      <c r="H3" s="3">
        <v>44927</v>
      </c>
      <c r="I3" s="7">
        <f t="shared" si="0"/>
        <v>44927</v>
      </c>
      <c r="J3" s="1" t="s">
        <v>45</v>
      </c>
      <c r="K3" s="8">
        <f t="shared" si="1"/>
        <v>45291</v>
      </c>
      <c r="L3" s="1">
        <v>20634</v>
      </c>
      <c r="M3" s="1">
        <f>Table1[[#This Row],[quantity'[wastes']]]*1000</f>
        <v>20634000</v>
      </c>
      <c r="N3" s="1">
        <f>Table1[[#This Row],[Tonnes_quantity]]/25</f>
        <v>825360</v>
      </c>
      <c r="O3" s="1">
        <v>825.36</v>
      </c>
      <c r="P3" s="1">
        <v>2023</v>
      </c>
      <c r="Q3" s="1" t="s">
        <v>46</v>
      </c>
    </row>
    <row r="4" spans="1:17" ht="15.75" customHeight="1" x14ac:dyDescent="0.25">
      <c r="A4" s="1" t="s">
        <v>11</v>
      </c>
      <c r="B4" s="1" t="s">
        <v>48</v>
      </c>
      <c r="C4" s="1" t="s">
        <v>49</v>
      </c>
      <c r="D4" s="1" t="s">
        <v>50</v>
      </c>
      <c r="E4" s="1" t="s">
        <v>44</v>
      </c>
      <c r="F4" s="1" t="s">
        <v>44</v>
      </c>
      <c r="G4" s="1" t="s">
        <v>44</v>
      </c>
      <c r="H4" s="3">
        <v>44562</v>
      </c>
      <c r="I4" s="7">
        <f t="shared" si="0"/>
        <v>44562</v>
      </c>
      <c r="J4" s="1" t="s">
        <v>51</v>
      </c>
      <c r="K4" s="8">
        <f t="shared" si="1"/>
        <v>44926</v>
      </c>
      <c r="L4" s="1">
        <v>1</v>
      </c>
      <c r="M4" s="1">
        <f>Table1[[#This Row],[quantity'[wastes']]]*1000</f>
        <v>1000</v>
      </c>
      <c r="N4" s="1">
        <f>Table1[[#This Row],[Tonnes_quantity]]/25</f>
        <v>40</v>
      </c>
      <c r="O4" s="1">
        <v>0.04</v>
      </c>
      <c r="P4" s="1">
        <v>2022</v>
      </c>
      <c r="Q4" s="1" t="s">
        <v>52</v>
      </c>
    </row>
    <row r="5" spans="1:17" ht="15.75" customHeight="1" x14ac:dyDescent="0.25">
      <c r="A5" s="1" t="s">
        <v>11</v>
      </c>
      <c r="B5" s="1" t="s">
        <v>53</v>
      </c>
      <c r="C5" s="1" t="s">
        <v>54</v>
      </c>
      <c r="D5" s="1" t="s">
        <v>55</v>
      </c>
      <c r="E5" s="1" t="s">
        <v>44</v>
      </c>
      <c r="F5" s="1" t="s">
        <v>44</v>
      </c>
      <c r="G5" s="1" t="s">
        <v>44</v>
      </c>
      <c r="H5" s="3">
        <v>44937</v>
      </c>
      <c r="I5" s="7">
        <f t="shared" si="0"/>
        <v>45231</v>
      </c>
      <c r="J5" s="1" t="s">
        <v>56</v>
      </c>
      <c r="K5" s="8">
        <f t="shared" si="1"/>
        <v>45260</v>
      </c>
      <c r="L5" s="1">
        <v>3.5</v>
      </c>
      <c r="M5" s="1">
        <f>Table1[[#This Row],[quantity'[wastes']]]*1000</f>
        <v>3500</v>
      </c>
      <c r="N5" s="1">
        <f>Table1[[#This Row],[Tonnes_quantity]]/25</f>
        <v>140</v>
      </c>
      <c r="O5" s="1">
        <v>0.14000000000000001</v>
      </c>
      <c r="P5" s="1">
        <v>2023</v>
      </c>
      <c r="Q5" s="1" t="s">
        <v>52</v>
      </c>
    </row>
    <row r="6" spans="1:17" ht="15.75" customHeight="1" x14ac:dyDescent="0.25">
      <c r="A6" s="1" t="s">
        <v>11</v>
      </c>
      <c r="B6" s="1" t="s">
        <v>53</v>
      </c>
      <c r="C6" s="1" t="s">
        <v>57</v>
      </c>
      <c r="D6" s="1" t="s">
        <v>58</v>
      </c>
      <c r="E6" s="1" t="s">
        <v>44</v>
      </c>
      <c r="F6" s="1" t="s">
        <v>44</v>
      </c>
      <c r="G6" s="1" t="s">
        <v>44</v>
      </c>
      <c r="H6" s="3">
        <v>44937</v>
      </c>
      <c r="I6" s="7">
        <f t="shared" si="0"/>
        <v>45231</v>
      </c>
      <c r="J6" s="1" t="s">
        <v>56</v>
      </c>
      <c r="K6" s="8">
        <f t="shared" si="1"/>
        <v>45260</v>
      </c>
      <c r="L6" s="1">
        <v>5.3</v>
      </c>
      <c r="M6" s="1">
        <f>Table1[[#This Row],[quantity'[wastes']]]*1000</f>
        <v>5300</v>
      </c>
      <c r="N6" s="1">
        <f>Table1[[#This Row],[Tonnes_quantity]]/25</f>
        <v>212</v>
      </c>
      <c r="O6" s="1">
        <v>0.21199999999999999</v>
      </c>
      <c r="P6" s="1">
        <v>2023</v>
      </c>
      <c r="Q6" s="1" t="s">
        <v>52</v>
      </c>
    </row>
    <row r="7" spans="1:17" ht="15.75" customHeight="1" x14ac:dyDescent="0.25">
      <c r="A7" s="1" t="s">
        <v>11</v>
      </c>
      <c r="B7" s="1" t="s">
        <v>53</v>
      </c>
      <c r="C7" s="1" t="s">
        <v>59</v>
      </c>
      <c r="D7" s="1" t="s">
        <v>60</v>
      </c>
      <c r="E7" s="1" t="s">
        <v>44</v>
      </c>
      <c r="F7" s="1" t="s">
        <v>44</v>
      </c>
      <c r="G7" s="1" t="s">
        <v>44</v>
      </c>
      <c r="H7" s="3">
        <v>44937</v>
      </c>
      <c r="I7" s="7">
        <f t="shared" si="0"/>
        <v>45231</v>
      </c>
      <c r="J7" s="1" t="s">
        <v>56</v>
      </c>
      <c r="K7" s="8">
        <f t="shared" si="1"/>
        <v>45260</v>
      </c>
      <c r="L7" s="1">
        <v>8</v>
      </c>
      <c r="M7" s="1">
        <f>Table1[[#This Row],[quantity'[wastes']]]*1000</f>
        <v>8000</v>
      </c>
      <c r="N7" s="1">
        <f>Table1[[#This Row],[Tonnes_quantity]]/25</f>
        <v>320</v>
      </c>
      <c r="O7" s="1">
        <v>0.32</v>
      </c>
      <c r="P7" s="1">
        <v>2023</v>
      </c>
      <c r="Q7" s="1" t="s">
        <v>52</v>
      </c>
    </row>
    <row r="8" spans="1:17" ht="15.75" customHeight="1" x14ac:dyDescent="0.25">
      <c r="A8" s="1" t="s">
        <v>11</v>
      </c>
      <c r="B8" s="1" t="s">
        <v>53</v>
      </c>
      <c r="C8" s="1">
        <v>160605</v>
      </c>
      <c r="D8" s="1" t="s">
        <v>61</v>
      </c>
      <c r="E8" s="1" t="s">
        <v>44</v>
      </c>
      <c r="F8" s="1" t="s">
        <v>44</v>
      </c>
      <c r="G8" s="1" t="s">
        <v>44</v>
      </c>
      <c r="H8" s="3">
        <v>44937</v>
      </c>
      <c r="I8" s="7">
        <f t="shared" si="0"/>
        <v>45231</v>
      </c>
      <c r="J8" s="1" t="s">
        <v>56</v>
      </c>
      <c r="K8" s="8">
        <f t="shared" si="1"/>
        <v>45260</v>
      </c>
      <c r="L8" s="1">
        <v>11</v>
      </c>
      <c r="M8" s="1">
        <f>Table1[[#This Row],[quantity'[wastes']]]*1000</f>
        <v>11000</v>
      </c>
      <c r="N8" s="1">
        <f>Table1[[#This Row],[Tonnes_quantity]]/25</f>
        <v>440</v>
      </c>
      <c r="O8" s="1">
        <v>0.44</v>
      </c>
      <c r="P8" s="1">
        <v>2023</v>
      </c>
      <c r="Q8" s="1" t="s">
        <v>46</v>
      </c>
    </row>
    <row r="9" spans="1:17" ht="15.75" customHeight="1" x14ac:dyDescent="0.25">
      <c r="A9" s="1" t="s">
        <v>11</v>
      </c>
      <c r="B9" s="1" t="s">
        <v>53</v>
      </c>
      <c r="C9" s="1" t="s">
        <v>62</v>
      </c>
      <c r="D9" s="1" t="s">
        <v>63</v>
      </c>
      <c r="E9" s="1" t="s">
        <v>44</v>
      </c>
      <c r="F9" s="1" t="s">
        <v>44</v>
      </c>
      <c r="G9" s="1" t="s">
        <v>44</v>
      </c>
      <c r="H9" s="3">
        <v>44937</v>
      </c>
      <c r="I9" s="7">
        <f t="shared" si="0"/>
        <v>45231</v>
      </c>
      <c r="J9" s="1" t="s">
        <v>56</v>
      </c>
      <c r="K9" s="8">
        <f t="shared" si="1"/>
        <v>45260</v>
      </c>
      <c r="L9" s="1">
        <v>14</v>
      </c>
      <c r="M9" s="1">
        <f>Table1[[#This Row],[quantity'[wastes']]]*1000</f>
        <v>14000</v>
      </c>
      <c r="N9" s="1">
        <f>Table1[[#This Row],[Tonnes_quantity]]/25</f>
        <v>560</v>
      </c>
      <c r="O9" s="1">
        <v>0.56000000000000005</v>
      </c>
      <c r="P9" s="1">
        <v>2023</v>
      </c>
      <c r="Q9" s="1" t="s">
        <v>52</v>
      </c>
    </row>
    <row r="10" spans="1:17" ht="15.75" customHeight="1" x14ac:dyDescent="0.25">
      <c r="A10" s="1" t="s">
        <v>11</v>
      </c>
      <c r="B10" s="1" t="s">
        <v>53</v>
      </c>
      <c r="C10" s="1">
        <v>160117</v>
      </c>
      <c r="D10" s="1" t="s">
        <v>64</v>
      </c>
      <c r="E10" s="1" t="s">
        <v>44</v>
      </c>
      <c r="F10" s="1" t="s">
        <v>44</v>
      </c>
      <c r="G10" s="1" t="s">
        <v>44</v>
      </c>
      <c r="H10" s="3">
        <v>44928</v>
      </c>
      <c r="I10" s="7">
        <f t="shared" si="0"/>
        <v>44958</v>
      </c>
      <c r="J10" s="1" t="s">
        <v>65</v>
      </c>
      <c r="K10" s="8">
        <f t="shared" si="1"/>
        <v>44985</v>
      </c>
      <c r="L10" s="1">
        <v>15</v>
      </c>
      <c r="M10" s="1">
        <f>Table1[[#This Row],[quantity'[wastes']]]*1000</f>
        <v>15000</v>
      </c>
      <c r="N10" s="1">
        <f>Table1[[#This Row],[Tonnes_quantity]]/25</f>
        <v>600</v>
      </c>
      <c r="O10" s="1">
        <v>0.6</v>
      </c>
      <c r="P10" s="1">
        <v>2023</v>
      </c>
      <c r="Q10" s="1" t="s">
        <v>46</v>
      </c>
    </row>
    <row r="11" spans="1:17" ht="15.75" customHeight="1" x14ac:dyDescent="0.25">
      <c r="A11" s="1" t="s">
        <v>11</v>
      </c>
      <c r="B11" s="1" t="s">
        <v>53</v>
      </c>
      <c r="C11" s="1">
        <v>150102</v>
      </c>
      <c r="D11" s="1" t="s">
        <v>66</v>
      </c>
      <c r="E11" s="1" t="s">
        <v>44</v>
      </c>
      <c r="F11" s="1" t="s">
        <v>44</v>
      </c>
      <c r="G11" s="1" t="s">
        <v>44</v>
      </c>
      <c r="H11" s="3">
        <v>44935</v>
      </c>
      <c r="I11" s="7">
        <f t="shared" si="0"/>
        <v>45170</v>
      </c>
      <c r="J11" s="1" t="s">
        <v>67</v>
      </c>
      <c r="K11" s="8">
        <f t="shared" si="1"/>
        <v>45199</v>
      </c>
      <c r="L11" s="1">
        <v>40</v>
      </c>
      <c r="M11" s="1">
        <f>Table1[[#This Row],[quantity'[wastes']]]*1000</f>
        <v>40000</v>
      </c>
      <c r="N11" s="1">
        <f>Table1[[#This Row],[Tonnes_quantity]]/25</f>
        <v>1600</v>
      </c>
      <c r="O11" s="1">
        <v>1.6</v>
      </c>
      <c r="P11" s="1">
        <v>2023</v>
      </c>
      <c r="Q11" s="1" t="s">
        <v>46</v>
      </c>
    </row>
    <row r="12" spans="1:17" ht="15.75" customHeight="1" x14ac:dyDescent="0.25">
      <c r="A12" s="1" t="s">
        <v>11</v>
      </c>
      <c r="B12" s="1" t="s">
        <v>53</v>
      </c>
      <c r="C12" s="1">
        <v>150102</v>
      </c>
      <c r="D12" s="1" t="s">
        <v>66</v>
      </c>
      <c r="E12" s="1" t="s">
        <v>44</v>
      </c>
      <c r="F12" s="1" t="s">
        <v>44</v>
      </c>
      <c r="G12" s="1" t="s">
        <v>44</v>
      </c>
      <c r="H12" s="3">
        <v>44927</v>
      </c>
      <c r="I12" s="7">
        <f t="shared" si="0"/>
        <v>44927</v>
      </c>
      <c r="J12" s="1" t="s">
        <v>68</v>
      </c>
      <c r="K12" s="8">
        <f t="shared" si="1"/>
        <v>44957</v>
      </c>
      <c r="L12" s="1">
        <v>42</v>
      </c>
      <c r="M12" s="1">
        <f>Table1[[#This Row],[quantity'[wastes']]]*1000</f>
        <v>42000</v>
      </c>
      <c r="N12" s="1">
        <f>Table1[[#This Row],[Tonnes_quantity]]/25</f>
        <v>1680</v>
      </c>
      <c r="O12" s="1">
        <v>1.68</v>
      </c>
      <c r="P12" s="1">
        <v>2023</v>
      </c>
      <c r="Q12" s="1" t="s">
        <v>46</v>
      </c>
    </row>
    <row r="13" spans="1:17" ht="15.75" customHeight="1" x14ac:dyDescent="0.25">
      <c r="A13" s="1" t="s">
        <v>11</v>
      </c>
      <c r="B13" s="1" t="s">
        <v>53</v>
      </c>
      <c r="C13" s="1">
        <v>150102</v>
      </c>
      <c r="D13" s="1" t="s">
        <v>66</v>
      </c>
      <c r="E13" s="1" t="s">
        <v>44</v>
      </c>
      <c r="F13" s="1" t="s">
        <v>44</v>
      </c>
      <c r="G13" s="1" t="s">
        <v>44</v>
      </c>
      <c r="H13" s="3">
        <v>44932</v>
      </c>
      <c r="I13" s="7">
        <f t="shared" si="0"/>
        <v>45078</v>
      </c>
      <c r="J13" s="1" t="s">
        <v>69</v>
      </c>
      <c r="K13" s="8">
        <f t="shared" si="1"/>
        <v>45107</v>
      </c>
      <c r="L13" s="1">
        <v>42</v>
      </c>
      <c r="M13" s="1">
        <f>Table1[[#This Row],[quantity'[wastes']]]*1000</f>
        <v>42000</v>
      </c>
      <c r="N13" s="1">
        <f>Table1[[#This Row],[Tonnes_quantity]]/25</f>
        <v>1680</v>
      </c>
      <c r="O13" s="1">
        <v>1.68</v>
      </c>
      <c r="P13" s="1">
        <v>2023</v>
      </c>
      <c r="Q13" s="1" t="s">
        <v>46</v>
      </c>
    </row>
    <row r="14" spans="1:17" ht="15.75" customHeight="1" x14ac:dyDescent="0.25">
      <c r="A14" s="1" t="s">
        <v>11</v>
      </c>
      <c r="B14" s="1" t="s">
        <v>53</v>
      </c>
      <c r="C14" s="1">
        <v>160214</v>
      </c>
      <c r="D14" s="1" t="s">
        <v>70</v>
      </c>
      <c r="E14" s="1" t="s">
        <v>44</v>
      </c>
      <c r="F14" s="1" t="s">
        <v>44</v>
      </c>
      <c r="G14" s="1" t="s">
        <v>44</v>
      </c>
      <c r="H14" s="3">
        <v>44935</v>
      </c>
      <c r="I14" s="7">
        <f t="shared" si="0"/>
        <v>45170</v>
      </c>
      <c r="J14" s="1" t="s">
        <v>67</v>
      </c>
      <c r="K14" s="8">
        <f t="shared" si="1"/>
        <v>45199</v>
      </c>
      <c r="L14" s="1">
        <v>44</v>
      </c>
      <c r="M14" s="1">
        <f>Table1[[#This Row],[quantity'[wastes']]]*1000</f>
        <v>44000</v>
      </c>
      <c r="N14" s="1">
        <f>Table1[[#This Row],[Tonnes_quantity]]/25</f>
        <v>1760</v>
      </c>
      <c r="O14" s="1">
        <v>1.76</v>
      </c>
      <c r="P14" s="1">
        <v>2023</v>
      </c>
      <c r="Q14" s="1" t="s">
        <v>46</v>
      </c>
    </row>
    <row r="15" spans="1:17" ht="15.75" customHeight="1" x14ac:dyDescent="0.25">
      <c r="A15" s="1" t="s">
        <v>11</v>
      </c>
      <c r="B15" s="1" t="s">
        <v>53</v>
      </c>
      <c r="C15" s="1">
        <v>150102</v>
      </c>
      <c r="D15" s="1" t="s">
        <v>66</v>
      </c>
      <c r="E15" s="1" t="s">
        <v>44</v>
      </c>
      <c r="F15" s="1" t="s">
        <v>44</v>
      </c>
      <c r="G15" s="1" t="s">
        <v>44</v>
      </c>
      <c r="H15" s="3">
        <v>44933</v>
      </c>
      <c r="I15" s="7">
        <f t="shared" si="0"/>
        <v>45108</v>
      </c>
      <c r="J15" s="1" t="s">
        <v>71</v>
      </c>
      <c r="K15" s="8">
        <f t="shared" si="1"/>
        <v>45138</v>
      </c>
      <c r="L15" s="1">
        <v>47</v>
      </c>
      <c r="M15" s="1">
        <f>Table1[[#This Row],[quantity'[wastes']]]*1000</f>
        <v>47000</v>
      </c>
      <c r="N15" s="1">
        <f>Table1[[#This Row],[Tonnes_quantity]]/25</f>
        <v>1880</v>
      </c>
      <c r="O15" s="1">
        <v>1.88</v>
      </c>
      <c r="P15" s="1">
        <v>2023</v>
      </c>
      <c r="Q15" s="1" t="s">
        <v>46</v>
      </c>
    </row>
    <row r="16" spans="1:17" ht="15.75" customHeight="1" x14ac:dyDescent="0.25">
      <c r="A16" s="1" t="s">
        <v>11</v>
      </c>
      <c r="B16" s="1" t="s">
        <v>53</v>
      </c>
      <c r="C16" s="1">
        <v>150102</v>
      </c>
      <c r="D16" s="1" t="s">
        <v>66</v>
      </c>
      <c r="E16" s="1" t="s">
        <v>44</v>
      </c>
      <c r="F16" s="1" t="s">
        <v>44</v>
      </c>
      <c r="G16" s="1" t="s">
        <v>44</v>
      </c>
      <c r="H16" s="3">
        <v>44934</v>
      </c>
      <c r="I16" s="7">
        <f t="shared" si="0"/>
        <v>45139</v>
      </c>
      <c r="J16" s="1" t="s">
        <v>72</v>
      </c>
      <c r="K16" s="8">
        <f t="shared" si="1"/>
        <v>45169</v>
      </c>
      <c r="L16" s="1">
        <v>48</v>
      </c>
      <c r="M16" s="1">
        <f>Table1[[#This Row],[quantity'[wastes']]]*1000</f>
        <v>48000</v>
      </c>
      <c r="N16" s="1">
        <f>Table1[[#This Row],[Tonnes_quantity]]/25</f>
        <v>1920</v>
      </c>
      <c r="O16" s="1">
        <v>1.92</v>
      </c>
      <c r="P16" s="1">
        <v>2023</v>
      </c>
      <c r="Q16" s="1" t="s">
        <v>46</v>
      </c>
    </row>
    <row r="17" spans="1:17" ht="15.75" customHeight="1" x14ac:dyDescent="0.25">
      <c r="A17" s="1" t="s">
        <v>11</v>
      </c>
      <c r="B17" s="1" t="s">
        <v>53</v>
      </c>
      <c r="C17" s="1">
        <v>150102</v>
      </c>
      <c r="D17" s="1" t="s">
        <v>66</v>
      </c>
      <c r="E17" s="1" t="s">
        <v>44</v>
      </c>
      <c r="F17" s="1" t="s">
        <v>44</v>
      </c>
      <c r="G17" s="1" t="s">
        <v>44</v>
      </c>
      <c r="H17" s="3">
        <v>44928</v>
      </c>
      <c r="I17" s="7">
        <f t="shared" si="0"/>
        <v>44958</v>
      </c>
      <c r="J17" s="1" t="s">
        <v>65</v>
      </c>
      <c r="K17" s="8">
        <f t="shared" si="1"/>
        <v>44985</v>
      </c>
      <c r="L17" s="1">
        <v>60</v>
      </c>
      <c r="M17" s="1">
        <f>Table1[[#This Row],[quantity'[wastes']]]*1000</f>
        <v>60000</v>
      </c>
      <c r="N17" s="1">
        <f>Table1[[#This Row],[Tonnes_quantity]]/25</f>
        <v>2400</v>
      </c>
      <c r="O17" s="1">
        <v>2.4</v>
      </c>
      <c r="P17" s="1">
        <v>2023</v>
      </c>
      <c r="Q17" s="1" t="s">
        <v>46</v>
      </c>
    </row>
    <row r="18" spans="1:17" ht="15.75" customHeight="1" x14ac:dyDescent="0.25">
      <c r="A18" s="1" t="s">
        <v>11</v>
      </c>
      <c r="B18" s="1" t="s">
        <v>53</v>
      </c>
      <c r="C18" s="1">
        <v>150102</v>
      </c>
      <c r="D18" s="1" t="s">
        <v>66</v>
      </c>
      <c r="E18" s="1" t="s">
        <v>44</v>
      </c>
      <c r="F18" s="1" t="s">
        <v>44</v>
      </c>
      <c r="G18" s="1" t="s">
        <v>44</v>
      </c>
      <c r="H18" s="3">
        <v>44931</v>
      </c>
      <c r="I18" s="7">
        <f t="shared" si="0"/>
        <v>45047</v>
      </c>
      <c r="J18" s="1" t="s">
        <v>73</v>
      </c>
      <c r="K18" s="8">
        <f t="shared" si="1"/>
        <v>45077</v>
      </c>
      <c r="L18" s="1">
        <v>63</v>
      </c>
      <c r="M18" s="1">
        <f>Table1[[#This Row],[quantity'[wastes']]]*1000</f>
        <v>63000</v>
      </c>
      <c r="N18" s="1">
        <f>Table1[[#This Row],[Tonnes_quantity]]/25</f>
        <v>2520</v>
      </c>
      <c r="O18" s="1">
        <v>2.52</v>
      </c>
      <c r="P18" s="1">
        <v>2023</v>
      </c>
      <c r="Q18" s="1" t="s">
        <v>46</v>
      </c>
    </row>
    <row r="19" spans="1:17" ht="15.75" customHeight="1" x14ac:dyDescent="0.25">
      <c r="A19" s="1" t="s">
        <v>11</v>
      </c>
      <c r="B19" s="1" t="s">
        <v>53</v>
      </c>
      <c r="C19" s="1">
        <v>150102</v>
      </c>
      <c r="D19" s="1" t="s">
        <v>66</v>
      </c>
      <c r="E19" s="1" t="s">
        <v>44</v>
      </c>
      <c r="F19" s="1" t="s">
        <v>44</v>
      </c>
      <c r="G19" s="1" t="s">
        <v>44</v>
      </c>
      <c r="H19" s="3">
        <v>44937</v>
      </c>
      <c r="I19" s="7">
        <f t="shared" si="0"/>
        <v>45231</v>
      </c>
      <c r="J19" s="1" t="s">
        <v>56</v>
      </c>
      <c r="K19" s="8">
        <f t="shared" si="1"/>
        <v>45260</v>
      </c>
      <c r="L19" s="1">
        <v>77</v>
      </c>
      <c r="M19" s="1">
        <f>Table1[[#This Row],[quantity'[wastes']]]*1000</f>
        <v>77000</v>
      </c>
      <c r="N19" s="1">
        <f>Table1[[#This Row],[Tonnes_quantity]]/25</f>
        <v>3080</v>
      </c>
      <c r="O19" s="1">
        <v>3.08</v>
      </c>
      <c r="P19" s="1">
        <v>2023</v>
      </c>
      <c r="Q19" s="1" t="s">
        <v>46</v>
      </c>
    </row>
    <row r="20" spans="1:17" ht="15.75" customHeight="1" x14ac:dyDescent="0.25">
      <c r="A20" s="1" t="s">
        <v>11</v>
      </c>
      <c r="B20" s="1" t="s">
        <v>53</v>
      </c>
      <c r="C20" s="1">
        <v>160117</v>
      </c>
      <c r="D20" s="1" t="s">
        <v>64</v>
      </c>
      <c r="E20" s="1" t="s">
        <v>44</v>
      </c>
      <c r="F20" s="1" t="s">
        <v>44</v>
      </c>
      <c r="G20" s="1" t="s">
        <v>44</v>
      </c>
      <c r="H20" s="3">
        <v>44937</v>
      </c>
      <c r="I20" s="7">
        <f t="shared" si="0"/>
        <v>45231</v>
      </c>
      <c r="J20" s="1" t="s">
        <v>56</v>
      </c>
      <c r="K20" s="8">
        <f t="shared" si="1"/>
        <v>45260</v>
      </c>
      <c r="L20" s="1">
        <v>108</v>
      </c>
      <c r="M20" s="1">
        <f>Table1[[#This Row],[quantity'[wastes']]]*1000</f>
        <v>108000</v>
      </c>
      <c r="N20" s="1">
        <f>Table1[[#This Row],[Tonnes_quantity]]/25</f>
        <v>4320</v>
      </c>
      <c r="O20" s="1">
        <v>4.32</v>
      </c>
      <c r="P20" s="1">
        <v>2023</v>
      </c>
      <c r="Q20" s="1" t="s">
        <v>46</v>
      </c>
    </row>
    <row r="21" spans="1:17" ht="15.75" customHeight="1" x14ac:dyDescent="0.25">
      <c r="A21" s="1" t="s">
        <v>11</v>
      </c>
      <c r="B21" s="1" t="s">
        <v>53</v>
      </c>
      <c r="C21" s="1">
        <v>150102</v>
      </c>
      <c r="D21" s="1" t="s">
        <v>66</v>
      </c>
      <c r="E21" s="1" t="s">
        <v>44</v>
      </c>
      <c r="F21" s="1" t="s">
        <v>44</v>
      </c>
      <c r="G21" s="1" t="s">
        <v>44</v>
      </c>
      <c r="H21" s="3">
        <v>44929</v>
      </c>
      <c r="I21" s="7">
        <f t="shared" si="0"/>
        <v>44986</v>
      </c>
      <c r="J21" s="1" t="s">
        <v>74</v>
      </c>
      <c r="K21" s="8">
        <f t="shared" si="1"/>
        <v>45016</v>
      </c>
      <c r="L21" s="1">
        <v>170</v>
      </c>
      <c r="M21" s="1">
        <f>Table1[[#This Row],[quantity'[wastes']]]*1000</f>
        <v>170000</v>
      </c>
      <c r="N21" s="1">
        <f>Table1[[#This Row],[Tonnes_quantity]]/25</f>
        <v>6800</v>
      </c>
      <c r="O21" s="1">
        <v>6.8</v>
      </c>
      <c r="P21" s="1">
        <v>2023</v>
      </c>
      <c r="Q21" s="1" t="s">
        <v>46</v>
      </c>
    </row>
    <row r="22" spans="1:17" ht="16" x14ac:dyDescent="0.25">
      <c r="A22" s="1" t="s">
        <v>11</v>
      </c>
      <c r="B22" s="1" t="s">
        <v>53</v>
      </c>
      <c r="C22" s="1">
        <v>150102</v>
      </c>
      <c r="D22" s="1" t="s">
        <v>66</v>
      </c>
      <c r="E22" s="1" t="s">
        <v>44</v>
      </c>
      <c r="F22" s="1" t="s">
        <v>44</v>
      </c>
      <c r="G22" s="1" t="s">
        <v>44</v>
      </c>
      <c r="H22" s="3">
        <v>44936</v>
      </c>
      <c r="I22" s="7">
        <f t="shared" si="0"/>
        <v>45200</v>
      </c>
      <c r="J22" s="1" t="s">
        <v>75</v>
      </c>
      <c r="K22" s="8">
        <f t="shared" si="1"/>
        <v>45230</v>
      </c>
      <c r="L22" s="1">
        <v>182</v>
      </c>
      <c r="M22" s="1">
        <f>Table1[[#This Row],[quantity'[wastes']]]*1000</f>
        <v>182000</v>
      </c>
      <c r="N22" s="1">
        <f>Table1[[#This Row],[Tonnes_quantity]]/25</f>
        <v>7280</v>
      </c>
      <c r="O22" s="1">
        <v>7.28</v>
      </c>
      <c r="P22" s="1">
        <v>2023</v>
      </c>
      <c r="Q22" s="1" t="s">
        <v>46</v>
      </c>
    </row>
    <row r="23" spans="1:17" ht="16" x14ac:dyDescent="0.25">
      <c r="A23" s="1" t="s">
        <v>11</v>
      </c>
      <c r="B23" s="1" t="s">
        <v>53</v>
      </c>
      <c r="C23" s="1">
        <v>150101</v>
      </c>
      <c r="D23" s="1" t="s">
        <v>76</v>
      </c>
      <c r="E23" s="1" t="s">
        <v>44</v>
      </c>
      <c r="F23" s="1" t="s">
        <v>44</v>
      </c>
      <c r="G23" s="1" t="s">
        <v>44</v>
      </c>
      <c r="H23" s="3">
        <v>44935</v>
      </c>
      <c r="I23" s="7">
        <f t="shared" si="0"/>
        <v>45170</v>
      </c>
      <c r="J23" s="1" t="s">
        <v>67</v>
      </c>
      <c r="K23" s="8">
        <f t="shared" si="1"/>
        <v>45199</v>
      </c>
      <c r="L23" s="1">
        <v>207</v>
      </c>
      <c r="M23" s="1">
        <f>Table1[[#This Row],[quantity'[wastes']]]*1000</f>
        <v>207000</v>
      </c>
      <c r="N23" s="1">
        <f>Table1[[#This Row],[Tonnes_quantity]]/25</f>
        <v>8280</v>
      </c>
      <c r="O23" s="1">
        <v>8.2799999999999994</v>
      </c>
      <c r="P23" s="1">
        <v>2023</v>
      </c>
      <c r="Q23" s="1" t="s">
        <v>46</v>
      </c>
    </row>
    <row r="24" spans="1:17" ht="16" x14ac:dyDescent="0.25">
      <c r="A24" s="1" t="s">
        <v>11</v>
      </c>
      <c r="B24" s="1" t="s">
        <v>53</v>
      </c>
      <c r="C24" s="1">
        <v>160117</v>
      </c>
      <c r="D24" s="1" t="s">
        <v>64</v>
      </c>
      <c r="E24" s="1" t="s">
        <v>44</v>
      </c>
      <c r="F24" s="1" t="s">
        <v>44</v>
      </c>
      <c r="G24" s="1" t="s">
        <v>44</v>
      </c>
      <c r="H24" s="3">
        <v>44927</v>
      </c>
      <c r="I24" s="7">
        <f t="shared" si="0"/>
        <v>44927</v>
      </c>
      <c r="J24" s="1" t="s">
        <v>68</v>
      </c>
      <c r="K24" s="8">
        <f t="shared" si="1"/>
        <v>44957</v>
      </c>
      <c r="L24" s="1">
        <v>208</v>
      </c>
      <c r="M24" s="1">
        <f>Table1[[#This Row],[quantity'[wastes']]]*1000</f>
        <v>208000</v>
      </c>
      <c r="N24" s="1">
        <f>Table1[[#This Row],[Tonnes_quantity]]/25</f>
        <v>8320</v>
      </c>
      <c r="O24" s="1">
        <v>8.32</v>
      </c>
      <c r="P24" s="1">
        <v>2023</v>
      </c>
      <c r="Q24" s="1" t="s">
        <v>46</v>
      </c>
    </row>
    <row r="25" spans="1:17" ht="16" x14ac:dyDescent="0.25">
      <c r="A25" s="1" t="s">
        <v>11</v>
      </c>
      <c r="B25" s="1" t="s">
        <v>53</v>
      </c>
      <c r="C25" s="1">
        <v>150101</v>
      </c>
      <c r="D25" s="1" t="s">
        <v>76</v>
      </c>
      <c r="E25" s="1" t="s">
        <v>44</v>
      </c>
      <c r="F25" s="1" t="s">
        <v>44</v>
      </c>
      <c r="G25" s="1" t="s">
        <v>44</v>
      </c>
      <c r="H25" s="3">
        <v>44933</v>
      </c>
      <c r="I25" s="7">
        <f t="shared" si="0"/>
        <v>45108</v>
      </c>
      <c r="J25" s="1" t="s">
        <v>71</v>
      </c>
      <c r="K25" s="8">
        <f t="shared" si="1"/>
        <v>45138</v>
      </c>
      <c r="L25" s="1">
        <v>277</v>
      </c>
      <c r="M25" s="1">
        <f>Table1[[#This Row],[quantity'[wastes']]]*1000</f>
        <v>277000</v>
      </c>
      <c r="N25" s="1">
        <f>Table1[[#This Row],[Tonnes_quantity]]/25</f>
        <v>11080</v>
      </c>
      <c r="O25" s="1">
        <v>11.08</v>
      </c>
      <c r="P25" s="1">
        <v>2023</v>
      </c>
      <c r="Q25" s="1" t="s">
        <v>46</v>
      </c>
    </row>
    <row r="26" spans="1:17" ht="16" x14ac:dyDescent="0.25">
      <c r="A26" s="1" t="s">
        <v>11</v>
      </c>
      <c r="B26" s="1" t="s">
        <v>53</v>
      </c>
      <c r="C26" s="1">
        <v>150101</v>
      </c>
      <c r="D26" s="1" t="s">
        <v>76</v>
      </c>
      <c r="E26" s="1" t="s">
        <v>44</v>
      </c>
      <c r="F26" s="1" t="s">
        <v>44</v>
      </c>
      <c r="G26" s="1" t="s">
        <v>44</v>
      </c>
      <c r="H26" s="3">
        <v>44928</v>
      </c>
      <c r="I26" s="7">
        <f t="shared" si="0"/>
        <v>44958</v>
      </c>
      <c r="J26" s="1" t="s">
        <v>77</v>
      </c>
      <c r="K26" s="8">
        <f t="shared" si="1"/>
        <v>44983</v>
      </c>
      <c r="L26" s="1">
        <v>280</v>
      </c>
      <c r="M26" s="1">
        <f>Table1[[#This Row],[quantity'[wastes']]]*1000</f>
        <v>280000</v>
      </c>
      <c r="N26" s="1">
        <f>Table1[[#This Row],[Tonnes_quantity]]/25</f>
        <v>11200</v>
      </c>
      <c r="O26" s="1">
        <v>11.2</v>
      </c>
      <c r="P26" s="1">
        <v>2023</v>
      </c>
      <c r="Q26" s="1" t="s">
        <v>46</v>
      </c>
    </row>
    <row r="27" spans="1:17" ht="16" x14ac:dyDescent="0.25">
      <c r="A27" s="1" t="s">
        <v>11</v>
      </c>
      <c r="B27" s="1" t="s">
        <v>53</v>
      </c>
      <c r="C27" s="1">
        <v>150101</v>
      </c>
      <c r="D27" s="1" t="s">
        <v>76</v>
      </c>
      <c r="E27" s="1" t="s">
        <v>44</v>
      </c>
      <c r="F27" s="1" t="s">
        <v>44</v>
      </c>
      <c r="G27" s="1" t="s">
        <v>44</v>
      </c>
      <c r="H27" s="3">
        <v>44934</v>
      </c>
      <c r="I27" s="7">
        <f t="shared" si="0"/>
        <v>45139</v>
      </c>
      <c r="J27" s="1" t="s">
        <v>72</v>
      </c>
      <c r="K27" s="8">
        <f t="shared" si="1"/>
        <v>45169</v>
      </c>
      <c r="L27" s="1">
        <v>334</v>
      </c>
      <c r="M27" s="1">
        <f>Table1[[#This Row],[quantity'[wastes']]]*1000</f>
        <v>334000</v>
      </c>
      <c r="N27" s="1">
        <f>Table1[[#This Row],[Tonnes_quantity]]/25</f>
        <v>13360</v>
      </c>
      <c r="O27" s="1">
        <v>13.36</v>
      </c>
      <c r="P27" s="1">
        <v>2023</v>
      </c>
      <c r="Q27" s="1" t="s">
        <v>46</v>
      </c>
    </row>
    <row r="28" spans="1:17" ht="16" x14ac:dyDescent="0.25">
      <c r="A28" s="1" t="s">
        <v>11</v>
      </c>
      <c r="B28" s="1" t="s">
        <v>53</v>
      </c>
      <c r="C28" s="1">
        <v>150101</v>
      </c>
      <c r="D28" s="1" t="s">
        <v>76</v>
      </c>
      <c r="E28" s="1" t="s">
        <v>44</v>
      </c>
      <c r="F28" s="1" t="s">
        <v>44</v>
      </c>
      <c r="G28" s="1" t="s">
        <v>44</v>
      </c>
      <c r="H28" s="3">
        <v>44927</v>
      </c>
      <c r="I28" s="7">
        <f t="shared" si="0"/>
        <v>44927</v>
      </c>
      <c r="J28" s="1" t="s">
        <v>68</v>
      </c>
      <c r="K28" s="8">
        <f t="shared" si="1"/>
        <v>44957</v>
      </c>
      <c r="L28" s="1">
        <v>335</v>
      </c>
      <c r="M28" s="1">
        <f>Table1[[#This Row],[quantity'[wastes']]]*1000</f>
        <v>335000</v>
      </c>
      <c r="N28" s="1">
        <f>Table1[[#This Row],[Tonnes_quantity]]/25</f>
        <v>13400</v>
      </c>
      <c r="O28" s="1">
        <v>13.4</v>
      </c>
      <c r="P28" s="1">
        <v>2023</v>
      </c>
      <c r="Q28" s="1" t="s">
        <v>46</v>
      </c>
    </row>
    <row r="29" spans="1:17" ht="16" x14ac:dyDescent="0.25">
      <c r="A29" s="1" t="s">
        <v>11</v>
      </c>
      <c r="B29" s="1" t="s">
        <v>53</v>
      </c>
      <c r="C29" s="1">
        <v>150101</v>
      </c>
      <c r="D29" s="1" t="s">
        <v>76</v>
      </c>
      <c r="E29" s="1" t="s">
        <v>44</v>
      </c>
      <c r="F29" s="1" t="s">
        <v>44</v>
      </c>
      <c r="G29" s="1" t="s">
        <v>44</v>
      </c>
      <c r="H29" s="3">
        <v>44932</v>
      </c>
      <c r="I29" s="7">
        <f t="shared" si="0"/>
        <v>45078</v>
      </c>
      <c r="J29" s="1" t="s">
        <v>69</v>
      </c>
      <c r="K29" s="8">
        <f t="shared" si="1"/>
        <v>45107</v>
      </c>
      <c r="L29" s="1">
        <v>352</v>
      </c>
      <c r="M29" s="1">
        <f>Table1[[#This Row],[quantity'[wastes']]]*1000</f>
        <v>352000</v>
      </c>
      <c r="N29" s="1">
        <f>Table1[[#This Row],[Tonnes_quantity]]/25</f>
        <v>14080</v>
      </c>
      <c r="O29" s="1">
        <v>14.08</v>
      </c>
      <c r="P29" s="1">
        <v>2023</v>
      </c>
      <c r="Q29" s="1" t="s">
        <v>46</v>
      </c>
    </row>
    <row r="30" spans="1:17" ht="16" x14ac:dyDescent="0.25">
      <c r="A30" s="1" t="s">
        <v>11</v>
      </c>
      <c r="B30" s="1" t="s">
        <v>53</v>
      </c>
      <c r="C30" s="1">
        <v>150101</v>
      </c>
      <c r="D30" s="1" t="s">
        <v>76</v>
      </c>
      <c r="E30" s="1" t="s">
        <v>44</v>
      </c>
      <c r="F30" s="1" t="s">
        <v>44</v>
      </c>
      <c r="G30" s="1" t="s">
        <v>44</v>
      </c>
      <c r="H30" s="3">
        <v>44931</v>
      </c>
      <c r="I30" s="7">
        <f t="shared" si="0"/>
        <v>45047</v>
      </c>
      <c r="J30" s="1" t="s">
        <v>73</v>
      </c>
      <c r="K30" s="8">
        <f t="shared" si="1"/>
        <v>45077</v>
      </c>
      <c r="L30" s="1">
        <v>365</v>
      </c>
      <c r="M30" s="1">
        <f>Table1[[#This Row],[quantity'[wastes']]]*1000</f>
        <v>365000</v>
      </c>
      <c r="N30" s="1">
        <f>Table1[[#This Row],[Tonnes_quantity]]/25</f>
        <v>14600</v>
      </c>
      <c r="O30" s="1">
        <v>14.6</v>
      </c>
      <c r="P30" s="1">
        <v>2023</v>
      </c>
      <c r="Q30" s="1" t="s">
        <v>46</v>
      </c>
    </row>
    <row r="31" spans="1:17" ht="16" x14ac:dyDescent="0.25">
      <c r="A31" s="1" t="s">
        <v>11</v>
      </c>
      <c r="B31" s="1" t="s">
        <v>53</v>
      </c>
      <c r="C31" s="1">
        <v>150101</v>
      </c>
      <c r="D31" s="1" t="s">
        <v>76</v>
      </c>
      <c r="E31" s="1" t="s">
        <v>44</v>
      </c>
      <c r="F31" s="1" t="s">
        <v>44</v>
      </c>
      <c r="G31" s="1" t="s">
        <v>44</v>
      </c>
      <c r="H31" s="3">
        <v>44937</v>
      </c>
      <c r="I31" s="7">
        <f t="shared" si="0"/>
        <v>45231</v>
      </c>
      <c r="J31" s="1" t="s">
        <v>56</v>
      </c>
      <c r="K31" s="8">
        <f t="shared" si="1"/>
        <v>45260</v>
      </c>
      <c r="L31" s="1">
        <v>398</v>
      </c>
      <c r="M31" s="1">
        <f>Table1[[#This Row],[quantity'[wastes']]]*1000</f>
        <v>398000</v>
      </c>
      <c r="N31" s="1">
        <f>Table1[[#This Row],[Tonnes_quantity]]/25</f>
        <v>15920</v>
      </c>
      <c r="O31" s="1">
        <v>15.92</v>
      </c>
      <c r="P31" s="1">
        <v>2023</v>
      </c>
      <c r="Q31" s="1" t="s">
        <v>46</v>
      </c>
    </row>
    <row r="32" spans="1:17" ht="16" x14ac:dyDescent="0.25">
      <c r="A32" s="1" t="s">
        <v>11</v>
      </c>
      <c r="B32" s="1" t="s">
        <v>53</v>
      </c>
      <c r="C32" s="1">
        <v>150101</v>
      </c>
      <c r="D32" s="1" t="s">
        <v>76</v>
      </c>
      <c r="E32" s="1" t="s">
        <v>44</v>
      </c>
      <c r="F32" s="1" t="s">
        <v>44</v>
      </c>
      <c r="G32" s="1" t="s">
        <v>44</v>
      </c>
      <c r="H32" s="3">
        <v>44938</v>
      </c>
      <c r="I32" s="7">
        <f t="shared" si="0"/>
        <v>45261</v>
      </c>
      <c r="J32" s="1" t="s">
        <v>45</v>
      </c>
      <c r="K32" s="8">
        <f t="shared" si="1"/>
        <v>45291</v>
      </c>
      <c r="L32" s="1">
        <v>515</v>
      </c>
      <c r="M32" s="1">
        <f>Table1[[#This Row],[quantity'[wastes']]]*1000</f>
        <v>515000</v>
      </c>
      <c r="N32" s="1">
        <f>Table1[[#This Row],[Tonnes_quantity]]/25</f>
        <v>20600</v>
      </c>
      <c r="O32" s="1">
        <v>20.6</v>
      </c>
      <c r="P32" s="1">
        <v>2023</v>
      </c>
      <c r="Q32" s="1" t="s">
        <v>46</v>
      </c>
    </row>
    <row r="33" spans="1:17" ht="16" x14ac:dyDescent="0.25">
      <c r="A33" s="1" t="s">
        <v>11</v>
      </c>
      <c r="B33" s="1" t="s">
        <v>53</v>
      </c>
      <c r="C33" s="1">
        <v>150101</v>
      </c>
      <c r="D33" s="1" t="s">
        <v>76</v>
      </c>
      <c r="E33" s="1" t="s">
        <v>44</v>
      </c>
      <c r="F33" s="1" t="s">
        <v>44</v>
      </c>
      <c r="G33" s="1" t="s">
        <v>44</v>
      </c>
      <c r="H33" s="1" t="s">
        <v>78</v>
      </c>
      <c r="I33" s="7">
        <f t="shared" si="0"/>
        <v>45198</v>
      </c>
      <c r="J33" s="1" t="s">
        <v>79</v>
      </c>
      <c r="K33" s="8">
        <f t="shared" si="1"/>
        <v>45228</v>
      </c>
      <c r="L33" s="1">
        <v>645</v>
      </c>
      <c r="M33" s="1">
        <f>Table1[[#This Row],[quantity'[wastes']]]*1000</f>
        <v>645000</v>
      </c>
      <c r="N33" s="1">
        <f>Table1[[#This Row],[Tonnes_quantity]]/25</f>
        <v>25800</v>
      </c>
      <c r="O33" s="1">
        <v>25.8</v>
      </c>
      <c r="P33" s="1">
        <v>2023</v>
      </c>
      <c r="Q33" s="1" t="s">
        <v>46</v>
      </c>
    </row>
    <row r="34" spans="1:17" ht="16" x14ac:dyDescent="0.25">
      <c r="A34" s="1" t="s">
        <v>11</v>
      </c>
      <c r="B34" s="1" t="s">
        <v>53</v>
      </c>
      <c r="C34" s="1">
        <v>150101</v>
      </c>
      <c r="D34" s="1" t="s">
        <v>76</v>
      </c>
      <c r="E34" s="1" t="s">
        <v>44</v>
      </c>
      <c r="F34" s="1" t="s">
        <v>44</v>
      </c>
      <c r="G34" s="1" t="s">
        <v>44</v>
      </c>
      <c r="H34" s="3">
        <v>44929</v>
      </c>
      <c r="I34" s="7">
        <f t="shared" si="0"/>
        <v>44986</v>
      </c>
      <c r="J34" s="1" t="s">
        <v>74</v>
      </c>
      <c r="K34" s="8">
        <f t="shared" ref="K34:K65" si="2">DATE(RIGHT(TEXT(J34,"dd-mm-yyyy"),4), LEFT(TEXT(J34,"dd-mm-yyyy"),2),MID(TEXT(J34,"dd-mm-yyyy"),4,2))</f>
        <v>45016</v>
      </c>
      <c r="L34" s="1">
        <v>812</v>
      </c>
      <c r="M34" s="1">
        <f>Table1[[#This Row],[quantity'[wastes']]]*1000</f>
        <v>812000</v>
      </c>
      <c r="N34" s="1">
        <f>Table1[[#This Row],[Tonnes_quantity]]/25</f>
        <v>32480</v>
      </c>
      <c r="O34" s="1">
        <v>32.479999999999997</v>
      </c>
      <c r="P34" s="1">
        <v>2023</v>
      </c>
      <c r="Q34" s="1" t="s">
        <v>46</v>
      </c>
    </row>
    <row r="35" spans="1:17" ht="16" x14ac:dyDescent="0.25">
      <c r="A35" s="1" t="s">
        <v>11</v>
      </c>
      <c r="B35" s="1" t="s">
        <v>48</v>
      </c>
      <c r="C35" s="1">
        <v>160117</v>
      </c>
      <c r="D35" s="1" t="s">
        <v>64</v>
      </c>
      <c r="E35" s="1" t="s">
        <v>44</v>
      </c>
      <c r="F35" s="1" t="s">
        <v>44</v>
      </c>
      <c r="G35" s="1" t="s">
        <v>44</v>
      </c>
      <c r="H35" s="3">
        <v>44562</v>
      </c>
      <c r="I35" s="7">
        <f t="shared" si="0"/>
        <v>44562</v>
      </c>
      <c r="J35" s="1" t="s">
        <v>51</v>
      </c>
      <c r="K35" s="8">
        <f t="shared" si="2"/>
        <v>44926</v>
      </c>
      <c r="L35" s="1">
        <v>1496</v>
      </c>
      <c r="M35" s="1">
        <f>Table1[[#This Row],[quantity'[wastes']]]*1000</f>
        <v>1496000</v>
      </c>
      <c r="N35" s="1">
        <f>Table1[[#This Row],[Tonnes_quantity]]/25</f>
        <v>59840</v>
      </c>
      <c r="O35" s="1">
        <v>59.84</v>
      </c>
      <c r="P35" s="1">
        <v>2022</v>
      </c>
      <c r="Q35" s="1" t="s">
        <v>46</v>
      </c>
    </row>
    <row r="36" spans="1:17" ht="16" x14ac:dyDescent="0.25">
      <c r="A36" s="1" t="s">
        <v>11</v>
      </c>
      <c r="B36" s="1" t="s">
        <v>48</v>
      </c>
      <c r="C36" s="1">
        <v>150101</v>
      </c>
      <c r="D36" s="1" t="s">
        <v>76</v>
      </c>
      <c r="E36" s="1" t="s">
        <v>44</v>
      </c>
      <c r="F36" s="1" t="s">
        <v>44</v>
      </c>
      <c r="G36" s="1" t="s">
        <v>44</v>
      </c>
      <c r="H36" s="3">
        <v>44562</v>
      </c>
      <c r="I36" s="7">
        <f t="shared" si="0"/>
        <v>44562</v>
      </c>
      <c r="J36" s="1" t="s">
        <v>51</v>
      </c>
      <c r="K36" s="8">
        <f t="shared" si="2"/>
        <v>44926</v>
      </c>
      <c r="L36" s="1">
        <v>3633</v>
      </c>
      <c r="M36" s="1">
        <f>Table1[[#This Row],[quantity'[wastes']]]*1000</f>
        <v>3633000</v>
      </c>
      <c r="N36" s="1">
        <f>Table1[[#This Row],[Tonnes_quantity]]/25</f>
        <v>145320</v>
      </c>
      <c r="O36" s="1">
        <v>145.32</v>
      </c>
      <c r="P36" s="1">
        <v>2022</v>
      </c>
      <c r="Q36" s="1" t="s">
        <v>46</v>
      </c>
    </row>
    <row r="37" spans="1:17" ht="16" x14ac:dyDescent="0.25">
      <c r="A37" s="1" t="s">
        <v>11</v>
      </c>
      <c r="B37" s="1" t="s">
        <v>48</v>
      </c>
      <c r="C37" s="1">
        <v>200301</v>
      </c>
      <c r="D37" s="1" t="s">
        <v>47</v>
      </c>
      <c r="E37" s="1" t="s">
        <v>44</v>
      </c>
      <c r="F37" s="1" t="s">
        <v>44</v>
      </c>
      <c r="G37" s="1" t="s">
        <v>44</v>
      </c>
      <c r="H37" s="3">
        <v>44562</v>
      </c>
      <c r="I37" s="7">
        <f t="shared" si="0"/>
        <v>44562</v>
      </c>
      <c r="J37" s="1" t="s">
        <v>51</v>
      </c>
      <c r="K37" s="8">
        <f t="shared" si="2"/>
        <v>44926</v>
      </c>
      <c r="L37" s="1">
        <v>17600</v>
      </c>
      <c r="M37" s="1">
        <f>Table1[[#This Row],[quantity'[wastes']]]*1000</f>
        <v>17600000</v>
      </c>
      <c r="N37" s="1">
        <f>Table1[[#This Row],[Tonnes_quantity]]/25</f>
        <v>704000</v>
      </c>
      <c r="O37" s="1">
        <v>704</v>
      </c>
      <c r="P37" s="1">
        <v>2022</v>
      </c>
      <c r="Q37" s="1" t="s">
        <v>46</v>
      </c>
    </row>
    <row r="38" spans="1:17" ht="16" x14ac:dyDescent="0.25">
      <c r="A38" s="1" t="s">
        <v>8</v>
      </c>
      <c r="B38" s="1" t="s">
        <v>80</v>
      </c>
      <c r="C38" s="1" t="s">
        <v>81</v>
      </c>
      <c r="D38" s="1" t="s">
        <v>82</v>
      </c>
      <c r="E38" s="1" t="s">
        <v>44</v>
      </c>
      <c r="F38" s="1" t="s">
        <v>83</v>
      </c>
      <c r="G38" s="1" t="s">
        <v>84</v>
      </c>
      <c r="H38" s="3">
        <v>44933</v>
      </c>
      <c r="I38" s="7">
        <f t="shared" si="0"/>
        <v>45108</v>
      </c>
      <c r="J38" s="1" t="s">
        <v>71</v>
      </c>
      <c r="K38" s="8">
        <f t="shared" si="2"/>
        <v>45138</v>
      </c>
      <c r="L38" s="1">
        <v>19</v>
      </c>
      <c r="M38" s="1">
        <f>Table1[[#This Row],[quantity'[wastes']]]*1000</f>
        <v>19000</v>
      </c>
      <c r="N38" s="1">
        <f>Table1[[#This Row],[Tonnes_quantity]]/25</f>
        <v>760</v>
      </c>
      <c r="O38" s="1">
        <v>0.76</v>
      </c>
      <c r="P38" s="1">
        <v>2023</v>
      </c>
      <c r="Q38" s="1" t="s">
        <v>52</v>
      </c>
    </row>
    <row r="39" spans="1:17" ht="16" x14ac:dyDescent="0.25">
      <c r="A39" s="1" t="s">
        <v>8</v>
      </c>
      <c r="B39" s="1" t="s">
        <v>80</v>
      </c>
      <c r="C39" s="1">
        <v>10101</v>
      </c>
      <c r="D39" s="1" t="s">
        <v>85</v>
      </c>
      <c r="E39" s="1" t="s">
        <v>44</v>
      </c>
      <c r="F39" s="1" t="s">
        <v>86</v>
      </c>
      <c r="G39" s="1" t="s">
        <v>87</v>
      </c>
      <c r="H39" s="3">
        <v>45292</v>
      </c>
      <c r="I39" s="7">
        <f t="shared" si="0"/>
        <v>45292</v>
      </c>
      <c r="J39" s="1" t="s">
        <v>88</v>
      </c>
      <c r="K39" s="8">
        <f t="shared" si="2"/>
        <v>45316</v>
      </c>
      <c r="L39" s="1">
        <v>35</v>
      </c>
      <c r="M39" s="1">
        <f>Table1[[#This Row],[quantity'[wastes']]]*1000</f>
        <v>35000</v>
      </c>
      <c r="N39" s="1">
        <f>Table1[[#This Row],[Tonnes_quantity]]/25</f>
        <v>1400</v>
      </c>
      <c r="O39" s="1">
        <v>1.4</v>
      </c>
      <c r="P39" s="1">
        <v>2024</v>
      </c>
      <c r="Q39" s="1" t="s">
        <v>46</v>
      </c>
    </row>
    <row r="40" spans="1:17" ht="16" x14ac:dyDescent="0.25">
      <c r="A40" s="1" t="s">
        <v>8</v>
      </c>
      <c r="B40" s="1" t="s">
        <v>80</v>
      </c>
      <c r="C40" s="1" t="s">
        <v>54</v>
      </c>
      <c r="D40" s="1" t="s">
        <v>55</v>
      </c>
      <c r="E40" s="1" t="s">
        <v>44</v>
      </c>
      <c r="F40" s="1" t="s">
        <v>83</v>
      </c>
      <c r="G40" s="1" t="s">
        <v>84</v>
      </c>
      <c r="H40" s="3">
        <v>44938</v>
      </c>
      <c r="I40" s="7">
        <f t="shared" si="0"/>
        <v>45261</v>
      </c>
      <c r="J40" s="1" t="s">
        <v>45</v>
      </c>
      <c r="K40" s="8">
        <f t="shared" si="2"/>
        <v>45291</v>
      </c>
      <c r="L40" s="1">
        <v>45</v>
      </c>
      <c r="M40" s="1">
        <f>Table1[[#This Row],[quantity'[wastes']]]*1000</f>
        <v>45000</v>
      </c>
      <c r="N40" s="1">
        <f>Table1[[#This Row],[Tonnes_quantity]]/25</f>
        <v>1800</v>
      </c>
      <c r="O40" s="1">
        <v>1.8</v>
      </c>
      <c r="P40" s="1">
        <v>2023</v>
      </c>
      <c r="Q40" s="1" t="s">
        <v>52</v>
      </c>
    </row>
    <row r="41" spans="1:17" ht="16" x14ac:dyDescent="0.25">
      <c r="A41" s="1" t="s">
        <v>8</v>
      </c>
      <c r="B41" s="1" t="s">
        <v>80</v>
      </c>
      <c r="C41" s="1">
        <v>80318</v>
      </c>
      <c r="D41" s="1" t="s">
        <v>89</v>
      </c>
      <c r="E41" s="1" t="s">
        <v>44</v>
      </c>
      <c r="F41" s="1" t="s">
        <v>90</v>
      </c>
      <c r="G41" s="1" t="s">
        <v>91</v>
      </c>
      <c r="H41" s="3">
        <v>44933</v>
      </c>
      <c r="I41" s="7">
        <f t="shared" si="0"/>
        <v>45108</v>
      </c>
      <c r="J41" s="1" t="s">
        <v>71</v>
      </c>
      <c r="K41" s="8">
        <f t="shared" si="2"/>
        <v>45138</v>
      </c>
      <c r="L41" s="1">
        <v>65</v>
      </c>
      <c r="M41" s="1">
        <f>Table1[[#This Row],[quantity'[wastes']]]*1000</f>
        <v>65000</v>
      </c>
      <c r="N41" s="1">
        <f>Table1[[#This Row],[Tonnes_quantity]]/25</f>
        <v>2600</v>
      </c>
      <c r="O41" s="1">
        <v>2.6</v>
      </c>
      <c r="P41" s="1">
        <v>2023</v>
      </c>
      <c r="Q41" s="1" t="s">
        <v>46</v>
      </c>
    </row>
    <row r="42" spans="1:17" ht="16" x14ac:dyDescent="0.25">
      <c r="A42" s="1" t="s">
        <v>8</v>
      </c>
      <c r="B42" s="1" t="s">
        <v>80</v>
      </c>
      <c r="C42" s="1" t="s">
        <v>92</v>
      </c>
      <c r="D42" s="1" t="s">
        <v>93</v>
      </c>
      <c r="E42" s="1" t="s">
        <v>44</v>
      </c>
      <c r="F42" s="1" t="s">
        <v>83</v>
      </c>
      <c r="G42" s="1" t="s">
        <v>84</v>
      </c>
      <c r="H42" s="3">
        <v>44938</v>
      </c>
      <c r="I42" s="7">
        <f t="shared" si="0"/>
        <v>45261</v>
      </c>
      <c r="J42" s="1" t="s">
        <v>45</v>
      </c>
      <c r="K42" s="8">
        <f t="shared" si="2"/>
        <v>45291</v>
      </c>
      <c r="L42" s="1">
        <v>75</v>
      </c>
      <c r="M42" s="1">
        <f>Table1[[#This Row],[quantity'[wastes']]]*1000</f>
        <v>75000</v>
      </c>
      <c r="N42" s="1">
        <f>Table1[[#This Row],[Tonnes_quantity]]/25</f>
        <v>3000</v>
      </c>
      <c r="O42" s="1">
        <v>3</v>
      </c>
      <c r="P42" s="1">
        <v>2023</v>
      </c>
      <c r="Q42" s="1" t="s">
        <v>52</v>
      </c>
    </row>
    <row r="43" spans="1:17" ht="16" x14ac:dyDescent="0.25">
      <c r="A43" s="1" t="s">
        <v>8</v>
      </c>
      <c r="B43" s="1" t="s">
        <v>80</v>
      </c>
      <c r="C43" s="1" t="s">
        <v>62</v>
      </c>
      <c r="D43" s="1" t="s">
        <v>63</v>
      </c>
      <c r="E43" s="1" t="s">
        <v>44</v>
      </c>
      <c r="F43" s="1" t="s">
        <v>90</v>
      </c>
      <c r="G43" s="1" t="s">
        <v>91</v>
      </c>
      <c r="H43" s="3">
        <v>44933</v>
      </c>
      <c r="I43" s="7">
        <f t="shared" si="0"/>
        <v>45108</v>
      </c>
      <c r="J43" s="1" t="s">
        <v>71</v>
      </c>
      <c r="K43" s="8">
        <f t="shared" si="2"/>
        <v>45138</v>
      </c>
      <c r="L43" s="1">
        <v>140</v>
      </c>
      <c r="M43" s="1">
        <f>Table1[[#This Row],[quantity'[wastes']]]*1000</f>
        <v>140000</v>
      </c>
      <c r="N43" s="1">
        <f>Table1[[#This Row],[Tonnes_quantity]]/25</f>
        <v>5600</v>
      </c>
      <c r="O43" s="1">
        <v>5.6</v>
      </c>
      <c r="P43" s="1">
        <v>2023</v>
      </c>
      <c r="Q43" s="1" t="s">
        <v>52</v>
      </c>
    </row>
    <row r="44" spans="1:17" ht="16" x14ac:dyDescent="0.25">
      <c r="A44" s="1" t="s">
        <v>8</v>
      </c>
      <c r="B44" s="1" t="s">
        <v>80</v>
      </c>
      <c r="C44" s="1" t="s">
        <v>62</v>
      </c>
      <c r="D44" s="1" t="s">
        <v>63</v>
      </c>
      <c r="E44" s="1" t="s">
        <v>44</v>
      </c>
      <c r="F44" s="1" t="s">
        <v>90</v>
      </c>
      <c r="G44" s="1" t="s">
        <v>91</v>
      </c>
      <c r="H44" s="3">
        <v>44938</v>
      </c>
      <c r="I44" s="7">
        <f t="shared" si="0"/>
        <v>45261</v>
      </c>
      <c r="J44" s="1" t="s">
        <v>45</v>
      </c>
      <c r="K44" s="8">
        <f t="shared" si="2"/>
        <v>45291</v>
      </c>
      <c r="L44" s="1">
        <v>140</v>
      </c>
      <c r="M44" s="1">
        <f>Table1[[#This Row],[quantity'[wastes']]]*1000</f>
        <v>140000</v>
      </c>
      <c r="N44" s="1">
        <f>Table1[[#This Row],[Tonnes_quantity]]/25</f>
        <v>5600</v>
      </c>
      <c r="O44" s="1">
        <v>5.6</v>
      </c>
      <c r="P44" s="1">
        <v>2023</v>
      </c>
      <c r="Q44" s="1" t="s">
        <v>52</v>
      </c>
    </row>
    <row r="45" spans="1:17" ht="16" x14ac:dyDescent="0.25">
      <c r="A45" s="1" t="s">
        <v>8</v>
      </c>
      <c r="B45" s="1" t="s">
        <v>80</v>
      </c>
      <c r="E45" s="1" t="s">
        <v>94</v>
      </c>
      <c r="F45" s="1" t="s">
        <v>44</v>
      </c>
      <c r="G45" s="1" t="s">
        <v>44</v>
      </c>
      <c r="H45" s="3">
        <v>44938</v>
      </c>
      <c r="I45" s="7">
        <f t="shared" si="0"/>
        <v>45261</v>
      </c>
      <c r="J45" s="1" t="s">
        <v>45</v>
      </c>
      <c r="K45" s="8">
        <f t="shared" si="2"/>
        <v>45291</v>
      </c>
      <c r="L45" s="1">
        <v>150</v>
      </c>
      <c r="M45" s="1">
        <f>Table1[[#This Row],[quantity'[wastes']]]*1000</f>
        <v>150000</v>
      </c>
      <c r="N45" s="1">
        <f>Table1[[#This Row],[Tonnes_quantity]]/25</f>
        <v>6000</v>
      </c>
      <c r="O45" s="1">
        <v>6</v>
      </c>
      <c r="P45" s="1">
        <v>2023</v>
      </c>
      <c r="Q45" s="1" t="s">
        <v>46</v>
      </c>
    </row>
    <row r="46" spans="1:17" ht="16" x14ac:dyDescent="0.25">
      <c r="A46" s="1" t="s">
        <v>8</v>
      </c>
      <c r="B46" s="1" t="s">
        <v>80</v>
      </c>
      <c r="C46" s="1" t="s">
        <v>59</v>
      </c>
      <c r="D46" s="1" t="s">
        <v>60</v>
      </c>
      <c r="E46" s="1" t="s">
        <v>44</v>
      </c>
      <c r="F46" s="1" t="s">
        <v>95</v>
      </c>
      <c r="G46" s="1" t="s">
        <v>96</v>
      </c>
      <c r="H46" s="3">
        <v>44933</v>
      </c>
      <c r="I46" s="7">
        <f t="shared" si="0"/>
        <v>45108</v>
      </c>
      <c r="J46" s="1" t="s">
        <v>71</v>
      </c>
      <c r="K46" s="8">
        <f t="shared" si="2"/>
        <v>45138</v>
      </c>
      <c r="L46" s="1">
        <v>150</v>
      </c>
      <c r="M46" s="1">
        <f>Table1[[#This Row],[quantity'[wastes']]]*1000</f>
        <v>150000</v>
      </c>
      <c r="N46" s="1">
        <f>Table1[[#This Row],[Tonnes_quantity]]/25</f>
        <v>6000</v>
      </c>
      <c r="O46" s="1">
        <v>6</v>
      </c>
      <c r="P46" s="1">
        <v>2023</v>
      </c>
      <c r="Q46" s="1" t="s">
        <v>52</v>
      </c>
    </row>
    <row r="47" spans="1:17" ht="16" x14ac:dyDescent="0.25">
      <c r="A47" s="1" t="s">
        <v>8</v>
      </c>
      <c r="B47" s="1" t="s">
        <v>80</v>
      </c>
      <c r="C47" s="1" t="s">
        <v>92</v>
      </c>
      <c r="D47" s="1" t="s">
        <v>93</v>
      </c>
      <c r="E47" s="1" t="s">
        <v>44</v>
      </c>
      <c r="F47" s="1" t="s">
        <v>83</v>
      </c>
      <c r="G47" s="1" t="s">
        <v>84</v>
      </c>
      <c r="H47" s="3">
        <v>44933</v>
      </c>
      <c r="I47" s="7">
        <f t="shared" si="0"/>
        <v>45108</v>
      </c>
      <c r="J47" s="1" t="s">
        <v>71</v>
      </c>
      <c r="K47" s="8">
        <f t="shared" si="2"/>
        <v>45138</v>
      </c>
      <c r="L47" s="1">
        <v>165</v>
      </c>
      <c r="M47" s="1">
        <f>Table1[[#This Row],[quantity'[wastes']]]*1000</f>
        <v>165000</v>
      </c>
      <c r="N47" s="1">
        <f>Table1[[#This Row],[Tonnes_quantity]]/25</f>
        <v>6600</v>
      </c>
      <c r="O47" s="1">
        <v>6.6</v>
      </c>
      <c r="P47" s="1">
        <v>2023</v>
      </c>
      <c r="Q47" s="1" t="s">
        <v>52</v>
      </c>
    </row>
    <row r="48" spans="1:17" ht="16" x14ac:dyDescent="0.25">
      <c r="A48" s="1" t="s">
        <v>8</v>
      </c>
      <c r="B48" s="1" t="s">
        <v>80</v>
      </c>
      <c r="C48" s="1" t="s">
        <v>59</v>
      </c>
      <c r="D48" s="1" t="s">
        <v>60</v>
      </c>
      <c r="E48" s="1" t="s">
        <v>44</v>
      </c>
      <c r="F48" s="1" t="s">
        <v>95</v>
      </c>
      <c r="G48" s="1" t="s">
        <v>96</v>
      </c>
      <c r="H48" s="3">
        <v>44938</v>
      </c>
      <c r="I48" s="7">
        <f t="shared" si="0"/>
        <v>45261</v>
      </c>
      <c r="J48" s="1" t="s">
        <v>45</v>
      </c>
      <c r="K48" s="8">
        <f t="shared" si="2"/>
        <v>45291</v>
      </c>
      <c r="L48" s="1">
        <v>195</v>
      </c>
      <c r="M48" s="1">
        <f>Table1[[#This Row],[quantity'[wastes']]]*1000</f>
        <v>195000</v>
      </c>
      <c r="N48" s="1">
        <f>Table1[[#This Row],[Tonnes_quantity]]/25</f>
        <v>7800</v>
      </c>
      <c r="O48" s="1">
        <v>7.8</v>
      </c>
      <c r="P48" s="1">
        <v>2023</v>
      </c>
      <c r="Q48" s="1" t="s">
        <v>52</v>
      </c>
    </row>
    <row r="49" spans="1:17" ht="16" x14ac:dyDescent="0.25">
      <c r="A49" s="1" t="s">
        <v>8</v>
      </c>
      <c r="B49" s="1" t="s">
        <v>80</v>
      </c>
      <c r="C49" s="1" t="s">
        <v>97</v>
      </c>
      <c r="D49" s="1" t="s">
        <v>98</v>
      </c>
      <c r="E49" s="1" t="s">
        <v>44</v>
      </c>
      <c r="F49" s="1" t="s">
        <v>83</v>
      </c>
      <c r="G49" s="1" t="s">
        <v>84</v>
      </c>
      <c r="H49" s="3">
        <v>44933</v>
      </c>
      <c r="I49" s="7">
        <f t="shared" si="0"/>
        <v>45108</v>
      </c>
      <c r="J49" s="1" t="s">
        <v>71</v>
      </c>
      <c r="K49" s="8">
        <f t="shared" si="2"/>
        <v>45138</v>
      </c>
      <c r="L49" s="1">
        <v>200</v>
      </c>
      <c r="M49" s="1">
        <f>Table1[[#This Row],[quantity'[wastes']]]*1000</f>
        <v>200000</v>
      </c>
      <c r="N49" s="1">
        <f>Table1[[#This Row],[Tonnes_quantity]]/25</f>
        <v>8000</v>
      </c>
      <c r="O49" s="1">
        <v>8</v>
      </c>
      <c r="P49" s="1">
        <v>2023</v>
      </c>
      <c r="Q49" s="1" t="s">
        <v>52</v>
      </c>
    </row>
    <row r="50" spans="1:17" ht="16" x14ac:dyDescent="0.25">
      <c r="A50" s="1" t="s">
        <v>8</v>
      </c>
      <c r="B50" s="1" t="s">
        <v>80</v>
      </c>
      <c r="C50" s="1" t="s">
        <v>97</v>
      </c>
      <c r="D50" s="1" t="s">
        <v>98</v>
      </c>
      <c r="E50" s="1" t="s">
        <v>44</v>
      </c>
      <c r="F50" s="1" t="s">
        <v>83</v>
      </c>
      <c r="G50" s="1" t="s">
        <v>84</v>
      </c>
      <c r="H50" s="3">
        <v>44938</v>
      </c>
      <c r="I50" s="7">
        <f t="shared" si="0"/>
        <v>45261</v>
      </c>
      <c r="J50" s="1" t="s">
        <v>45</v>
      </c>
      <c r="K50" s="8">
        <f t="shared" si="2"/>
        <v>45291</v>
      </c>
      <c r="L50" s="1">
        <v>200</v>
      </c>
      <c r="M50" s="1">
        <f>Table1[[#This Row],[quantity'[wastes']]]*1000</f>
        <v>200000</v>
      </c>
      <c r="N50" s="1">
        <f>Table1[[#This Row],[Tonnes_quantity]]/25</f>
        <v>8000</v>
      </c>
      <c r="O50" s="1">
        <v>8</v>
      </c>
      <c r="P50" s="1">
        <v>2023</v>
      </c>
      <c r="Q50" s="1" t="s">
        <v>52</v>
      </c>
    </row>
    <row r="51" spans="1:17" ht="16" x14ac:dyDescent="0.25">
      <c r="A51" s="1" t="s">
        <v>8</v>
      </c>
      <c r="B51" s="1" t="s">
        <v>80</v>
      </c>
      <c r="C51" s="1">
        <v>160117</v>
      </c>
      <c r="D51" s="1" t="s">
        <v>64</v>
      </c>
      <c r="E51" s="1" t="s">
        <v>44</v>
      </c>
      <c r="F51" s="1" t="s">
        <v>83</v>
      </c>
      <c r="G51" s="1" t="s">
        <v>84</v>
      </c>
      <c r="H51" s="3">
        <v>44933</v>
      </c>
      <c r="I51" s="7">
        <f t="shared" si="0"/>
        <v>45108</v>
      </c>
      <c r="J51" s="1" t="s">
        <v>71</v>
      </c>
      <c r="K51" s="8">
        <f t="shared" si="2"/>
        <v>45138</v>
      </c>
      <c r="L51" s="1">
        <v>560</v>
      </c>
      <c r="M51" s="1">
        <f>Table1[[#This Row],[quantity'[wastes']]]*1000</f>
        <v>560000</v>
      </c>
      <c r="N51" s="1">
        <f>Table1[[#This Row],[Tonnes_quantity]]/25</f>
        <v>22400</v>
      </c>
      <c r="O51" s="1">
        <v>22.4</v>
      </c>
      <c r="P51" s="1">
        <v>2023</v>
      </c>
      <c r="Q51" s="1" t="s">
        <v>46</v>
      </c>
    </row>
    <row r="52" spans="1:17" ht="16" x14ac:dyDescent="0.25">
      <c r="A52" s="1" t="s">
        <v>8</v>
      </c>
      <c r="B52" s="1" t="s">
        <v>80</v>
      </c>
      <c r="C52" s="1">
        <v>160117</v>
      </c>
      <c r="D52" s="1" t="s">
        <v>64</v>
      </c>
      <c r="E52" s="1" t="s">
        <v>44</v>
      </c>
      <c r="F52" s="1" t="s">
        <v>83</v>
      </c>
      <c r="G52" s="1" t="s">
        <v>84</v>
      </c>
      <c r="H52" s="3">
        <v>44931</v>
      </c>
      <c r="I52" s="7">
        <f t="shared" si="0"/>
        <v>45047</v>
      </c>
      <c r="J52" s="1" t="s">
        <v>73</v>
      </c>
      <c r="K52" s="8">
        <f t="shared" si="2"/>
        <v>45077</v>
      </c>
      <c r="L52" s="1">
        <v>820</v>
      </c>
      <c r="M52" s="1">
        <f>Table1[[#This Row],[quantity'[wastes']]]*1000</f>
        <v>820000</v>
      </c>
      <c r="N52" s="1">
        <f>Table1[[#This Row],[Tonnes_quantity]]/25</f>
        <v>32800</v>
      </c>
      <c r="O52" s="1">
        <v>32.799999999999997</v>
      </c>
      <c r="P52" s="1">
        <v>2023</v>
      </c>
      <c r="Q52" s="1" t="s">
        <v>46</v>
      </c>
    </row>
    <row r="53" spans="1:17" ht="16" x14ac:dyDescent="0.25">
      <c r="A53" s="1" t="s">
        <v>8</v>
      </c>
      <c r="B53" s="1" t="s">
        <v>80</v>
      </c>
      <c r="E53" s="1" t="s">
        <v>99</v>
      </c>
      <c r="F53" s="1" t="s">
        <v>44</v>
      </c>
      <c r="G53" s="1" t="s">
        <v>44</v>
      </c>
      <c r="H53" s="3">
        <v>44938</v>
      </c>
      <c r="I53" s="7">
        <f t="shared" si="0"/>
        <v>45261</v>
      </c>
      <c r="J53" s="1" t="s">
        <v>45</v>
      </c>
      <c r="K53" s="8">
        <f t="shared" si="2"/>
        <v>45291</v>
      </c>
      <c r="L53" s="1">
        <v>830</v>
      </c>
      <c r="M53" s="1">
        <f>Table1[[#This Row],[quantity'[wastes']]]*1000</f>
        <v>830000</v>
      </c>
      <c r="N53" s="1">
        <f>Table1[[#This Row],[Tonnes_quantity]]/25</f>
        <v>33200</v>
      </c>
      <c r="O53" s="1">
        <v>33.200000000000003</v>
      </c>
      <c r="P53" s="1">
        <v>2023</v>
      </c>
      <c r="Q53" s="1" t="s">
        <v>46</v>
      </c>
    </row>
    <row r="54" spans="1:17" ht="16" x14ac:dyDescent="0.25">
      <c r="A54" s="1" t="s">
        <v>8</v>
      </c>
      <c r="B54" s="1" t="s">
        <v>80</v>
      </c>
      <c r="C54" s="1">
        <v>160214</v>
      </c>
      <c r="D54" s="1" t="s">
        <v>70</v>
      </c>
      <c r="E54" s="1" t="s">
        <v>44</v>
      </c>
      <c r="F54" s="1" t="s">
        <v>83</v>
      </c>
      <c r="G54" s="1" t="s">
        <v>84</v>
      </c>
      <c r="H54" s="3">
        <v>44938</v>
      </c>
      <c r="I54" s="7">
        <f t="shared" si="0"/>
        <v>45261</v>
      </c>
      <c r="J54" s="1" t="s">
        <v>45</v>
      </c>
      <c r="K54" s="8">
        <f t="shared" si="2"/>
        <v>45291</v>
      </c>
      <c r="L54" s="1">
        <v>970</v>
      </c>
      <c r="M54" s="1">
        <f>Table1[[#This Row],[quantity'[wastes']]]*1000</f>
        <v>970000</v>
      </c>
      <c r="N54" s="1">
        <f>Table1[[#This Row],[Tonnes_quantity]]/25</f>
        <v>38800</v>
      </c>
      <c r="O54" s="1">
        <v>38.799999999999997</v>
      </c>
      <c r="P54" s="1">
        <v>2023</v>
      </c>
      <c r="Q54" s="1" t="s">
        <v>46</v>
      </c>
    </row>
    <row r="55" spans="1:17" ht="16" x14ac:dyDescent="0.25">
      <c r="A55" s="1" t="s">
        <v>8</v>
      </c>
      <c r="B55" s="1" t="s">
        <v>80</v>
      </c>
      <c r="C55" s="1">
        <v>150103</v>
      </c>
      <c r="D55" s="1" t="s">
        <v>100</v>
      </c>
      <c r="E55" s="1" t="s">
        <v>44</v>
      </c>
      <c r="F55" s="1" t="s">
        <v>101</v>
      </c>
      <c r="G55" s="1" t="s">
        <v>102</v>
      </c>
      <c r="H55" s="3">
        <v>44930</v>
      </c>
      <c r="I55" s="7">
        <f t="shared" si="0"/>
        <v>45017</v>
      </c>
      <c r="J55" s="1" t="s">
        <v>103</v>
      </c>
      <c r="K55" s="8">
        <f t="shared" si="2"/>
        <v>45046</v>
      </c>
      <c r="L55" s="1">
        <v>1220</v>
      </c>
      <c r="M55" s="1">
        <f>Table1[[#This Row],[quantity'[wastes']]]*1000</f>
        <v>1220000</v>
      </c>
      <c r="N55" s="1">
        <f>Table1[[#This Row],[Tonnes_quantity]]/25</f>
        <v>48800</v>
      </c>
      <c r="O55" s="1">
        <v>48.8</v>
      </c>
      <c r="P55" s="1">
        <v>2023</v>
      </c>
      <c r="Q55" s="1" t="s">
        <v>46</v>
      </c>
    </row>
    <row r="56" spans="1:17" ht="16" x14ac:dyDescent="0.25">
      <c r="A56" s="1" t="s">
        <v>8</v>
      </c>
      <c r="B56" s="1" t="s">
        <v>80</v>
      </c>
      <c r="C56" s="1">
        <v>150101</v>
      </c>
      <c r="D56" s="1" t="s">
        <v>76</v>
      </c>
      <c r="E56" s="1" t="s">
        <v>44</v>
      </c>
      <c r="F56" s="1" t="s">
        <v>90</v>
      </c>
      <c r="G56" s="1" t="s">
        <v>91</v>
      </c>
      <c r="H56" s="3">
        <v>44935</v>
      </c>
      <c r="I56" s="7">
        <f t="shared" si="0"/>
        <v>45170</v>
      </c>
      <c r="J56" s="1" t="s">
        <v>67</v>
      </c>
      <c r="K56" s="8">
        <f t="shared" si="2"/>
        <v>45199</v>
      </c>
      <c r="L56" s="1">
        <v>1360</v>
      </c>
      <c r="M56" s="1">
        <f>Table1[[#This Row],[quantity'[wastes']]]*1000</f>
        <v>1360000</v>
      </c>
      <c r="N56" s="1">
        <f>Table1[[#This Row],[Tonnes_quantity]]/25</f>
        <v>54400</v>
      </c>
      <c r="O56" s="1">
        <v>54.4</v>
      </c>
      <c r="P56" s="1">
        <v>2023</v>
      </c>
      <c r="Q56" s="1" t="s">
        <v>46</v>
      </c>
    </row>
    <row r="57" spans="1:17" ht="16" x14ac:dyDescent="0.25">
      <c r="A57" s="1" t="s">
        <v>8</v>
      </c>
      <c r="B57" s="1" t="s">
        <v>80</v>
      </c>
      <c r="C57" s="1">
        <v>150103</v>
      </c>
      <c r="D57" s="1" t="s">
        <v>100</v>
      </c>
      <c r="E57" s="1" t="s">
        <v>44</v>
      </c>
      <c r="F57" s="1" t="s">
        <v>101</v>
      </c>
      <c r="G57" s="1" t="s">
        <v>102</v>
      </c>
      <c r="H57" s="3">
        <v>44933</v>
      </c>
      <c r="I57" s="7">
        <f t="shared" si="0"/>
        <v>45108</v>
      </c>
      <c r="J57" s="1" t="s">
        <v>71</v>
      </c>
      <c r="K57" s="8">
        <f t="shared" si="2"/>
        <v>45138</v>
      </c>
      <c r="L57" s="1">
        <v>1840</v>
      </c>
      <c r="M57" s="1">
        <f>Table1[[#This Row],[quantity'[wastes']]]*1000</f>
        <v>1840000</v>
      </c>
      <c r="N57" s="1">
        <f>Table1[[#This Row],[Tonnes_quantity]]/25</f>
        <v>73600</v>
      </c>
      <c r="O57" s="1">
        <v>73.599999999999994</v>
      </c>
      <c r="P57" s="1">
        <v>2023</v>
      </c>
      <c r="Q57" s="1" t="s">
        <v>46</v>
      </c>
    </row>
    <row r="58" spans="1:17" ht="16" x14ac:dyDescent="0.25">
      <c r="A58" s="1" t="s">
        <v>8</v>
      </c>
      <c r="B58" s="1" t="s">
        <v>80</v>
      </c>
      <c r="C58" s="1">
        <v>150103</v>
      </c>
      <c r="D58" s="1" t="s">
        <v>100</v>
      </c>
      <c r="E58" s="1" t="s">
        <v>44</v>
      </c>
      <c r="F58" s="1" t="s">
        <v>101</v>
      </c>
      <c r="G58" s="1" t="s">
        <v>102</v>
      </c>
      <c r="H58" s="3">
        <v>44937</v>
      </c>
      <c r="I58" s="7">
        <f t="shared" si="0"/>
        <v>45231</v>
      </c>
      <c r="J58" s="1" t="s">
        <v>56</v>
      </c>
      <c r="K58" s="8">
        <f t="shared" si="2"/>
        <v>45260</v>
      </c>
      <c r="L58" s="1">
        <v>1840</v>
      </c>
      <c r="M58" s="1">
        <f>Table1[[#This Row],[quantity'[wastes']]]*1000</f>
        <v>1840000</v>
      </c>
      <c r="N58" s="1">
        <f>Table1[[#This Row],[Tonnes_quantity]]/25</f>
        <v>73600</v>
      </c>
      <c r="O58" s="1">
        <v>73.599999999999994</v>
      </c>
      <c r="P58" s="1">
        <v>2023</v>
      </c>
      <c r="Q58" s="1" t="s">
        <v>46</v>
      </c>
    </row>
    <row r="59" spans="1:17" ht="16" x14ac:dyDescent="0.25">
      <c r="A59" s="1" t="s">
        <v>8</v>
      </c>
      <c r="B59" s="1" t="s">
        <v>80</v>
      </c>
      <c r="C59" s="1">
        <v>150101</v>
      </c>
      <c r="D59" s="1" t="s">
        <v>76</v>
      </c>
      <c r="E59" s="1" t="s">
        <v>44</v>
      </c>
      <c r="F59" s="1" t="s">
        <v>90</v>
      </c>
      <c r="G59" s="1" t="s">
        <v>91</v>
      </c>
      <c r="H59" s="3">
        <v>44938</v>
      </c>
      <c r="I59" s="7">
        <f t="shared" si="0"/>
        <v>45261</v>
      </c>
      <c r="J59" s="1" t="s">
        <v>45</v>
      </c>
      <c r="K59" s="8">
        <f t="shared" si="2"/>
        <v>45291</v>
      </c>
      <c r="L59" s="1">
        <v>1940</v>
      </c>
      <c r="M59" s="1">
        <f>Table1[[#This Row],[quantity'[wastes']]]*1000</f>
        <v>1940000</v>
      </c>
      <c r="N59" s="1">
        <f>Table1[[#This Row],[Tonnes_quantity]]/25</f>
        <v>77600</v>
      </c>
      <c r="O59" s="1">
        <v>77.599999999999994</v>
      </c>
      <c r="P59" s="1">
        <v>2023</v>
      </c>
      <c r="Q59" s="1" t="s">
        <v>46</v>
      </c>
    </row>
    <row r="60" spans="1:17" ht="16" x14ac:dyDescent="0.25">
      <c r="A60" s="1" t="s">
        <v>8</v>
      </c>
      <c r="B60" s="1" t="s">
        <v>80</v>
      </c>
      <c r="C60" s="1" t="s">
        <v>104</v>
      </c>
      <c r="D60" s="1" t="s">
        <v>105</v>
      </c>
      <c r="E60" s="1" t="s">
        <v>99</v>
      </c>
      <c r="F60" s="1" t="s">
        <v>44</v>
      </c>
      <c r="G60" s="1" t="s">
        <v>44</v>
      </c>
      <c r="H60" s="3">
        <v>44933</v>
      </c>
      <c r="I60" s="7">
        <f t="shared" si="0"/>
        <v>45108</v>
      </c>
      <c r="J60" s="1" t="s">
        <v>71</v>
      </c>
      <c r="K60" s="8">
        <f t="shared" si="2"/>
        <v>45138</v>
      </c>
      <c r="L60" s="1">
        <v>1950</v>
      </c>
      <c r="M60" s="1">
        <f>Table1[[#This Row],[quantity'[wastes']]]*1000</f>
        <v>1950000</v>
      </c>
      <c r="N60" s="1">
        <f>Table1[[#This Row],[Tonnes_quantity]]/25</f>
        <v>78000</v>
      </c>
      <c r="O60" s="1">
        <v>78</v>
      </c>
      <c r="P60" s="1">
        <v>2023</v>
      </c>
      <c r="Q60" s="1" t="s">
        <v>52</v>
      </c>
    </row>
    <row r="61" spans="1:17" ht="16" x14ac:dyDescent="0.25">
      <c r="A61" s="1" t="s">
        <v>8</v>
      </c>
      <c r="B61" s="1" t="s">
        <v>80</v>
      </c>
      <c r="C61" s="1">
        <v>150103</v>
      </c>
      <c r="D61" s="1" t="s">
        <v>100</v>
      </c>
      <c r="E61" s="1" t="s">
        <v>44</v>
      </c>
      <c r="F61" s="1" t="s">
        <v>101</v>
      </c>
      <c r="G61" s="1" t="s">
        <v>102</v>
      </c>
      <c r="H61" s="3">
        <v>44929</v>
      </c>
      <c r="I61" s="7">
        <f t="shared" si="0"/>
        <v>44986</v>
      </c>
      <c r="J61" s="1" t="s">
        <v>74</v>
      </c>
      <c r="K61" s="8">
        <f t="shared" si="2"/>
        <v>45016</v>
      </c>
      <c r="L61" s="1">
        <v>1960</v>
      </c>
      <c r="M61" s="1">
        <f>Table1[[#This Row],[quantity'[wastes']]]*1000</f>
        <v>1960000</v>
      </c>
      <c r="N61" s="1">
        <f>Table1[[#This Row],[Tonnes_quantity]]/25</f>
        <v>78400</v>
      </c>
      <c r="O61" s="1">
        <v>78.400000000000006</v>
      </c>
      <c r="P61" s="1">
        <v>2023</v>
      </c>
      <c r="Q61" s="1" t="s">
        <v>46</v>
      </c>
    </row>
    <row r="62" spans="1:17" ht="16" x14ac:dyDescent="0.25">
      <c r="A62" s="1" t="s">
        <v>8</v>
      </c>
      <c r="B62" s="1" t="s">
        <v>80</v>
      </c>
      <c r="C62" s="1">
        <v>150103</v>
      </c>
      <c r="D62" s="1" t="s">
        <v>100</v>
      </c>
      <c r="E62" s="1" t="s">
        <v>44</v>
      </c>
      <c r="F62" s="1" t="s">
        <v>101</v>
      </c>
      <c r="G62" s="1" t="s">
        <v>102</v>
      </c>
      <c r="H62" s="3">
        <v>44931</v>
      </c>
      <c r="I62" s="7">
        <f t="shared" si="0"/>
        <v>45047</v>
      </c>
      <c r="J62" s="1" t="s">
        <v>73</v>
      </c>
      <c r="K62" s="8">
        <f t="shared" si="2"/>
        <v>45077</v>
      </c>
      <c r="L62" s="1">
        <v>2000</v>
      </c>
      <c r="M62" s="1">
        <f>Table1[[#This Row],[quantity'[wastes']]]*1000</f>
        <v>2000000</v>
      </c>
      <c r="N62" s="1">
        <f>Table1[[#This Row],[Tonnes_quantity]]/25</f>
        <v>80000</v>
      </c>
      <c r="O62" s="1">
        <v>80</v>
      </c>
      <c r="P62" s="1">
        <v>2023</v>
      </c>
      <c r="Q62" s="1" t="s">
        <v>46</v>
      </c>
    </row>
    <row r="63" spans="1:17" ht="16" x14ac:dyDescent="0.25">
      <c r="A63" s="1" t="s">
        <v>8</v>
      </c>
      <c r="B63" s="1" t="s">
        <v>80</v>
      </c>
      <c r="C63" s="1">
        <v>160117</v>
      </c>
      <c r="D63" s="1" t="s">
        <v>64</v>
      </c>
      <c r="E63" s="1" t="s">
        <v>44</v>
      </c>
      <c r="F63" s="1" t="s">
        <v>83</v>
      </c>
      <c r="G63" s="1" t="s">
        <v>84</v>
      </c>
      <c r="H63" s="3">
        <v>44932</v>
      </c>
      <c r="I63" s="7">
        <f t="shared" si="0"/>
        <v>45078</v>
      </c>
      <c r="J63" s="1" t="s">
        <v>69</v>
      </c>
      <c r="K63" s="8">
        <f t="shared" si="2"/>
        <v>45107</v>
      </c>
      <c r="L63" s="1">
        <v>2000</v>
      </c>
      <c r="M63" s="1">
        <f>Table1[[#This Row],[quantity'[wastes']]]*1000</f>
        <v>2000000</v>
      </c>
      <c r="N63" s="1">
        <f>Table1[[#This Row],[Tonnes_quantity]]/25</f>
        <v>80000</v>
      </c>
      <c r="O63" s="1">
        <v>80</v>
      </c>
      <c r="P63" s="1">
        <v>2023</v>
      </c>
      <c r="Q63" s="1" t="s">
        <v>46</v>
      </c>
    </row>
    <row r="64" spans="1:17" ht="16" x14ac:dyDescent="0.25">
      <c r="A64" s="1" t="s">
        <v>8</v>
      </c>
      <c r="B64" s="1" t="s">
        <v>80</v>
      </c>
      <c r="C64" s="1">
        <v>160117</v>
      </c>
      <c r="D64" s="1" t="s">
        <v>64</v>
      </c>
      <c r="E64" s="1" t="s">
        <v>44</v>
      </c>
      <c r="F64" s="1" t="s">
        <v>83</v>
      </c>
      <c r="G64" s="1" t="s">
        <v>84</v>
      </c>
      <c r="H64" s="3">
        <v>44929</v>
      </c>
      <c r="I64" s="7">
        <f t="shared" si="0"/>
        <v>44986</v>
      </c>
      <c r="J64" s="1" t="s">
        <v>74</v>
      </c>
      <c r="K64" s="8">
        <f t="shared" si="2"/>
        <v>45016</v>
      </c>
      <c r="L64" s="1">
        <v>2080</v>
      </c>
      <c r="M64" s="1">
        <f>Table1[[#This Row],[quantity'[wastes']]]*1000</f>
        <v>2080000</v>
      </c>
      <c r="N64" s="1">
        <f>Table1[[#This Row],[Tonnes_quantity]]/25</f>
        <v>83200</v>
      </c>
      <c r="O64" s="1">
        <v>83.2</v>
      </c>
      <c r="P64" s="1">
        <v>2023</v>
      </c>
      <c r="Q64" s="1" t="s">
        <v>46</v>
      </c>
    </row>
    <row r="65" spans="1:17" ht="16" x14ac:dyDescent="0.25">
      <c r="A65" s="1" t="s">
        <v>8</v>
      </c>
      <c r="B65" s="1" t="s">
        <v>80</v>
      </c>
      <c r="C65" s="1">
        <v>150103</v>
      </c>
      <c r="D65" s="1" t="s">
        <v>100</v>
      </c>
      <c r="E65" s="1" t="s">
        <v>44</v>
      </c>
      <c r="F65" s="1" t="s">
        <v>101</v>
      </c>
      <c r="G65" s="1" t="s">
        <v>102</v>
      </c>
      <c r="H65" s="3">
        <v>44928</v>
      </c>
      <c r="I65" s="7">
        <f t="shared" si="0"/>
        <v>44958</v>
      </c>
      <c r="J65" s="1" t="s">
        <v>65</v>
      </c>
      <c r="K65" s="8">
        <f t="shared" si="2"/>
        <v>44985</v>
      </c>
      <c r="L65" s="1">
        <v>2100</v>
      </c>
      <c r="M65" s="1">
        <f>Table1[[#This Row],[quantity'[wastes']]]*1000</f>
        <v>2100000</v>
      </c>
      <c r="N65" s="1">
        <f>Table1[[#This Row],[Tonnes_quantity]]/25</f>
        <v>84000</v>
      </c>
      <c r="O65" s="1">
        <v>84</v>
      </c>
      <c r="P65" s="1">
        <v>2023</v>
      </c>
      <c r="Q65" s="1" t="s">
        <v>46</v>
      </c>
    </row>
    <row r="66" spans="1:17" ht="16" x14ac:dyDescent="0.25">
      <c r="A66" s="1" t="s">
        <v>8</v>
      </c>
      <c r="B66" s="1" t="s">
        <v>80</v>
      </c>
      <c r="C66" s="1">
        <v>160117</v>
      </c>
      <c r="D66" s="1" t="s">
        <v>64</v>
      </c>
      <c r="E66" s="1" t="s">
        <v>44</v>
      </c>
      <c r="F66" s="1" t="s">
        <v>83</v>
      </c>
      <c r="G66" s="1" t="s">
        <v>84</v>
      </c>
      <c r="H66" s="3">
        <v>44928</v>
      </c>
      <c r="I66" s="7">
        <f t="shared" ref="I66:I123" si="3">DATE(RIGHT(TEXT(H66,"dd-mm-yyyy"),4), LEFT(TEXT(H66,"dd-mm-yyyy"),2),MID(TEXT(H66,"dd-mm-yyyy"),4,2))</f>
        <v>44958</v>
      </c>
      <c r="J66" s="1" t="s">
        <v>65</v>
      </c>
      <c r="K66" s="8">
        <f t="shared" ref="K66:K97" si="4">DATE(RIGHT(TEXT(J66,"dd-mm-yyyy"),4), LEFT(TEXT(J66,"dd-mm-yyyy"),2),MID(TEXT(J66,"dd-mm-yyyy"),4,2))</f>
        <v>44985</v>
      </c>
      <c r="L66" s="1">
        <v>2100</v>
      </c>
      <c r="M66" s="1">
        <f>Table1[[#This Row],[quantity'[wastes']]]*1000</f>
        <v>2100000</v>
      </c>
      <c r="N66" s="1">
        <f>Table1[[#This Row],[Tonnes_quantity]]/25</f>
        <v>84000</v>
      </c>
      <c r="O66" s="1">
        <v>84</v>
      </c>
      <c r="P66" s="1">
        <v>2023</v>
      </c>
      <c r="Q66" s="1" t="s">
        <v>46</v>
      </c>
    </row>
    <row r="67" spans="1:17" ht="16" x14ac:dyDescent="0.25">
      <c r="A67" s="1" t="s">
        <v>8</v>
      </c>
      <c r="B67" s="1" t="s">
        <v>80</v>
      </c>
      <c r="C67" s="1">
        <v>150102</v>
      </c>
      <c r="D67" s="1" t="s">
        <v>66</v>
      </c>
      <c r="E67" s="1" t="s">
        <v>44</v>
      </c>
      <c r="F67" s="1" t="s">
        <v>90</v>
      </c>
      <c r="G67" s="1" t="s">
        <v>91</v>
      </c>
      <c r="H67" s="3">
        <v>44932</v>
      </c>
      <c r="I67" s="7">
        <f t="shared" si="3"/>
        <v>45078</v>
      </c>
      <c r="J67" s="1" t="s">
        <v>69</v>
      </c>
      <c r="K67" s="8">
        <f t="shared" si="4"/>
        <v>45107</v>
      </c>
      <c r="L67" s="1">
        <v>2150</v>
      </c>
      <c r="M67" s="1">
        <f>Table1[[#This Row],[quantity'[wastes']]]*1000</f>
        <v>2150000</v>
      </c>
      <c r="N67" s="1">
        <f>Table1[[#This Row],[Tonnes_quantity]]/25</f>
        <v>86000</v>
      </c>
      <c r="O67" s="1">
        <v>86</v>
      </c>
      <c r="P67" s="1">
        <v>2023</v>
      </c>
      <c r="Q67" s="1" t="s">
        <v>46</v>
      </c>
    </row>
    <row r="68" spans="1:17" ht="16" x14ac:dyDescent="0.25">
      <c r="A68" s="1" t="s">
        <v>8</v>
      </c>
      <c r="B68" s="1" t="s">
        <v>80</v>
      </c>
      <c r="C68" s="1">
        <v>150102</v>
      </c>
      <c r="D68" s="1" t="s">
        <v>66</v>
      </c>
      <c r="E68" s="1" t="s">
        <v>44</v>
      </c>
      <c r="F68" s="1" t="s">
        <v>90</v>
      </c>
      <c r="G68" s="1" t="s">
        <v>91</v>
      </c>
      <c r="H68" s="3">
        <v>44929</v>
      </c>
      <c r="I68" s="7">
        <f t="shared" si="3"/>
        <v>44986</v>
      </c>
      <c r="J68" s="1" t="s">
        <v>74</v>
      </c>
      <c r="K68" s="8">
        <f t="shared" si="4"/>
        <v>45016</v>
      </c>
      <c r="L68" s="1">
        <v>2200</v>
      </c>
      <c r="M68" s="1">
        <f>Table1[[#This Row],[quantity'[wastes']]]*1000</f>
        <v>2200000</v>
      </c>
      <c r="N68" s="1">
        <f>Table1[[#This Row],[Tonnes_quantity]]/25</f>
        <v>88000</v>
      </c>
      <c r="O68" s="1">
        <v>88</v>
      </c>
      <c r="P68" s="1">
        <v>2023</v>
      </c>
      <c r="Q68" s="1" t="s">
        <v>46</v>
      </c>
    </row>
    <row r="69" spans="1:17" ht="16" x14ac:dyDescent="0.25">
      <c r="A69" s="1" t="s">
        <v>8</v>
      </c>
      <c r="B69" s="1" t="s">
        <v>80</v>
      </c>
      <c r="C69" s="1">
        <v>150101</v>
      </c>
      <c r="D69" s="1" t="s">
        <v>76</v>
      </c>
      <c r="E69" s="1" t="s">
        <v>44</v>
      </c>
      <c r="F69" s="1" t="s">
        <v>90</v>
      </c>
      <c r="G69" s="1" t="s">
        <v>91</v>
      </c>
      <c r="H69" s="3">
        <v>44931</v>
      </c>
      <c r="I69" s="7">
        <f t="shared" si="3"/>
        <v>45047</v>
      </c>
      <c r="J69" s="1" t="s">
        <v>73</v>
      </c>
      <c r="K69" s="8">
        <f t="shared" si="4"/>
        <v>45077</v>
      </c>
      <c r="L69" s="1">
        <v>2220</v>
      </c>
      <c r="M69" s="1">
        <f>Table1[[#This Row],[quantity'[wastes']]]*1000</f>
        <v>2220000</v>
      </c>
      <c r="N69" s="1">
        <f>Table1[[#This Row],[Tonnes_quantity]]/25</f>
        <v>88800</v>
      </c>
      <c r="O69" s="1">
        <v>88.8</v>
      </c>
      <c r="P69" s="1">
        <v>2023</v>
      </c>
      <c r="Q69" s="1" t="s">
        <v>46</v>
      </c>
    </row>
    <row r="70" spans="1:17" ht="16" x14ac:dyDescent="0.25">
      <c r="A70" s="1" t="s">
        <v>8</v>
      </c>
      <c r="B70" s="1" t="s">
        <v>80</v>
      </c>
      <c r="C70" s="1">
        <v>150103</v>
      </c>
      <c r="D70" s="1" t="s">
        <v>100</v>
      </c>
      <c r="E70" s="1" t="s">
        <v>44</v>
      </c>
      <c r="F70" s="1" t="s">
        <v>101</v>
      </c>
      <c r="G70" s="1" t="s">
        <v>102</v>
      </c>
      <c r="H70" s="3">
        <v>44938</v>
      </c>
      <c r="I70" s="7">
        <f t="shared" si="3"/>
        <v>45261</v>
      </c>
      <c r="J70" s="1" t="s">
        <v>45</v>
      </c>
      <c r="K70" s="8">
        <f t="shared" si="4"/>
        <v>45291</v>
      </c>
      <c r="L70" s="1">
        <v>2360</v>
      </c>
      <c r="M70" s="1">
        <f>Table1[[#This Row],[quantity'[wastes']]]*1000</f>
        <v>2360000</v>
      </c>
      <c r="N70" s="1">
        <f>Table1[[#This Row],[Tonnes_quantity]]/25</f>
        <v>94400</v>
      </c>
      <c r="O70" s="1">
        <v>94.4</v>
      </c>
      <c r="P70" s="1">
        <v>2023</v>
      </c>
      <c r="Q70" s="1" t="s">
        <v>46</v>
      </c>
    </row>
    <row r="71" spans="1:17" ht="16" x14ac:dyDescent="0.25">
      <c r="A71" s="1" t="s">
        <v>8</v>
      </c>
      <c r="B71" s="1" t="s">
        <v>80</v>
      </c>
      <c r="C71" s="1">
        <v>150102</v>
      </c>
      <c r="D71" s="1" t="s">
        <v>66</v>
      </c>
      <c r="E71" s="1" t="s">
        <v>44</v>
      </c>
      <c r="F71" s="1" t="s">
        <v>90</v>
      </c>
      <c r="G71" s="1" t="s">
        <v>91</v>
      </c>
      <c r="H71" s="3">
        <v>44936</v>
      </c>
      <c r="I71" s="7">
        <f t="shared" si="3"/>
        <v>45200</v>
      </c>
      <c r="J71" s="1" t="s">
        <v>75</v>
      </c>
      <c r="K71" s="8">
        <f t="shared" si="4"/>
        <v>45230</v>
      </c>
      <c r="L71" s="1">
        <v>2400</v>
      </c>
      <c r="M71" s="1">
        <f>Table1[[#This Row],[quantity'[wastes']]]*1000</f>
        <v>2400000</v>
      </c>
      <c r="N71" s="1">
        <f>Table1[[#This Row],[Tonnes_quantity]]/25</f>
        <v>96000</v>
      </c>
      <c r="O71" s="1">
        <v>96</v>
      </c>
      <c r="P71" s="1">
        <v>2023</v>
      </c>
      <c r="Q71" s="1" t="s">
        <v>46</v>
      </c>
    </row>
    <row r="72" spans="1:17" ht="16" x14ac:dyDescent="0.25">
      <c r="A72" s="1" t="s">
        <v>8</v>
      </c>
      <c r="B72" s="1" t="s">
        <v>80</v>
      </c>
      <c r="C72" s="1">
        <v>150103</v>
      </c>
      <c r="D72" s="1" t="s">
        <v>100</v>
      </c>
      <c r="E72" s="1" t="s">
        <v>44</v>
      </c>
      <c r="F72" s="1" t="s">
        <v>101</v>
      </c>
      <c r="G72" s="1" t="s">
        <v>102</v>
      </c>
      <c r="H72" s="3">
        <v>44934</v>
      </c>
      <c r="I72" s="7">
        <f t="shared" si="3"/>
        <v>45139</v>
      </c>
      <c r="J72" s="1" t="s">
        <v>72</v>
      </c>
      <c r="K72" s="8">
        <f t="shared" si="4"/>
        <v>45169</v>
      </c>
      <c r="L72" s="1">
        <v>2440</v>
      </c>
      <c r="M72" s="1">
        <f>Table1[[#This Row],[quantity'[wastes']]]*1000</f>
        <v>2440000</v>
      </c>
      <c r="N72" s="1">
        <f>Table1[[#This Row],[Tonnes_quantity]]/25</f>
        <v>97600</v>
      </c>
      <c r="O72" s="1">
        <v>97.6</v>
      </c>
      <c r="P72" s="1">
        <v>2023</v>
      </c>
      <c r="Q72" s="1" t="s">
        <v>46</v>
      </c>
    </row>
    <row r="73" spans="1:17" ht="16" x14ac:dyDescent="0.25">
      <c r="A73" s="1" t="s">
        <v>8</v>
      </c>
      <c r="B73" s="1" t="s">
        <v>80</v>
      </c>
      <c r="C73" s="1">
        <v>150101</v>
      </c>
      <c r="D73" s="1" t="s">
        <v>76</v>
      </c>
      <c r="E73" s="1" t="s">
        <v>44</v>
      </c>
      <c r="F73" s="1" t="s">
        <v>90</v>
      </c>
      <c r="G73" s="1" t="s">
        <v>91</v>
      </c>
      <c r="H73" s="3">
        <v>44928</v>
      </c>
      <c r="I73" s="7">
        <f t="shared" si="3"/>
        <v>44958</v>
      </c>
      <c r="J73" s="1" t="s">
        <v>65</v>
      </c>
      <c r="K73" s="8">
        <f t="shared" si="4"/>
        <v>44985</v>
      </c>
      <c r="L73" s="1">
        <v>2860</v>
      </c>
      <c r="M73" s="1">
        <f>Table1[[#This Row],[quantity'[wastes']]]*1000</f>
        <v>2860000</v>
      </c>
      <c r="N73" s="1">
        <f>Table1[[#This Row],[Tonnes_quantity]]/25</f>
        <v>114400</v>
      </c>
      <c r="O73" s="1">
        <v>114.4</v>
      </c>
      <c r="P73" s="1">
        <v>2023</v>
      </c>
      <c r="Q73" s="1" t="s">
        <v>46</v>
      </c>
    </row>
    <row r="74" spans="1:17" ht="16" x14ac:dyDescent="0.25">
      <c r="A74" s="1" t="s">
        <v>8</v>
      </c>
      <c r="B74" s="1" t="s">
        <v>80</v>
      </c>
      <c r="C74" s="1">
        <v>150102</v>
      </c>
      <c r="D74" s="1" t="s">
        <v>66</v>
      </c>
      <c r="E74" s="1" t="s">
        <v>44</v>
      </c>
      <c r="F74" s="1" t="s">
        <v>90</v>
      </c>
      <c r="G74" s="1" t="s">
        <v>91</v>
      </c>
      <c r="H74" s="3">
        <v>44927</v>
      </c>
      <c r="I74" s="7">
        <f t="shared" si="3"/>
        <v>44927</v>
      </c>
      <c r="J74" s="1" t="s">
        <v>68</v>
      </c>
      <c r="K74" s="8">
        <f t="shared" si="4"/>
        <v>44957</v>
      </c>
      <c r="L74" s="1">
        <v>2940</v>
      </c>
      <c r="M74" s="1">
        <f>Table1[[#This Row],[quantity'[wastes']]]*1000</f>
        <v>2940000</v>
      </c>
      <c r="N74" s="1">
        <f>Table1[[#This Row],[Tonnes_quantity]]/25</f>
        <v>117600</v>
      </c>
      <c r="O74" s="1">
        <v>117.6</v>
      </c>
      <c r="P74" s="1">
        <v>2023</v>
      </c>
      <c r="Q74" s="1" t="s">
        <v>46</v>
      </c>
    </row>
    <row r="75" spans="1:17" ht="16" x14ac:dyDescent="0.25">
      <c r="A75" s="1" t="s">
        <v>8</v>
      </c>
      <c r="B75" s="1" t="s">
        <v>80</v>
      </c>
      <c r="C75" s="1">
        <v>150103</v>
      </c>
      <c r="D75" s="1" t="s">
        <v>100</v>
      </c>
      <c r="E75" s="1" t="s">
        <v>44</v>
      </c>
      <c r="F75" s="1" t="s">
        <v>101</v>
      </c>
      <c r="G75" s="1" t="s">
        <v>102</v>
      </c>
      <c r="H75" s="3">
        <v>44935</v>
      </c>
      <c r="I75" s="7">
        <f t="shared" si="3"/>
        <v>45170</v>
      </c>
      <c r="J75" s="1" t="s">
        <v>67</v>
      </c>
      <c r="K75" s="8">
        <f t="shared" si="4"/>
        <v>45199</v>
      </c>
      <c r="L75" s="1">
        <v>3020</v>
      </c>
      <c r="M75" s="1">
        <f>Table1[[#This Row],[quantity'[wastes']]]*1000</f>
        <v>3020000</v>
      </c>
      <c r="N75" s="1">
        <f>Table1[[#This Row],[Tonnes_quantity]]/25</f>
        <v>120800</v>
      </c>
      <c r="O75" s="1">
        <v>120.8</v>
      </c>
      <c r="P75" s="1">
        <v>2023</v>
      </c>
      <c r="Q75" s="1" t="s">
        <v>46</v>
      </c>
    </row>
    <row r="76" spans="1:17" ht="16" x14ac:dyDescent="0.25">
      <c r="A76" s="1" t="s">
        <v>8</v>
      </c>
      <c r="B76" s="1" t="s">
        <v>80</v>
      </c>
      <c r="C76" s="1">
        <v>150103</v>
      </c>
      <c r="D76" s="1" t="s">
        <v>100</v>
      </c>
      <c r="E76" s="1" t="s">
        <v>44</v>
      </c>
      <c r="F76" s="1" t="s">
        <v>101</v>
      </c>
      <c r="G76" s="1" t="s">
        <v>102</v>
      </c>
      <c r="H76" s="3">
        <v>44936</v>
      </c>
      <c r="I76" s="7">
        <f t="shared" si="3"/>
        <v>45200</v>
      </c>
      <c r="J76" s="1" t="s">
        <v>75</v>
      </c>
      <c r="K76" s="8">
        <f t="shared" si="4"/>
        <v>45230</v>
      </c>
      <c r="L76" s="1">
        <v>3080</v>
      </c>
      <c r="M76" s="1">
        <f>Table1[[#This Row],[quantity'[wastes']]]*1000</f>
        <v>3080000</v>
      </c>
      <c r="N76" s="1">
        <f>Table1[[#This Row],[Tonnes_quantity]]/25</f>
        <v>123200</v>
      </c>
      <c r="O76" s="1">
        <v>123.2</v>
      </c>
      <c r="P76" s="1">
        <v>2023</v>
      </c>
      <c r="Q76" s="1" t="s">
        <v>46</v>
      </c>
    </row>
    <row r="77" spans="1:17" ht="16" x14ac:dyDescent="0.25">
      <c r="A77" s="1" t="s">
        <v>8</v>
      </c>
      <c r="B77" s="1" t="s">
        <v>80</v>
      </c>
      <c r="C77" s="1">
        <v>150101</v>
      </c>
      <c r="D77" s="1" t="s">
        <v>76</v>
      </c>
      <c r="E77" s="1" t="s">
        <v>44</v>
      </c>
      <c r="F77" s="1" t="s">
        <v>90</v>
      </c>
      <c r="G77" s="1" t="s">
        <v>91</v>
      </c>
      <c r="H77" s="3">
        <v>44927</v>
      </c>
      <c r="I77" s="7">
        <f t="shared" si="3"/>
        <v>44927</v>
      </c>
      <c r="J77" s="1" t="s">
        <v>68</v>
      </c>
      <c r="K77" s="8">
        <f t="shared" si="4"/>
        <v>44957</v>
      </c>
      <c r="L77" s="1">
        <v>3100</v>
      </c>
      <c r="M77" s="1">
        <f>Table1[[#This Row],[quantity'[wastes']]]*1000</f>
        <v>3100000</v>
      </c>
      <c r="N77" s="1">
        <f>Table1[[#This Row],[Tonnes_quantity]]/25</f>
        <v>124000</v>
      </c>
      <c r="O77" s="1">
        <v>124</v>
      </c>
      <c r="P77" s="1">
        <v>2023</v>
      </c>
      <c r="Q77" s="1" t="s">
        <v>46</v>
      </c>
    </row>
    <row r="78" spans="1:17" ht="16" x14ac:dyDescent="0.25">
      <c r="A78" s="1" t="s">
        <v>8</v>
      </c>
      <c r="B78" s="1" t="s">
        <v>80</v>
      </c>
      <c r="C78" s="1">
        <v>160117</v>
      </c>
      <c r="D78" s="1" t="s">
        <v>64</v>
      </c>
      <c r="E78" s="1" t="s">
        <v>44</v>
      </c>
      <c r="F78" s="1" t="s">
        <v>83</v>
      </c>
      <c r="G78" s="1" t="s">
        <v>84</v>
      </c>
      <c r="H78" s="3">
        <v>44937</v>
      </c>
      <c r="I78" s="7">
        <f t="shared" si="3"/>
        <v>45231</v>
      </c>
      <c r="J78" s="1" t="s">
        <v>56</v>
      </c>
      <c r="K78" s="8">
        <f t="shared" si="4"/>
        <v>45260</v>
      </c>
      <c r="L78" s="1">
        <v>3200</v>
      </c>
      <c r="M78" s="1">
        <f>Table1[[#This Row],[quantity'[wastes']]]*1000</f>
        <v>3200000</v>
      </c>
      <c r="N78" s="1">
        <f>Table1[[#This Row],[Tonnes_quantity]]/25</f>
        <v>128000</v>
      </c>
      <c r="O78" s="1">
        <v>128</v>
      </c>
      <c r="P78" s="1">
        <v>2023</v>
      </c>
      <c r="Q78" s="1" t="s">
        <v>46</v>
      </c>
    </row>
    <row r="79" spans="1:17" ht="16" x14ac:dyDescent="0.25">
      <c r="A79" s="1" t="s">
        <v>8</v>
      </c>
      <c r="B79" s="1" t="s">
        <v>80</v>
      </c>
      <c r="C79" s="1">
        <v>160117</v>
      </c>
      <c r="D79" s="1" t="s">
        <v>64</v>
      </c>
      <c r="E79" s="1" t="s">
        <v>44</v>
      </c>
      <c r="F79" s="1" t="s">
        <v>83</v>
      </c>
      <c r="G79" s="1" t="s">
        <v>84</v>
      </c>
      <c r="H79" s="3">
        <v>44927</v>
      </c>
      <c r="I79" s="7">
        <f t="shared" si="3"/>
        <v>44927</v>
      </c>
      <c r="J79" s="1" t="s">
        <v>68</v>
      </c>
      <c r="K79" s="8">
        <f t="shared" si="4"/>
        <v>44957</v>
      </c>
      <c r="L79" s="1">
        <v>3440</v>
      </c>
      <c r="M79" s="1">
        <f>Table1[[#This Row],[quantity'[wastes']]]*1000</f>
        <v>3440000</v>
      </c>
      <c r="N79" s="1">
        <f>Table1[[#This Row],[Tonnes_quantity]]/25</f>
        <v>137600</v>
      </c>
      <c r="O79" s="1">
        <v>137.6</v>
      </c>
      <c r="P79" s="1">
        <v>2023</v>
      </c>
      <c r="Q79" s="1" t="s">
        <v>46</v>
      </c>
    </row>
    <row r="80" spans="1:17" ht="16" x14ac:dyDescent="0.25">
      <c r="A80" s="1" t="s">
        <v>8</v>
      </c>
      <c r="B80" s="1" t="s">
        <v>80</v>
      </c>
      <c r="C80" s="1">
        <v>150101</v>
      </c>
      <c r="D80" s="1" t="s">
        <v>76</v>
      </c>
      <c r="E80" s="1" t="s">
        <v>44</v>
      </c>
      <c r="F80" s="1" t="s">
        <v>90</v>
      </c>
      <c r="G80" s="1" t="s">
        <v>91</v>
      </c>
      <c r="H80" s="3">
        <v>44937</v>
      </c>
      <c r="I80" s="7">
        <f t="shared" si="3"/>
        <v>45231</v>
      </c>
      <c r="J80" s="1" t="s">
        <v>56</v>
      </c>
      <c r="K80" s="8">
        <f t="shared" si="4"/>
        <v>45260</v>
      </c>
      <c r="L80" s="1">
        <v>3860</v>
      </c>
      <c r="M80" s="1">
        <f>Table1[[#This Row],[quantity'[wastes']]]*1000</f>
        <v>3860000</v>
      </c>
      <c r="N80" s="1">
        <f>Table1[[#This Row],[Tonnes_quantity]]/25</f>
        <v>154400</v>
      </c>
      <c r="O80" s="1">
        <v>154.4</v>
      </c>
      <c r="P80" s="1">
        <v>2023</v>
      </c>
      <c r="Q80" s="1" t="s">
        <v>46</v>
      </c>
    </row>
    <row r="81" spans="1:17" ht="16" x14ac:dyDescent="0.25">
      <c r="A81" s="1" t="s">
        <v>8</v>
      </c>
      <c r="B81" s="1" t="s">
        <v>80</v>
      </c>
      <c r="C81" s="1">
        <v>150101</v>
      </c>
      <c r="D81" s="1" t="s">
        <v>76</v>
      </c>
      <c r="E81" s="1" t="s">
        <v>44</v>
      </c>
      <c r="F81" s="1" t="s">
        <v>90</v>
      </c>
      <c r="G81" s="1" t="s">
        <v>91</v>
      </c>
      <c r="H81" s="3">
        <v>44934</v>
      </c>
      <c r="I81" s="7">
        <f t="shared" si="3"/>
        <v>45139</v>
      </c>
      <c r="J81" s="1" t="s">
        <v>72</v>
      </c>
      <c r="K81" s="8">
        <f t="shared" si="4"/>
        <v>45169</v>
      </c>
      <c r="L81" s="1">
        <v>4480</v>
      </c>
      <c r="M81" s="1">
        <f>Table1[[#This Row],[quantity'[wastes']]]*1000</f>
        <v>4480000</v>
      </c>
      <c r="N81" s="1">
        <f>Table1[[#This Row],[Tonnes_quantity]]/25</f>
        <v>179200</v>
      </c>
      <c r="O81" s="1">
        <v>179.2</v>
      </c>
      <c r="P81" s="1">
        <v>2023</v>
      </c>
      <c r="Q81" s="1" t="s">
        <v>46</v>
      </c>
    </row>
    <row r="82" spans="1:17" ht="16" x14ac:dyDescent="0.25">
      <c r="A82" s="1" t="s">
        <v>8</v>
      </c>
      <c r="B82" s="1" t="s">
        <v>80</v>
      </c>
      <c r="C82" s="1">
        <v>150101</v>
      </c>
      <c r="D82" s="1" t="s">
        <v>76</v>
      </c>
      <c r="E82" s="1" t="s">
        <v>44</v>
      </c>
      <c r="F82" s="1" t="s">
        <v>90</v>
      </c>
      <c r="G82" s="1" t="s">
        <v>91</v>
      </c>
      <c r="H82" s="3">
        <v>44936</v>
      </c>
      <c r="I82" s="7">
        <f t="shared" si="3"/>
        <v>45200</v>
      </c>
      <c r="J82" s="1" t="s">
        <v>75</v>
      </c>
      <c r="K82" s="8">
        <f t="shared" si="4"/>
        <v>45230</v>
      </c>
      <c r="L82" s="1">
        <v>4720</v>
      </c>
      <c r="M82" s="1">
        <f>Table1[[#This Row],[quantity'[wastes']]]*1000</f>
        <v>4720000</v>
      </c>
      <c r="N82" s="1">
        <f>Table1[[#This Row],[Tonnes_quantity]]/25</f>
        <v>188800</v>
      </c>
      <c r="O82" s="1">
        <v>188.8</v>
      </c>
      <c r="P82" s="1">
        <v>2023</v>
      </c>
      <c r="Q82" s="1" t="s">
        <v>46</v>
      </c>
    </row>
    <row r="83" spans="1:17" ht="16" x14ac:dyDescent="0.25">
      <c r="A83" s="1" t="s">
        <v>8</v>
      </c>
      <c r="B83" s="1" t="s">
        <v>80</v>
      </c>
      <c r="C83" s="1">
        <v>150103</v>
      </c>
      <c r="D83" s="1" t="s">
        <v>100</v>
      </c>
      <c r="E83" s="1" t="s">
        <v>44</v>
      </c>
      <c r="F83" s="1" t="s">
        <v>101</v>
      </c>
      <c r="G83" s="1" t="s">
        <v>102</v>
      </c>
      <c r="H83" s="3">
        <v>44927</v>
      </c>
      <c r="I83" s="7">
        <f t="shared" si="3"/>
        <v>44927</v>
      </c>
      <c r="J83" s="1" t="s">
        <v>68</v>
      </c>
      <c r="K83" s="8">
        <f t="shared" si="4"/>
        <v>44957</v>
      </c>
      <c r="L83" s="1">
        <v>5180</v>
      </c>
      <c r="M83" s="1">
        <f>Table1[[#This Row],[quantity'[wastes']]]*1000</f>
        <v>5180000</v>
      </c>
      <c r="N83" s="1">
        <f>Table1[[#This Row],[Tonnes_quantity]]/25</f>
        <v>207200</v>
      </c>
      <c r="O83" s="1">
        <v>207.2</v>
      </c>
      <c r="P83" s="1">
        <v>2023</v>
      </c>
      <c r="Q83" s="1" t="s">
        <v>46</v>
      </c>
    </row>
    <row r="84" spans="1:17" ht="16" x14ac:dyDescent="0.25">
      <c r="A84" s="1" t="s">
        <v>8</v>
      </c>
      <c r="B84" s="1" t="s">
        <v>80</v>
      </c>
      <c r="C84" s="1">
        <v>200301</v>
      </c>
      <c r="D84" s="1" t="s">
        <v>47</v>
      </c>
      <c r="E84" s="1" t="s">
        <v>44</v>
      </c>
      <c r="F84" s="1" t="s">
        <v>95</v>
      </c>
      <c r="G84" s="1" t="s">
        <v>96</v>
      </c>
      <c r="H84" s="3">
        <v>44933</v>
      </c>
      <c r="I84" s="7">
        <f t="shared" si="3"/>
        <v>45108</v>
      </c>
      <c r="J84" s="1" t="s">
        <v>71</v>
      </c>
      <c r="K84" s="8">
        <f t="shared" si="4"/>
        <v>45138</v>
      </c>
      <c r="L84" s="1">
        <v>5340</v>
      </c>
      <c r="M84" s="1">
        <f>Table1[[#This Row],[quantity'[wastes']]]*1000</f>
        <v>5340000</v>
      </c>
      <c r="N84" s="1">
        <f>Table1[[#This Row],[Tonnes_quantity]]/25</f>
        <v>213600</v>
      </c>
      <c r="O84" s="1">
        <v>213.6</v>
      </c>
      <c r="P84" s="1">
        <v>2023</v>
      </c>
      <c r="Q84" s="1" t="s">
        <v>46</v>
      </c>
    </row>
    <row r="85" spans="1:17" ht="16" x14ac:dyDescent="0.25">
      <c r="A85" s="1" t="s">
        <v>8</v>
      </c>
      <c r="B85" s="1" t="s">
        <v>80</v>
      </c>
      <c r="C85" s="1">
        <v>150103</v>
      </c>
      <c r="D85" s="1" t="s">
        <v>100</v>
      </c>
      <c r="E85" s="1" t="s">
        <v>44</v>
      </c>
      <c r="F85" s="1" t="s">
        <v>101</v>
      </c>
      <c r="G85" s="1" t="s">
        <v>102</v>
      </c>
      <c r="H85" s="3">
        <v>44932</v>
      </c>
      <c r="I85" s="7">
        <f t="shared" si="3"/>
        <v>45078</v>
      </c>
      <c r="J85" s="1" t="s">
        <v>69</v>
      </c>
      <c r="K85" s="8">
        <f t="shared" si="4"/>
        <v>45107</v>
      </c>
      <c r="L85" s="1">
        <v>6140</v>
      </c>
      <c r="M85" s="1">
        <f>Table1[[#This Row],[quantity'[wastes']]]*1000</f>
        <v>6140000</v>
      </c>
      <c r="N85" s="1">
        <f>Table1[[#This Row],[Tonnes_quantity]]/25</f>
        <v>245600</v>
      </c>
      <c r="O85" s="1">
        <v>245.6</v>
      </c>
      <c r="P85" s="1">
        <v>2023</v>
      </c>
      <c r="Q85" s="1" t="s">
        <v>46</v>
      </c>
    </row>
    <row r="86" spans="1:17" ht="16" x14ac:dyDescent="0.25">
      <c r="A86" s="1" t="s">
        <v>8</v>
      </c>
      <c r="B86" s="1" t="s">
        <v>80</v>
      </c>
      <c r="C86" s="1">
        <v>150101</v>
      </c>
      <c r="D86" s="1" t="s">
        <v>76</v>
      </c>
      <c r="E86" s="1" t="s">
        <v>44</v>
      </c>
      <c r="F86" s="1" t="s">
        <v>90</v>
      </c>
      <c r="G86" s="1" t="s">
        <v>91</v>
      </c>
      <c r="H86" s="3">
        <v>44929</v>
      </c>
      <c r="I86" s="7">
        <f t="shared" si="3"/>
        <v>44986</v>
      </c>
      <c r="J86" s="1" t="s">
        <v>74</v>
      </c>
      <c r="K86" s="8">
        <f t="shared" si="4"/>
        <v>45016</v>
      </c>
      <c r="L86" s="1">
        <v>6300</v>
      </c>
      <c r="M86" s="1">
        <f>Table1[[#This Row],[quantity'[wastes']]]*1000</f>
        <v>6300000</v>
      </c>
      <c r="N86" s="1">
        <f>Table1[[#This Row],[Tonnes_quantity]]/25</f>
        <v>252000</v>
      </c>
      <c r="O86" s="1">
        <v>252</v>
      </c>
      <c r="P86" s="1">
        <v>2023</v>
      </c>
      <c r="Q86" s="1" t="s">
        <v>46</v>
      </c>
    </row>
    <row r="87" spans="1:17" ht="16" x14ac:dyDescent="0.25">
      <c r="A87" s="1" t="s">
        <v>8</v>
      </c>
      <c r="B87" s="1" t="s">
        <v>80</v>
      </c>
      <c r="C87" s="1">
        <v>200301</v>
      </c>
      <c r="D87" s="1" t="s">
        <v>47</v>
      </c>
      <c r="E87" s="1" t="s">
        <v>44</v>
      </c>
      <c r="F87" s="1" t="s">
        <v>95</v>
      </c>
      <c r="G87" s="1" t="s">
        <v>96</v>
      </c>
      <c r="H87" s="3">
        <v>44937</v>
      </c>
      <c r="I87" s="7">
        <f t="shared" si="3"/>
        <v>45231</v>
      </c>
      <c r="J87" s="1" t="s">
        <v>56</v>
      </c>
      <c r="K87" s="8">
        <f t="shared" si="4"/>
        <v>45260</v>
      </c>
      <c r="L87" s="1">
        <v>6320</v>
      </c>
      <c r="M87" s="1">
        <f>Table1[[#This Row],[quantity'[wastes']]]*1000</f>
        <v>6320000</v>
      </c>
      <c r="N87" s="1">
        <f>Table1[[#This Row],[Tonnes_quantity]]/25</f>
        <v>252800</v>
      </c>
      <c r="O87" s="1">
        <v>252.8</v>
      </c>
      <c r="P87" s="1">
        <v>2023</v>
      </c>
      <c r="Q87" s="1" t="s">
        <v>46</v>
      </c>
    </row>
    <row r="88" spans="1:17" ht="16" x14ac:dyDescent="0.25">
      <c r="A88" s="1" t="s">
        <v>8</v>
      </c>
      <c r="B88" s="1" t="s">
        <v>80</v>
      </c>
      <c r="C88" s="1">
        <v>150101</v>
      </c>
      <c r="D88" s="1" t="s">
        <v>76</v>
      </c>
      <c r="E88" s="1" t="s">
        <v>44</v>
      </c>
      <c r="F88" s="1" t="s">
        <v>90</v>
      </c>
      <c r="G88" s="1" t="s">
        <v>91</v>
      </c>
      <c r="H88" s="3">
        <v>44932</v>
      </c>
      <c r="I88" s="7">
        <f t="shared" si="3"/>
        <v>45078</v>
      </c>
      <c r="J88" s="1" t="s">
        <v>69</v>
      </c>
      <c r="K88" s="8">
        <f t="shared" si="4"/>
        <v>45107</v>
      </c>
      <c r="L88" s="1">
        <v>6400</v>
      </c>
      <c r="M88" s="1">
        <f>Table1[[#This Row],[quantity'[wastes']]]*1000</f>
        <v>6400000</v>
      </c>
      <c r="N88" s="1">
        <f>Table1[[#This Row],[Tonnes_quantity]]/25</f>
        <v>256000</v>
      </c>
      <c r="O88" s="1">
        <v>256</v>
      </c>
      <c r="P88" s="1">
        <v>2023</v>
      </c>
      <c r="Q88" s="1" t="s">
        <v>46</v>
      </c>
    </row>
    <row r="89" spans="1:17" ht="16" x14ac:dyDescent="0.25">
      <c r="A89" s="1" t="s">
        <v>8</v>
      </c>
      <c r="B89" s="1" t="s">
        <v>80</v>
      </c>
      <c r="C89" s="1">
        <v>160117</v>
      </c>
      <c r="D89" s="1" t="s">
        <v>64</v>
      </c>
      <c r="E89" s="1" t="s">
        <v>44</v>
      </c>
      <c r="F89" s="1" t="s">
        <v>83</v>
      </c>
      <c r="G89" s="1" t="s">
        <v>84</v>
      </c>
      <c r="H89" s="3">
        <v>44936</v>
      </c>
      <c r="I89" s="7">
        <f t="shared" si="3"/>
        <v>45200</v>
      </c>
      <c r="J89" s="1" t="s">
        <v>75</v>
      </c>
      <c r="K89" s="8">
        <f t="shared" si="4"/>
        <v>45230</v>
      </c>
      <c r="L89" s="1">
        <v>7920</v>
      </c>
      <c r="M89" s="1">
        <f>Table1[[#This Row],[quantity'[wastes']]]*1000</f>
        <v>7920000</v>
      </c>
      <c r="N89" s="1">
        <f>Table1[[#This Row],[Tonnes_quantity]]/25</f>
        <v>316800</v>
      </c>
      <c r="O89" s="1">
        <v>316.8</v>
      </c>
      <c r="P89" s="1">
        <v>2023</v>
      </c>
      <c r="Q89" s="1" t="s">
        <v>46</v>
      </c>
    </row>
    <row r="90" spans="1:17" ht="16" x14ac:dyDescent="0.25">
      <c r="A90" s="1" t="s">
        <v>17</v>
      </c>
      <c r="B90" s="1" t="s">
        <v>17</v>
      </c>
      <c r="C90" s="1" t="s">
        <v>106</v>
      </c>
      <c r="D90" s="1" t="s">
        <v>107</v>
      </c>
      <c r="E90" s="1" t="s">
        <v>44</v>
      </c>
      <c r="F90" s="1" t="s">
        <v>44</v>
      </c>
      <c r="G90" s="1" t="s">
        <v>44</v>
      </c>
      <c r="H90" s="3">
        <v>44562</v>
      </c>
      <c r="I90" s="7">
        <f t="shared" si="3"/>
        <v>44562</v>
      </c>
      <c r="J90" s="1" t="s">
        <v>51</v>
      </c>
      <c r="K90" s="8">
        <f t="shared" si="4"/>
        <v>44926</v>
      </c>
      <c r="L90" s="1">
        <v>103</v>
      </c>
      <c r="M90" s="1">
        <f>Table1[[#This Row],[quantity'[wastes']]]*1000</f>
        <v>103000</v>
      </c>
      <c r="N90" s="1">
        <f>Table1[[#This Row],[Tonnes_quantity]]/25</f>
        <v>4120</v>
      </c>
      <c r="O90" s="1">
        <v>4.12</v>
      </c>
      <c r="P90" s="1">
        <v>2022</v>
      </c>
      <c r="Q90" s="1" t="s">
        <v>52</v>
      </c>
    </row>
    <row r="91" spans="1:17" ht="16" x14ac:dyDescent="0.25">
      <c r="A91" s="1" t="s">
        <v>17</v>
      </c>
      <c r="B91" s="1" t="s">
        <v>17</v>
      </c>
      <c r="C91" s="1" t="s">
        <v>108</v>
      </c>
      <c r="D91" s="1" t="s">
        <v>109</v>
      </c>
      <c r="E91" s="1" t="s">
        <v>44</v>
      </c>
      <c r="F91" s="1" t="s">
        <v>44</v>
      </c>
      <c r="G91" s="1" t="s">
        <v>44</v>
      </c>
      <c r="H91" s="3">
        <v>44927</v>
      </c>
      <c r="I91" s="7">
        <f t="shared" si="3"/>
        <v>44927</v>
      </c>
      <c r="J91" s="1" t="s">
        <v>45</v>
      </c>
      <c r="K91" s="8">
        <f t="shared" si="4"/>
        <v>45291</v>
      </c>
      <c r="L91" s="1">
        <v>138.44999999999999</v>
      </c>
      <c r="M91" s="1">
        <f>Table1[[#This Row],[quantity'[wastes']]]*1000</f>
        <v>138450</v>
      </c>
      <c r="N91" s="1">
        <f>Table1[[#This Row],[Tonnes_quantity]]/25</f>
        <v>5538</v>
      </c>
      <c r="O91" s="1">
        <v>5.5380000000000003</v>
      </c>
      <c r="P91" s="1">
        <v>2023</v>
      </c>
      <c r="Q91" s="1" t="s">
        <v>52</v>
      </c>
    </row>
    <row r="92" spans="1:17" ht="16" x14ac:dyDescent="0.25">
      <c r="A92" s="1" t="s">
        <v>17</v>
      </c>
      <c r="B92" s="1" t="s">
        <v>17</v>
      </c>
      <c r="C92" s="1" t="s">
        <v>108</v>
      </c>
      <c r="D92" s="1" t="s">
        <v>109</v>
      </c>
      <c r="E92" s="1" t="s">
        <v>44</v>
      </c>
      <c r="F92" s="1" t="s">
        <v>44</v>
      </c>
      <c r="G92" s="1" t="s">
        <v>44</v>
      </c>
      <c r="H92" s="3">
        <v>44562</v>
      </c>
      <c r="I92" s="7">
        <f t="shared" si="3"/>
        <v>44562</v>
      </c>
      <c r="J92" s="1" t="s">
        <v>51</v>
      </c>
      <c r="K92" s="8">
        <f t="shared" si="4"/>
        <v>44926</v>
      </c>
      <c r="L92" s="1">
        <v>268.60000000000002</v>
      </c>
      <c r="M92" s="1">
        <f>Table1[[#This Row],[quantity'[wastes']]]*1000</f>
        <v>268600</v>
      </c>
      <c r="N92" s="1">
        <f>Table1[[#This Row],[Tonnes_quantity]]/25</f>
        <v>10744</v>
      </c>
      <c r="O92" s="1">
        <v>10.744</v>
      </c>
      <c r="P92" s="1">
        <v>2022</v>
      </c>
      <c r="Q92" s="1" t="s">
        <v>52</v>
      </c>
    </row>
    <row r="93" spans="1:17" ht="16" x14ac:dyDescent="0.25">
      <c r="A93" s="1" t="s">
        <v>17</v>
      </c>
      <c r="B93" s="1" t="s">
        <v>17</v>
      </c>
      <c r="C93" s="1" t="s">
        <v>106</v>
      </c>
      <c r="D93" s="1" t="s">
        <v>107</v>
      </c>
      <c r="E93" s="1" t="s">
        <v>44</v>
      </c>
      <c r="F93" s="1" t="s">
        <v>44</v>
      </c>
      <c r="G93" s="1" t="s">
        <v>44</v>
      </c>
      <c r="H93" s="3">
        <v>44927</v>
      </c>
      <c r="I93" s="7">
        <f t="shared" si="3"/>
        <v>44927</v>
      </c>
      <c r="J93" s="1" t="s">
        <v>45</v>
      </c>
      <c r="K93" s="8">
        <f t="shared" si="4"/>
        <v>45291</v>
      </c>
      <c r="L93" s="1">
        <v>280</v>
      </c>
      <c r="M93" s="1">
        <f>Table1[[#This Row],[quantity'[wastes']]]*1000</f>
        <v>280000</v>
      </c>
      <c r="N93" s="1">
        <f>Table1[[#This Row],[Tonnes_quantity]]/25</f>
        <v>11200</v>
      </c>
      <c r="O93" s="1">
        <v>11.2</v>
      </c>
      <c r="P93" s="1">
        <v>2023</v>
      </c>
      <c r="Q93" s="1" t="s">
        <v>52</v>
      </c>
    </row>
    <row r="94" spans="1:17" ht="16" x14ac:dyDescent="0.25">
      <c r="A94" s="1" t="s">
        <v>17</v>
      </c>
      <c r="B94" s="1" t="s">
        <v>17</v>
      </c>
      <c r="C94" s="1">
        <v>200140</v>
      </c>
      <c r="D94" s="1" t="s">
        <v>110</v>
      </c>
      <c r="E94" s="1" t="s">
        <v>44</v>
      </c>
      <c r="F94" s="1" t="s">
        <v>44</v>
      </c>
      <c r="G94" s="1" t="s">
        <v>44</v>
      </c>
      <c r="H94" s="3">
        <v>44927</v>
      </c>
      <c r="I94" s="7">
        <f t="shared" si="3"/>
        <v>44927</v>
      </c>
      <c r="J94" s="1" t="s">
        <v>45</v>
      </c>
      <c r="K94" s="8">
        <f t="shared" si="4"/>
        <v>45291</v>
      </c>
      <c r="L94" s="1">
        <v>3280</v>
      </c>
      <c r="M94" s="1">
        <f>Table1[[#This Row],[quantity'[wastes']]]*1000</f>
        <v>3280000</v>
      </c>
      <c r="N94" s="1">
        <f>Table1[[#This Row],[Tonnes_quantity]]/25</f>
        <v>131200</v>
      </c>
      <c r="O94" s="1">
        <v>131.19999999999999</v>
      </c>
      <c r="P94" s="1">
        <v>2023</v>
      </c>
      <c r="Q94" s="1" t="s">
        <v>46</v>
      </c>
    </row>
    <row r="95" spans="1:17" ht="16" x14ac:dyDescent="0.25">
      <c r="A95" s="1" t="s">
        <v>17</v>
      </c>
      <c r="B95" s="1" t="s">
        <v>17</v>
      </c>
      <c r="C95" s="1">
        <v>200140</v>
      </c>
      <c r="D95" s="1" t="s">
        <v>110</v>
      </c>
      <c r="E95" s="1" t="s">
        <v>44</v>
      </c>
      <c r="F95" s="1" t="s">
        <v>44</v>
      </c>
      <c r="G95" s="1" t="s">
        <v>44</v>
      </c>
      <c r="H95" s="3">
        <v>44562</v>
      </c>
      <c r="I95" s="7">
        <f t="shared" si="3"/>
        <v>44562</v>
      </c>
      <c r="J95" s="1" t="s">
        <v>51</v>
      </c>
      <c r="K95" s="8">
        <f t="shared" si="4"/>
        <v>44926</v>
      </c>
      <c r="L95" s="1">
        <v>4160</v>
      </c>
      <c r="M95" s="1">
        <f>Table1[[#This Row],[quantity'[wastes']]]*1000</f>
        <v>4160000</v>
      </c>
      <c r="N95" s="1">
        <f>Table1[[#This Row],[Tonnes_quantity]]/25</f>
        <v>166400</v>
      </c>
      <c r="O95" s="1">
        <v>166.4</v>
      </c>
      <c r="P95" s="1">
        <v>2022</v>
      </c>
      <c r="Q95" s="1" t="s">
        <v>46</v>
      </c>
    </row>
    <row r="96" spans="1:17" ht="16" x14ac:dyDescent="0.25">
      <c r="A96" s="1" t="s">
        <v>17</v>
      </c>
      <c r="B96" s="1" t="s">
        <v>17</v>
      </c>
      <c r="C96" s="1">
        <v>150101</v>
      </c>
      <c r="D96" s="1" t="s">
        <v>76</v>
      </c>
      <c r="E96" s="1" t="s">
        <v>44</v>
      </c>
      <c r="F96" s="1" t="s">
        <v>44</v>
      </c>
      <c r="G96" s="1" t="s">
        <v>44</v>
      </c>
      <c r="H96" s="3">
        <v>44562</v>
      </c>
      <c r="I96" s="7">
        <f t="shared" si="3"/>
        <v>44562</v>
      </c>
      <c r="J96" s="1" t="s">
        <v>51</v>
      </c>
      <c r="K96" s="8">
        <f t="shared" si="4"/>
        <v>44926</v>
      </c>
      <c r="L96" s="1">
        <v>13640</v>
      </c>
      <c r="M96" s="1">
        <f>Table1[[#This Row],[quantity'[wastes']]]*1000</f>
        <v>13640000</v>
      </c>
      <c r="N96" s="1">
        <f>Table1[[#This Row],[Tonnes_quantity]]/25</f>
        <v>545600</v>
      </c>
      <c r="O96" s="1">
        <v>545.6</v>
      </c>
      <c r="P96" s="1">
        <v>2022</v>
      </c>
      <c r="Q96" s="1" t="s">
        <v>46</v>
      </c>
    </row>
    <row r="97" spans="1:17" ht="16" x14ac:dyDescent="0.25">
      <c r="A97" s="1" t="s">
        <v>17</v>
      </c>
      <c r="B97" s="1" t="s">
        <v>17</v>
      </c>
      <c r="C97" s="1">
        <v>150101</v>
      </c>
      <c r="D97" s="1" t="s">
        <v>76</v>
      </c>
      <c r="E97" s="1" t="s">
        <v>44</v>
      </c>
      <c r="F97" s="1" t="s">
        <v>44</v>
      </c>
      <c r="G97" s="1" t="s">
        <v>44</v>
      </c>
      <c r="H97" s="3">
        <v>44927</v>
      </c>
      <c r="I97" s="7">
        <f t="shared" si="3"/>
        <v>44927</v>
      </c>
      <c r="J97" s="1" t="s">
        <v>45</v>
      </c>
      <c r="K97" s="8">
        <f t="shared" si="4"/>
        <v>45291</v>
      </c>
      <c r="L97" s="1">
        <v>14322</v>
      </c>
      <c r="M97" s="1">
        <f>Table1[[#This Row],[quantity'[wastes']]]*1000</f>
        <v>14322000</v>
      </c>
      <c r="N97" s="1">
        <f>Table1[[#This Row],[Tonnes_quantity]]/25</f>
        <v>572880</v>
      </c>
      <c r="O97" s="1">
        <v>572.88</v>
      </c>
      <c r="P97" s="1">
        <v>2023</v>
      </c>
      <c r="Q97" s="1" t="s">
        <v>46</v>
      </c>
    </row>
    <row r="98" spans="1:17" ht="16" x14ac:dyDescent="0.25">
      <c r="A98" s="1" t="s">
        <v>17</v>
      </c>
      <c r="B98" s="1" t="s">
        <v>17</v>
      </c>
      <c r="C98" s="1">
        <v>200301</v>
      </c>
      <c r="D98" s="1" t="s">
        <v>47</v>
      </c>
      <c r="E98" s="1" t="s">
        <v>44</v>
      </c>
      <c r="F98" s="1" t="s">
        <v>44</v>
      </c>
      <c r="G98" s="1" t="s">
        <v>44</v>
      </c>
      <c r="H98" s="3">
        <v>44562</v>
      </c>
      <c r="I98" s="7">
        <f t="shared" si="3"/>
        <v>44562</v>
      </c>
      <c r="J98" s="1" t="s">
        <v>51</v>
      </c>
      <c r="K98" s="8">
        <f t="shared" ref="K98:K123" si="5">DATE(RIGHT(TEXT(J98,"dd-mm-yyyy"),4), LEFT(TEXT(J98,"dd-mm-yyyy"),2),MID(TEXT(J98,"dd-mm-yyyy"),4,2))</f>
        <v>44926</v>
      </c>
      <c r="L98" s="1">
        <v>21000</v>
      </c>
      <c r="M98" s="1">
        <f>Table1[[#This Row],[quantity'[wastes']]]*1000</f>
        <v>21000000</v>
      </c>
      <c r="N98" s="1">
        <f>Table1[[#This Row],[Tonnes_quantity]]/25</f>
        <v>840000</v>
      </c>
      <c r="O98" s="1">
        <v>840</v>
      </c>
      <c r="P98" s="1">
        <v>2022</v>
      </c>
      <c r="Q98" s="1" t="s">
        <v>46</v>
      </c>
    </row>
    <row r="99" spans="1:17" ht="16" x14ac:dyDescent="0.25">
      <c r="A99" s="1" t="s">
        <v>17</v>
      </c>
      <c r="B99" s="1" t="s">
        <v>17</v>
      </c>
      <c r="C99" s="1">
        <v>200301</v>
      </c>
      <c r="D99" s="1" t="s">
        <v>47</v>
      </c>
      <c r="E99" s="1" t="s">
        <v>44</v>
      </c>
      <c r="F99" s="1" t="s">
        <v>44</v>
      </c>
      <c r="G99" s="1" t="s">
        <v>44</v>
      </c>
      <c r="H99" s="3">
        <v>44927</v>
      </c>
      <c r="I99" s="7">
        <f t="shared" si="3"/>
        <v>44927</v>
      </c>
      <c r="J99" s="1" t="s">
        <v>45</v>
      </c>
      <c r="K99" s="8">
        <f t="shared" si="5"/>
        <v>45291</v>
      </c>
      <c r="L99" s="1">
        <v>23300</v>
      </c>
      <c r="M99" s="1">
        <f>Table1[[#This Row],[quantity'[wastes']]]*1000</f>
        <v>23300000</v>
      </c>
      <c r="N99" s="1">
        <f>Table1[[#This Row],[Tonnes_quantity]]/25</f>
        <v>932000</v>
      </c>
      <c r="O99" s="1">
        <v>932</v>
      </c>
      <c r="P99" s="1">
        <v>2023</v>
      </c>
      <c r="Q99" s="1" t="s">
        <v>46</v>
      </c>
    </row>
    <row r="100" spans="1:17" ht="16" x14ac:dyDescent="0.25">
      <c r="A100" s="1" t="s">
        <v>18</v>
      </c>
      <c r="B100" s="1" t="s">
        <v>18</v>
      </c>
      <c r="C100" s="1" t="s">
        <v>59</v>
      </c>
      <c r="D100" s="1" t="s">
        <v>60</v>
      </c>
      <c r="E100" s="1" t="s">
        <v>44</v>
      </c>
      <c r="F100" s="1" t="s">
        <v>44</v>
      </c>
      <c r="G100" s="1" t="s">
        <v>44</v>
      </c>
      <c r="H100" s="3">
        <v>44562</v>
      </c>
      <c r="I100" s="7">
        <f t="shared" si="3"/>
        <v>44562</v>
      </c>
      <c r="J100" s="1" t="s">
        <v>51</v>
      </c>
      <c r="K100" s="8">
        <f t="shared" si="5"/>
        <v>44926</v>
      </c>
      <c r="L100" s="1">
        <v>25</v>
      </c>
      <c r="M100" s="1">
        <f>Table1[[#This Row],[quantity'[wastes']]]*1000</f>
        <v>25000</v>
      </c>
      <c r="N100" s="1">
        <f>Table1[[#This Row],[Tonnes_quantity]]/25</f>
        <v>1000</v>
      </c>
      <c r="O100" s="1">
        <v>1</v>
      </c>
      <c r="P100" s="1">
        <v>2022</v>
      </c>
      <c r="Q100" s="1" t="s">
        <v>52</v>
      </c>
    </row>
    <row r="101" spans="1:17" ht="16" x14ac:dyDescent="0.25">
      <c r="A101" s="1" t="s">
        <v>18</v>
      </c>
      <c r="B101" s="1" t="s">
        <v>18</v>
      </c>
      <c r="C101" s="1" t="s">
        <v>108</v>
      </c>
      <c r="D101" s="1" t="s">
        <v>109</v>
      </c>
      <c r="E101" s="1" t="s">
        <v>44</v>
      </c>
      <c r="F101" s="1" t="s">
        <v>44</v>
      </c>
      <c r="G101" s="1" t="s">
        <v>44</v>
      </c>
      <c r="H101" s="3">
        <v>44989</v>
      </c>
      <c r="I101" s="7">
        <f t="shared" si="3"/>
        <v>45019</v>
      </c>
      <c r="J101" s="3">
        <v>45020</v>
      </c>
      <c r="K101" s="8">
        <f t="shared" si="5"/>
        <v>45020</v>
      </c>
      <c r="L101" s="1">
        <v>25</v>
      </c>
      <c r="M101" s="1">
        <f>Table1[[#This Row],[quantity'[wastes']]]*1000</f>
        <v>25000</v>
      </c>
      <c r="N101" s="1">
        <f>Table1[[#This Row],[Tonnes_quantity]]/25</f>
        <v>1000</v>
      </c>
      <c r="O101" s="1">
        <v>1</v>
      </c>
      <c r="P101" s="1">
        <v>2023</v>
      </c>
      <c r="Q101" s="1" t="s">
        <v>52</v>
      </c>
    </row>
    <row r="102" spans="1:17" ht="16" x14ac:dyDescent="0.25">
      <c r="A102" s="1" t="s">
        <v>18</v>
      </c>
      <c r="B102" s="1" t="s">
        <v>18</v>
      </c>
      <c r="C102" s="1">
        <v>160605</v>
      </c>
      <c r="D102" s="1" t="s">
        <v>61</v>
      </c>
      <c r="E102" s="1" t="s">
        <v>44</v>
      </c>
      <c r="F102" s="1" t="s">
        <v>44</v>
      </c>
      <c r="G102" s="1" t="s">
        <v>44</v>
      </c>
      <c r="H102" s="3">
        <v>45171</v>
      </c>
      <c r="I102" s="7">
        <f t="shared" si="3"/>
        <v>44966</v>
      </c>
      <c r="J102" s="3">
        <v>45201</v>
      </c>
      <c r="K102" s="8">
        <f t="shared" si="5"/>
        <v>44967</v>
      </c>
      <c r="L102" s="1">
        <v>50</v>
      </c>
      <c r="M102" s="1">
        <f>Table1[[#This Row],[quantity'[wastes']]]*1000</f>
        <v>50000</v>
      </c>
      <c r="N102" s="1">
        <f>Table1[[#This Row],[Tonnes_quantity]]/25</f>
        <v>2000</v>
      </c>
      <c r="O102" s="1">
        <v>2</v>
      </c>
      <c r="P102" s="1">
        <v>2023</v>
      </c>
      <c r="Q102" s="1" t="s">
        <v>46</v>
      </c>
    </row>
    <row r="103" spans="1:17" ht="16" x14ac:dyDescent="0.25">
      <c r="A103" s="1" t="s">
        <v>18</v>
      </c>
      <c r="B103" s="1" t="s">
        <v>18</v>
      </c>
      <c r="C103" s="1" t="s">
        <v>62</v>
      </c>
      <c r="D103" s="1" t="s">
        <v>63</v>
      </c>
      <c r="E103" s="1" t="s">
        <v>44</v>
      </c>
      <c r="F103" s="1" t="s">
        <v>44</v>
      </c>
      <c r="G103" s="1" t="s">
        <v>44</v>
      </c>
      <c r="H103" s="3">
        <v>44562</v>
      </c>
      <c r="I103" s="7">
        <f t="shared" si="3"/>
        <v>44562</v>
      </c>
      <c r="J103" s="1" t="s">
        <v>51</v>
      </c>
      <c r="K103" s="8">
        <f t="shared" si="5"/>
        <v>44926</v>
      </c>
      <c r="L103" s="1">
        <v>56</v>
      </c>
      <c r="M103" s="1">
        <f>Table1[[#This Row],[quantity'[wastes']]]*1000</f>
        <v>56000</v>
      </c>
      <c r="N103" s="1">
        <f>Table1[[#This Row],[Tonnes_quantity]]/25</f>
        <v>2240</v>
      </c>
      <c r="O103" s="1">
        <v>2.2400000000000002</v>
      </c>
      <c r="P103" s="1">
        <v>2022</v>
      </c>
      <c r="Q103" s="1" t="s">
        <v>52</v>
      </c>
    </row>
    <row r="104" spans="1:17" ht="16" x14ac:dyDescent="0.25">
      <c r="A104" s="1" t="s">
        <v>18</v>
      </c>
      <c r="B104" s="1" t="s">
        <v>18</v>
      </c>
      <c r="C104" s="1" t="s">
        <v>111</v>
      </c>
      <c r="D104" s="1" t="s">
        <v>112</v>
      </c>
      <c r="E104" s="1" t="s">
        <v>44</v>
      </c>
      <c r="F104" s="1" t="s">
        <v>44</v>
      </c>
      <c r="G104" s="1" t="s">
        <v>44</v>
      </c>
      <c r="H104" s="3">
        <v>44562</v>
      </c>
      <c r="I104" s="7">
        <f t="shared" si="3"/>
        <v>44562</v>
      </c>
      <c r="J104" s="1" t="s">
        <v>51</v>
      </c>
      <c r="K104" s="8">
        <f t="shared" si="5"/>
        <v>44926</v>
      </c>
      <c r="L104" s="1">
        <v>60</v>
      </c>
      <c r="M104" s="1">
        <f>Table1[[#This Row],[quantity'[wastes']]]*1000</f>
        <v>60000</v>
      </c>
      <c r="N104" s="1">
        <f>Table1[[#This Row],[Tonnes_quantity]]/25</f>
        <v>2400</v>
      </c>
      <c r="O104" s="1">
        <v>2.4</v>
      </c>
      <c r="P104" s="1">
        <v>2022</v>
      </c>
      <c r="Q104" s="1" t="s">
        <v>52</v>
      </c>
    </row>
    <row r="105" spans="1:17" ht="16" x14ac:dyDescent="0.25">
      <c r="A105" s="1" t="s">
        <v>18</v>
      </c>
      <c r="B105" s="1" t="s">
        <v>18</v>
      </c>
      <c r="C105" s="1">
        <v>150106</v>
      </c>
      <c r="D105" s="1" t="s">
        <v>113</v>
      </c>
      <c r="E105" s="1" t="s">
        <v>44</v>
      </c>
      <c r="F105" s="1" t="s">
        <v>44</v>
      </c>
      <c r="G105" s="1" t="s">
        <v>44</v>
      </c>
      <c r="H105" s="3">
        <v>45025</v>
      </c>
      <c r="I105" s="7">
        <f t="shared" si="3"/>
        <v>45173</v>
      </c>
      <c r="J105" s="1" t="s">
        <v>114</v>
      </c>
      <c r="K105" s="8">
        <f t="shared" si="5"/>
        <v>45275</v>
      </c>
      <c r="L105" s="1">
        <v>120</v>
      </c>
      <c r="M105" s="1">
        <f>Table1[[#This Row],[quantity'[wastes']]]*1000</f>
        <v>120000</v>
      </c>
      <c r="N105" s="1">
        <f>Table1[[#This Row],[Tonnes_quantity]]/25</f>
        <v>4800</v>
      </c>
      <c r="O105" s="1">
        <v>4.8</v>
      </c>
      <c r="P105" s="1">
        <v>2023</v>
      </c>
      <c r="Q105" s="1" t="s">
        <v>46</v>
      </c>
    </row>
    <row r="106" spans="1:17" ht="16" x14ac:dyDescent="0.25">
      <c r="A106" s="1" t="s">
        <v>18</v>
      </c>
      <c r="B106" s="1" t="s">
        <v>18</v>
      </c>
      <c r="C106" s="1">
        <v>160216</v>
      </c>
      <c r="D106" s="1" t="s">
        <v>115</v>
      </c>
      <c r="E106" s="1" t="s">
        <v>44</v>
      </c>
      <c r="F106" s="1" t="s">
        <v>44</v>
      </c>
      <c r="G106" s="1" t="s">
        <v>44</v>
      </c>
      <c r="H106" s="3">
        <v>44989</v>
      </c>
      <c r="I106" s="7">
        <f t="shared" si="3"/>
        <v>45019</v>
      </c>
      <c r="J106" s="3">
        <v>45020</v>
      </c>
      <c r="K106" s="8">
        <f t="shared" si="5"/>
        <v>45020</v>
      </c>
      <c r="L106" s="1">
        <v>340</v>
      </c>
      <c r="M106" s="1">
        <f>Table1[[#This Row],[quantity'[wastes']]]*1000</f>
        <v>340000</v>
      </c>
      <c r="N106" s="1">
        <f>Table1[[#This Row],[Tonnes_quantity]]/25</f>
        <v>13600</v>
      </c>
      <c r="O106" s="1">
        <v>13.6</v>
      </c>
      <c r="P106" s="1">
        <v>2023</v>
      </c>
      <c r="Q106" s="1" t="s">
        <v>46</v>
      </c>
    </row>
    <row r="107" spans="1:17" ht="16" x14ac:dyDescent="0.25">
      <c r="A107" s="1" t="s">
        <v>18</v>
      </c>
      <c r="B107" s="1" t="s">
        <v>18</v>
      </c>
      <c r="C107" s="1">
        <v>150102</v>
      </c>
      <c r="D107" s="1" t="s">
        <v>66</v>
      </c>
      <c r="E107" s="1" t="s">
        <v>44</v>
      </c>
      <c r="F107" s="1" t="s">
        <v>44</v>
      </c>
      <c r="G107" s="1" t="s">
        <v>44</v>
      </c>
      <c r="H107" s="3">
        <v>45025</v>
      </c>
      <c r="I107" s="7">
        <f t="shared" si="3"/>
        <v>45173</v>
      </c>
      <c r="J107" s="1" t="s">
        <v>114</v>
      </c>
      <c r="K107" s="8">
        <f t="shared" si="5"/>
        <v>45275</v>
      </c>
      <c r="L107" s="1">
        <v>350</v>
      </c>
      <c r="M107" s="1">
        <f>Table1[[#This Row],[quantity'[wastes']]]*1000</f>
        <v>350000</v>
      </c>
      <c r="N107" s="1">
        <f>Table1[[#This Row],[Tonnes_quantity]]/25</f>
        <v>14000</v>
      </c>
      <c r="O107" s="1">
        <v>14</v>
      </c>
      <c r="P107" s="1">
        <v>2023</v>
      </c>
      <c r="Q107" s="1" t="s">
        <v>46</v>
      </c>
    </row>
    <row r="108" spans="1:17" ht="16" x14ac:dyDescent="0.25">
      <c r="A108" s="1" t="s">
        <v>18</v>
      </c>
      <c r="B108" s="1" t="s">
        <v>18</v>
      </c>
      <c r="C108" s="1">
        <v>150102</v>
      </c>
      <c r="D108" s="1" t="s">
        <v>66</v>
      </c>
      <c r="E108" s="1" t="s">
        <v>44</v>
      </c>
      <c r="F108" s="1" t="s">
        <v>44</v>
      </c>
      <c r="G108" s="1" t="s">
        <v>44</v>
      </c>
      <c r="H108" s="1" t="s">
        <v>116</v>
      </c>
      <c r="I108" s="7">
        <f t="shared" si="3"/>
        <v>45036</v>
      </c>
      <c r="J108" s="3">
        <v>45025</v>
      </c>
      <c r="K108" s="8">
        <f t="shared" si="5"/>
        <v>45173</v>
      </c>
      <c r="L108" s="1">
        <v>355</v>
      </c>
      <c r="M108" s="1">
        <f>Table1[[#This Row],[quantity'[wastes']]]*1000</f>
        <v>355000</v>
      </c>
      <c r="N108" s="1">
        <f>Table1[[#This Row],[Tonnes_quantity]]/25</f>
        <v>14200</v>
      </c>
      <c r="O108" s="1">
        <v>14.2</v>
      </c>
      <c r="P108" s="1">
        <v>2023</v>
      </c>
      <c r="Q108" s="1" t="s">
        <v>46</v>
      </c>
    </row>
    <row r="109" spans="1:17" ht="16" x14ac:dyDescent="0.25">
      <c r="A109" s="1" t="s">
        <v>18</v>
      </c>
      <c r="B109" s="1" t="s">
        <v>18</v>
      </c>
      <c r="C109" s="1">
        <v>150102</v>
      </c>
      <c r="D109" s="1" t="s">
        <v>66</v>
      </c>
      <c r="E109" s="1" t="s">
        <v>44</v>
      </c>
      <c r="F109" s="1" t="s">
        <v>44</v>
      </c>
      <c r="G109" s="1" t="s">
        <v>44</v>
      </c>
      <c r="H109" s="3">
        <v>44562</v>
      </c>
      <c r="I109" s="7">
        <f t="shared" si="3"/>
        <v>44562</v>
      </c>
      <c r="J109" s="1" t="s">
        <v>51</v>
      </c>
      <c r="K109" s="8">
        <f t="shared" si="5"/>
        <v>44926</v>
      </c>
      <c r="L109" s="1">
        <v>380</v>
      </c>
      <c r="M109" s="1">
        <f>Table1[[#This Row],[quantity'[wastes']]]*1000</f>
        <v>380000</v>
      </c>
      <c r="N109" s="1">
        <f>Table1[[#This Row],[Tonnes_quantity]]/25</f>
        <v>15200</v>
      </c>
      <c r="O109" s="1">
        <v>15.2</v>
      </c>
      <c r="P109" s="1">
        <v>2022</v>
      </c>
      <c r="Q109" s="1" t="s">
        <v>46</v>
      </c>
    </row>
    <row r="110" spans="1:17" ht="16" x14ac:dyDescent="0.25">
      <c r="A110" s="1" t="s">
        <v>18</v>
      </c>
      <c r="B110" s="1" t="s">
        <v>18</v>
      </c>
      <c r="C110" s="1">
        <v>150103</v>
      </c>
      <c r="D110" s="1" t="s">
        <v>100</v>
      </c>
      <c r="E110" s="1" t="s">
        <v>44</v>
      </c>
      <c r="F110" s="1" t="s">
        <v>44</v>
      </c>
      <c r="G110" s="1" t="s">
        <v>44</v>
      </c>
      <c r="H110" s="1" t="s">
        <v>117</v>
      </c>
      <c r="I110" s="7">
        <f t="shared" si="3"/>
        <v>45005</v>
      </c>
      <c r="J110" s="3">
        <v>45025</v>
      </c>
      <c r="K110" s="8">
        <f t="shared" si="5"/>
        <v>45173</v>
      </c>
      <c r="L110" s="1">
        <v>400</v>
      </c>
      <c r="M110" s="1">
        <f>Table1[[#This Row],[quantity'[wastes']]]*1000</f>
        <v>400000</v>
      </c>
      <c r="N110" s="1">
        <f>Table1[[#This Row],[Tonnes_quantity]]/25</f>
        <v>16000</v>
      </c>
      <c r="O110" s="1">
        <v>16</v>
      </c>
      <c r="P110" s="1">
        <v>2023</v>
      </c>
      <c r="Q110" s="1" t="s">
        <v>46</v>
      </c>
    </row>
    <row r="111" spans="1:17" ht="16" x14ac:dyDescent="0.25">
      <c r="A111" s="1" t="s">
        <v>18</v>
      </c>
      <c r="B111" s="1" t="s">
        <v>18</v>
      </c>
      <c r="C111" s="1" t="s">
        <v>118</v>
      </c>
      <c r="D111" s="1" t="s">
        <v>119</v>
      </c>
      <c r="E111" s="1" t="s">
        <v>44</v>
      </c>
      <c r="F111" s="1" t="s">
        <v>44</v>
      </c>
      <c r="G111" s="1" t="s">
        <v>44</v>
      </c>
      <c r="H111" s="3">
        <v>44562</v>
      </c>
      <c r="I111" s="7">
        <f t="shared" si="3"/>
        <v>44562</v>
      </c>
      <c r="J111" s="1" t="s">
        <v>51</v>
      </c>
      <c r="K111" s="8">
        <f t="shared" si="5"/>
        <v>44926</v>
      </c>
      <c r="L111" s="1">
        <v>425</v>
      </c>
      <c r="M111" s="1">
        <f>Table1[[#This Row],[quantity'[wastes']]]*1000</f>
        <v>425000</v>
      </c>
      <c r="N111" s="1">
        <f>Table1[[#This Row],[Tonnes_quantity]]/25</f>
        <v>17000</v>
      </c>
      <c r="O111" s="1">
        <v>17</v>
      </c>
      <c r="P111" s="1">
        <v>2022</v>
      </c>
      <c r="Q111" s="1" t="s">
        <v>52</v>
      </c>
    </row>
    <row r="112" spans="1:17" ht="16" x14ac:dyDescent="0.25">
      <c r="A112" s="1" t="s">
        <v>18</v>
      </c>
      <c r="B112" s="1" t="s">
        <v>18</v>
      </c>
      <c r="C112" s="1">
        <v>150103</v>
      </c>
      <c r="D112" s="1" t="s">
        <v>100</v>
      </c>
      <c r="E112" s="1" t="s">
        <v>44</v>
      </c>
      <c r="F112" s="1" t="s">
        <v>44</v>
      </c>
      <c r="G112" s="1" t="s">
        <v>44</v>
      </c>
      <c r="H112" s="3">
        <v>45025</v>
      </c>
      <c r="I112" s="7">
        <f t="shared" si="3"/>
        <v>45173</v>
      </c>
      <c r="J112" s="1" t="s">
        <v>114</v>
      </c>
      <c r="K112" s="8">
        <f t="shared" si="5"/>
        <v>45275</v>
      </c>
      <c r="L112" s="1">
        <v>440</v>
      </c>
      <c r="M112" s="1">
        <f>Table1[[#This Row],[quantity'[wastes']]]*1000</f>
        <v>440000</v>
      </c>
      <c r="N112" s="1">
        <f>Table1[[#This Row],[Tonnes_quantity]]/25</f>
        <v>17600</v>
      </c>
      <c r="O112" s="1">
        <v>17.600000000000001</v>
      </c>
      <c r="P112" s="1">
        <v>2023</v>
      </c>
      <c r="Q112" s="1" t="s">
        <v>46</v>
      </c>
    </row>
    <row r="113" spans="1:17" ht="16" x14ac:dyDescent="0.25">
      <c r="A113" s="1" t="s">
        <v>18</v>
      </c>
      <c r="B113" s="1" t="s">
        <v>18</v>
      </c>
      <c r="C113" s="1" t="s">
        <v>118</v>
      </c>
      <c r="D113" s="1" t="s">
        <v>119</v>
      </c>
      <c r="E113" s="1" t="s">
        <v>44</v>
      </c>
      <c r="F113" s="1" t="s">
        <v>44</v>
      </c>
      <c r="G113" s="1" t="s">
        <v>44</v>
      </c>
      <c r="H113" s="3">
        <v>44937</v>
      </c>
      <c r="I113" s="7">
        <f t="shared" si="3"/>
        <v>45231</v>
      </c>
      <c r="J113" s="1" t="s">
        <v>114</v>
      </c>
      <c r="K113" s="8">
        <f t="shared" si="5"/>
        <v>45275</v>
      </c>
      <c r="L113" s="1">
        <v>500</v>
      </c>
      <c r="M113" s="1">
        <f>Table1[[#This Row],[quantity'[wastes']]]*1000</f>
        <v>500000</v>
      </c>
      <c r="N113" s="1">
        <f>Table1[[#This Row],[Tonnes_quantity]]/25</f>
        <v>20000</v>
      </c>
      <c r="O113" s="1">
        <v>20</v>
      </c>
      <c r="P113" s="1">
        <v>2023</v>
      </c>
      <c r="Q113" s="1" t="s">
        <v>52</v>
      </c>
    </row>
    <row r="114" spans="1:17" ht="16" x14ac:dyDescent="0.25">
      <c r="A114" s="1" t="s">
        <v>18</v>
      </c>
      <c r="B114" s="1" t="s">
        <v>18</v>
      </c>
      <c r="C114" s="1">
        <v>160214</v>
      </c>
      <c r="D114" s="1" t="s">
        <v>70</v>
      </c>
      <c r="E114" s="1" t="s">
        <v>44</v>
      </c>
      <c r="F114" s="1" t="s">
        <v>44</v>
      </c>
      <c r="G114" s="1" t="s">
        <v>44</v>
      </c>
      <c r="H114" s="3">
        <v>44989</v>
      </c>
      <c r="I114" s="7">
        <f t="shared" si="3"/>
        <v>45019</v>
      </c>
      <c r="J114" s="3">
        <v>45020</v>
      </c>
      <c r="K114" s="8">
        <f t="shared" si="5"/>
        <v>45020</v>
      </c>
      <c r="L114" s="1">
        <v>600</v>
      </c>
      <c r="M114" s="1">
        <f>Table1[[#This Row],[quantity'[wastes']]]*1000</f>
        <v>600000</v>
      </c>
      <c r="N114" s="1">
        <f>Table1[[#This Row],[Tonnes_quantity]]/25</f>
        <v>24000</v>
      </c>
      <c r="O114" s="1">
        <v>24</v>
      </c>
      <c r="P114" s="1">
        <v>2023</v>
      </c>
      <c r="Q114" s="1" t="s">
        <v>46</v>
      </c>
    </row>
    <row r="115" spans="1:17" ht="16" x14ac:dyDescent="0.25">
      <c r="A115" s="1" t="s">
        <v>18</v>
      </c>
      <c r="B115" s="1" t="s">
        <v>18</v>
      </c>
      <c r="C115" s="1">
        <v>150103</v>
      </c>
      <c r="D115" s="1" t="s">
        <v>100</v>
      </c>
      <c r="E115" s="1" t="s">
        <v>44</v>
      </c>
      <c r="F115" s="1" t="s">
        <v>44</v>
      </c>
      <c r="G115" s="1" t="s">
        <v>44</v>
      </c>
      <c r="H115" s="3">
        <v>44562</v>
      </c>
      <c r="I115" s="7">
        <f t="shared" si="3"/>
        <v>44562</v>
      </c>
      <c r="J115" s="1" t="s">
        <v>51</v>
      </c>
      <c r="K115" s="8">
        <f t="shared" si="5"/>
        <v>44926</v>
      </c>
      <c r="L115" s="1">
        <v>780</v>
      </c>
      <c r="M115" s="1">
        <f>Table1[[#This Row],[quantity'[wastes']]]*1000</f>
        <v>780000</v>
      </c>
      <c r="N115" s="1">
        <f>Table1[[#This Row],[Tonnes_quantity]]/25</f>
        <v>31200</v>
      </c>
      <c r="O115" s="1">
        <v>31.2</v>
      </c>
      <c r="P115" s="1">
        <v>2022</v>
      </c>
      <c r="Q115" s="1" t="s">
        <v>46</v>
      </c>
    </row>
    <row r="116" spans="1:17" ht="16" x14ac:dyDescent="0.25">
      <c r="A116" s="1" t="s">
        <v>18</v>
      </c>
      <c r="B116" s="1" t="s">
        <v>18</v>
      </c>
      <c r="C116" s="1">
        <v>160216</v>
      </c>
      <c r="D116" s="1" t="s">
        <v>115</v>
      </c>
      <c r="E116" s="1" t="s">
        <v>44</v>
      </c>
      <c r="F116" s="1" t="s">
        <v>44</v>
      </c>
      <c r="G116" s="1" t="s">
        <v>44</v>
      </c>
      <c r="H116" s="3">
        <v>45025</v>
      </c>
      <c r="I116" s="7">
        <f t="shared" si="3"/>
        <v>45173</v>
      </c>
      <c r="J116" s="1" t="s">
        <v>114</v>
      </c>
      <c r="K116" s="8">
        <f t="shared" si="5"/>
        <v>45275</v>
      </c>
      <c r="L116" s="1">
        <v>1641</v>
      </c>
      <c r="M116" s="1">
        <f>Table1[[#This Row],[quantity'[wastes']]]*1000</f>
        <v>1641000</v>
      </c>
      <c r="N116" s="1">
        <f>Table1[[#This Row],[Tonnes_quantity]]/25</f>
        <v>65640</v>
      </c>
      <c r="O116" s="1">
        <v>65.64</v>
      </c>
      <c r="P116" s="1">
        <v>2023</v>
      </c>
      <c r="Q116" s="1" t="s">
        <v>46</v>
      </c>
    </row>
    <row r="117" spans="1:17" ht="16" x14ac:dyDescent="0.25">
      <c r="A117" s="1" t="s">
        <v>18</v>
      </c>
      <c r="B117" s="1" t="s">
        <v>18</v>
      </c>
      <c r="C117" s="1">
        <v>150101</v>
      </c>
      <c r="D117" s="1" t="s">
        <v>76</v>
      </c>
      <c r="E117" s="1" t="s">
        <v>44</v>
      </c>
      <c r="F117" s="1" t="s">
        <v>44</v>
      </c>
      <c r="G117" s="1" t="s">
        <v>44</v>
      </c>
      <c r="H117" s="1" t="s">
        <v>120</v>
      </c>
      <c r="I117" s="7">
        <f t="shared" si="3"/>
        <v>45197</v>
      </c>
      <c r="J117" s="1" t="s">
        <v>114</v>
      </c>
      <c r="K117" s="8">
        <f t="shared" si="5"/>
        <v>45275</v>
      </c>
      <c r="L117" s="1">
        <v>4000</v>
      </c>
      <c r="M117" s="1">
        <f>Table1[[#This Row],[quantity'[wastes']]]*1000</f>
        <v>4000000</v>
      </c>
      <c r="N117" s="1">
        <f>Table1[[#This Row],[Tonnes_quantity]]/25</f>
        <v>160000</v>
      </c>
      <c r="O117" s="1">
        <v>160</v>
      </c>
      <c r="P117" s="1">
        <v>2023</v>
      </c>
      <c r="Q117" s="1" t="s">
        <v>46</v>
      </c>
    </row>
    <row r="118" spans="1:17" ht="16" x14ac:dyDescent="0.25">
      <c r="A118" s="1" t="s">
        <v>18</v>
      </c>
      <c r="B118" s="1" t="s">
        <v>18</v>
      </c>
      <c r="C118" s="1">
        <v>150106</v>
      </c>
      <c r="D118" s="1" t="s">
        <v>113</v>
      </c>
      <c r="E118" s="1" t="s">
        <v>44</v>
      </c>
      <c r="F118" s="1" t="s">
        <v>44</v>
      </c>
      <c r="G118" s="1" t="s">
        <v>44</v>
      </c>
      <c r="H118" s="3">
        <v>44929</v>
      </c>
      <c r="I118" s="7">
        <f t="shared" si="3"/>
        <v>44986</v>
      </c>
      <c r="J118" s="3">
        <v>45024</v>
      </c>
      <c r="K118" s="8">
        <f t="shared" si="5"/>
        <v>45142</v>
      </c>
      <c r="L118" s="1">
        <v>7290</v>
      </c>
      <c r="M118" s="1">
        <f>Table1[[#This Row],[quantity'[wastes']]]*1000</f>
        <v>7290000</v>
      </c>
      <c r="N118" s="1">
        <f>Table1[[#This Row],[Tonnes_quantity]]/25</f>
        <v>291600</v>
      </c>
      <c r="O118" s="1">
        <v>291.60000000000002</v>
      </c>
      <c r="P118" s="1">
        <v>2023</v>
      </c>
      <c r="Q118" s="1" t="s">
        <v>46</v>
      </c>
    </row>
    <row r="119" spans="1:17" ht="16" x14ac:dyDescent="0.25">
      <c r="A119" s="1" t="s">
        <v>18</v>
      </c>
      <c r="B119" s="1" t="s">
        <v>18</v>
      </c>
      <c r="C119" s="1">
        <v>150101</v>
      </c>
      <c r="D119" s="1" t="s">
        <v>76</v>
      </c>
      <c r="E119" s="1" t="s">
        <v>44</v>
      </c>
      <c r="F119" s="1" t="s">
        <v>44</v>
      </c>
      <c r="G119" s="1" t="s">
        <v>44</v>
      </c>
      <c r="H119" s="1" t="s">
        <v>121</v>
      </c>
      <c r="I119" s="7">
        <f t="shared" si="3"/>
        <v>44980</v>
      </c>
      <c r="J119" s="1" t="s">
        <v>122</v>
      </c>
      <c r="K119" s="8">
        <f t="shared" si="5"/>
        <v>45127</v>
      </c>
      <c r="L119" s="1">
        <v>8000</v>
      </c>
      <c r="M119" s="1">
        <f>Table1[[#This Row],[quantity'[wastes']]]*1000</f>
        <v>8000000</v>
      </c>
      <c r="N119" s="1">
        <f>Table1[[#This Row],[Tonnes_quantity]]/25</f>
        <v>320000</v>
      </c>
      <c r="O119" s="1">
        <v>320</v>
      </c>
      <c r="P119" s="1">
        <v>2023</v>
      </c>
      <c r="Q119" s="1" t="s">
        <v>46</v>
      </c>
    </row>
    <row r="120" spans="1:17" ht="16" x14ac:dyDescent="0.25">
      <c r="A120" s="1" t="s">
        <v>18</v>
      </c>
      <c r="B120" s="1" t="s">
        <v>18</v>
      </c>
      <c r="C120" s="1">
        <v>150106</v>
      </c>
      <c r="D120" s="1" t="s">
        <v>113</v>
      </c>
      <c r="E120" s="1" t="s">
        <v>44</v>
      </c>
      <c r="F120" s="1" t="s">
        <v>44</v>
      </c>
      <c r="G120" s="1" t="s">
        <v>44</v>
      </c>
      <c r="H120" s="3">
        <v>44562</v>
      </c>
      <c r="I120" s="7">
        <f t="shared" si="3"/>
        <v>44562</v>
      </c>
      <c r="J120" s="1" t="s">
        <v>51</v>
      </c>
      <c r="K120" s="8">
        <f t="shared" si="5"/>
        <v>44926</v>
      </c>
      <c r="L120" s="1">
        <v>8780</v>
      </c>
      <c r="M120" s="1">
        <f>Table1[[#This Row],[quantity'[wastes']]]*1000</f>
        <v>8780000</v>
      </c>
      <c r="N120" s="1">
        <f>Table1[[#This Row],[Tonnes_quantity]]/25</f>
        <v>351200</v>
      </c>
      <c r="O120" s="1">
        <v>351.2</v>
      </c>
      <c r="P120" s="1">
        <v>2022</v>
      </c>
      <c r="Q120" s="1" t="s">
        <v>46</v>
      </c>
    </row>
    <row r="121" spans="1:17" ht="16" x14ac:dyDescent="0.25">
      <c r="A121" s="1" t="s">
        <v>18</v>
      </c>
      <c r="B121" s="1" t="s">
        <v>18</v>
      </c>
      <c r="C121" s="1">
        <v>150106</v>
      </c>
      <c r="D121" s="1" t="s">
        <v>113</v>
      </c>
      <c r="E121" s="1" t="s">
        <v>44</v>
      </c>
      <c r="F121" s="1" t="s">
        <v>44</v>
      </c>
      <c r="G121" s="1" t="s">
        <v>44</v>
      </c>
      <c r="H121" s="3">
        <v>45200</v>
      </c>
      <c r="I121" s="7">
        <f t="shared" si="3"/>
        <v>44936</v>
      </c>
      <c r="J121" s="1" t="s">
        <v>123</v>
      </c>
      <c r="K121" s="8">
        <f t="shared" si="5"/>
        <v>44939</v>
      </c>
      <c r="L121" s="1">
        <v>10350</v>
      </c>
      <c r="M121" s="1">
        <f>Table1[[#This Row],[quantity'[wastes']]]*1000</f>
        <v>10350000</v>
      </c>
      <c r="N121" s="1">
        <f>Table1[[#This Row],[Tonnes_quantity]]/25</f>
        <v>414000</v>
      </c>
      <c r="O121" s="1">
        <v>414</v>
      </c>
      <c r="P121" s="1">
        <v>2023</v>
      </c>
      <c r="Q121" s="1" t="s">
        <v>46</v>
      </c>
    </row>
    <row r="122" spans="1:17" ht="16" x14ac:dyDescent="0.25">
      <c r="A122" s="1" t="s">
        <v>18</v>
      </c>
      <c r="B122" s="1" t="s">
        <v>18</v>
      </c>
      <c r="C122" s="1">
        <v>150101</v>
      </c>
      <c r="D122" s="1" t="s">
        <v>76</v>
      </c>
      <c r="E122" s="1" t="s">
        <v>44</v>
      </c>
      <c r="F122" s="1" t="s">
        <v>44</v>
      </c>
      <c r="G122" s="1" t="s">
        <v>44</v>
      </c>
      <c r="H122" s="3">
        <v>44562</v>
      </c>
      <c r="I122" s="7">
        <f t="shared" si="3"/>
        <v>44562</v>
      </c>
      <c r="J122" s="1" t="s">
        <v>51</v>
      </c>
      <c r="K122" s="8">
        <f t="shared" si="5"/>
        <v>44926</v>
      </c>
      <c r="L122" s="1">
        <v>11240</v>
      </c>
      <c r="M122" s="1">
        <f>Table1[[#This Row],[quantity'[wastes']]]*1000</f>
        <v>11240000</v>
      </c>
      <c r="N122" s="1">
        <f>Table1[[#This Row],[Tonnes_quantity]]/25</f>
        <v>449600</v>
      </c>
      <c r="O122" s="1">
        <v>449.6</v>
      </c>
      <c r="P122" s="1">
        <v>2022</v>
      </c>
      <c r="Q122" s="1" t="s">
        <v>46</v>
      </c>
    </row>
    <row r="123" spans="1:17" ht="16" x14ac:dyDescent="0.25">
      <c r="A123" s="1" t="s">
        <v>18</v>
      </c>
      <c r="B123" s="1" t="s">
        <v>18</v>
      </c>
      <c r="C123" s="1">
        <v>160216</v>
      </c>
      <c r="D123" s="1" t="s">
        <v>115</v>
      </c>
      <c r="E123" s="1" t="s">
        <v>44</v>
      </c>
      <c r="F123" s="1" t="s">
        <v>44</v>
      </c>
      <c r="G123" s="1" t="s">
        <v>44</v>
      </c>
      <c r="H123" s="3">
        <v>44562</v>
      </c>
      <c r="I123" s="7">
        <f t="shared" si="3"/>
        <v>44562</v>
      </c>
      <c r="J123" s="1" t="s">
        <v>51</v>
      </c>
      <c r="K123" s="8">
        <f t="shared" si="5"/>
        <v>44926</v>
      </c>
      <c r="L123" s="1">
        <v>13516</v>
      </c>
      <c r="M123" s="1">
        <f>Table1[[#This Row],[quantity'[wastes']]]*1000</f>
        <v>13516000</v>
      </c>
      <c r="N123" s="1">
        <f>Table1[[#This Row],[Tonnes_quantity]]/25</f>
        <v>540640</v>
      </c>
      <c r="O123" s="1">
        <v>540.64</v>
      </c>
      <c r="P123" s="1">
        <v>2022</v>
      </c>
      <c r="Q123" s="1" t="s">
        <v>46</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436"/>
  <sheetViews>
    <sheetView workbookViewId="0">
      <pane ySplit="1" topLeftCell="A411" activePane="bottomLeft" state="frozen"/>
      <selection pane="bottomLeft" activeCell="J413" sqref="J413:J424"/>
    </sheetView>
  </sheetViews>
  <sheetFormatPr defaultColWidth="12.6328125" defaultRowHeight="15.75" customHeight="1" x14ac:dyDescent="0.25"/>
  <cols>
    <col min="1" max="1" width="16.26953125" customWidth="1"/>
    <col min="4" max="5" width="12.6328125" hidden="1" customWidth="1"/>
    <col min="6" max="6" width="12.6328125" style="6"/>
    <col min="7" max="7" width="13.54296875" customWidth="1"/>
    <col min="8" max="8" width="12.6328125" style="6"/>
    <col min="9" max="9" width="13" customWidth="1"/>
    <col min="10" max="10" width="23.453125" customWidth="1"/>
    <col min="11" max="11" width="20.90625" customWidth="1"/>
    <col min="12" max="12" width="25" style="11" hidden="1" customWidth="1"/>
    <col min="14" max="14" width="0" hidden="1" customWidth="1"/>
  </cols>
  <sheetData>
    <row r="1" spans="1:14" ht="15.75" customHeight="1" x14ac:dyDescent="0.25">
      <c r="A1" s="1" t="s">
        <v>30</v>
      </c>
      <c r="B1" s="1" t="s">
        <v>31</v>
      </c>
      <c r="C1" s="1" t="s">
        <v>226</v>
      </c>
      <c r="D1" s="1" t="s">
        <v>227</v>
      </c>
      <c r="E1" s="1" t="s">
        <v>124</v>
      </c>
      <c r="F1" s="8" t="s">
        <v>224</v>
      </c>
      <c r="G1" s="1" t="s">
        <v>125</v>
      </c>
      <c r="H1" s="8" t="s">
        <v>225</v>
      </c>
      <c r="I1" s="1" t="s">
        <v>126</v>
      </c>
      <c r="J1" s="1" t="s">
        <v>229</v>
      </c>
      <c r="K1" s="1" t="s">
        <v>231</v>
      </c>
      <c r="L1" s="1" t="s">
        <v>228</v>
      </c>
      <c r="M1" s="10" t="s">
        <v>230</v>
      </c>
      <c r="N1" s="1" t="s">
        <v>40</v>
      </c>
    </row>
    <row r="2" spans="1:14" ht="15.75" hidden="1" customHeight="1" x14ac:dyDescent="0.25">
      <c r="A2" s="1" t="s">
        <v>8</v>
      </c>
      <c r="B2" s="1" t="s">
        <v>127</v>
      </c>
      <c r="C2" s="9" t="str">
        <f>IF(OR(Table2[[#This Row],[units]]="litre_(l)", Table2[[#This Row],[units]]="gallon_(gal)", Table2[[#This Row],[units]]="cubic_metre_(m3)"), "water", Table2[[#This Row],[type2]])</f>
        <v>electricity</v>
      </c>
      <c r="D2" s="1" t="s">
        <v>128</v>
      </c>
      <c r="E2" s="3">
        <v>44562</v>
      </c>
      <c r="F2" s="8">
        <f t="shared" ref="F2:F65" si="0">DATE(RIGHT(TEXT(E2,"dd-mm-yyyy"),4), LEFT(TEXT(E2,"dd-mm-yyyy"),2),MID(TEXT(E2,"dd-mm-yyyy"),4,2))</f>
        <v>44562</v>
      </c>
      <c r="G2" s="1" t="s">
        <v>51</v>
      </c>
      <c r="H2" s="8">
        <f t="shared" ref="H2:H65" si="1">DATE(RIGHT(TEXT(G2,"dd-mm-yyyy"),4), LEFT(TEXT(G2,"dd-mm-yyyy"),2),MID(TEXT(G2,"dd-mm-yyyy"),4,2))</f>
        <v>44926</v>
      </c>
      <c r="I2" s="4">
        <v>114258</v>
      </c>
      <c r="J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114258</v>
      </c>
      <c r="K2" s="4" t="str">
        <f>IF(Table2[[#This Row],[Type]]="electricity", "kilowatt_hour_(kwh)",
IF(Table2[[#This Row],[Type]]="water", "cubic_metre_(m3)",
IF(Table2[[#This Row],[Type]]="heat", "therm_(thm)",
"NA")))</f>
        <v>kilowatt_hour_(kwh)</v>
      </c>
      <c r="L2" s="1" t="s">
        <v>129</v>
      </c>
      <c r="M2" s="10">
        <f>IF(Table2[[#This Row],[Type]]="electricity", Table2[[#This Row],[Quantity_correct]]/6.6667,
IF(Table2[[#This Row],[Type]]="water", Table2[[#This Row],[Quantity_correct]]/3.333,
IF(Table2[[#This Row],[Type]]="heat", Table2[[#This Row],[Quantity_correct]]/0.8333,
"NA")))</f>
        <v>17138.614306928466</v>
      </c>
      <c r="N2" s="1">
        <v>17138.7</v>
      </c>
    </row>
    <row r="3" spans="1:14" ht="15.75" hidden="1" customHeight="1" x14ac:dyDescent="0.25">
      <c r="A3" s="1" t="s">
        <v>8</v>
      </c>
      <c r="B3" s="1" t="s">
        <v>127</v>
      </c>
      <c r="C3" s="1" t="str">
        <f>IF(OR(Table2[[#This Row],[units]]="litre_(l)", Table2[[#This Row],[units]]="gallon_(gal)", Table2[[#This Row],[units]]="cubic_metre_(m3)"), "water", Table2[[#This Row],[type2]])</f>
        <v>electricity</v>
      </c>
      <c r="D3" s="1" t="s">
        <v>128</v>
      </c>
      <c r="E3" s="1" t="s">
        <v>51</v>
      </c>
      <c r="F3" s="8">
        <f t="shared" si="0"/>
        <v>44926</v>
      </c>
      <c r="G3" s="1" t="s">
        <v>68</v>
      </c>
      <c r="H3" s="8">
        <f t="shared" si="1"/>
        <v>44957</v>
      </c>
      <c r="I3" s="4">
        <v>12013</v>
      </c>
      <c r="J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12013</v>
      </c>
      <c r="K3" s="4" t="str">
        <f>IF(Table2[[#This Row],[Type]]="electricity", "kilowatt_hour_(kwh)",
IF(Table2[[#This Row],[Type]]="water", "cubic_metre_(m3)",
IF(Table2[[#This Row],[Type]]="heat", "therm_(thm)",
"NA")))</f>
        <v>kilowatt_hour_(kwh)</v>
      </c>
      <c r="L3" s="1" t="s">
        <v>129</v>
      </c>
      <c r="M3" s="10">
        <f>IF(Table2[[#This Row],[Type]]="electricity", Table2[[#This Row],[Quantity_correct]]/6.6667,
IF(Table2[[#This Row],[Type]]="water", Table2[[#This Row],[Quantity_correct]]/3.333,
IF(Table2[[#This Row],[Type]]="heat", Table2[[#This Row],[Quantity_correct]]/0.8333,
"NA")))</f>
        <v>1801.9409902950486</v>
      </c>
      <c r="N3" s="1">
        <v>1801.95</v>
      </c>
    </row>
    <row r="4" spans="1:14" ht="15.75" hidden="1" customHeight="1" x14ac:dyDescent="0.25">
      <c r="A4" s="1" t="s">
        <v>8</v>
      </c>
      <c r="B4" s="1" t="s">
        <v>127</v>
      </c>
      <c r="C4" s="1" t="str">
        <f>IF(OR(Table2[[#This Row],[units]]="litre_(l)", Table2[[#This Row],[units]]="gallon_(gal)", Table2[[#This Row],[units]]="cubic_metre_(m3)"), "water", Table2[[#This Row],[type2]])</f>
        <v>electricity</v>
      </c>
      <c r="D4" s="1" t="s">
        <v>128</v>
      </c>
      <c r="E4" s="1" t="s">
        <v>68</v>
      </c>
      <c r="F4" s="8">
        <f t="shared" si="0"/>
        <v>44957</v>
      </c>
      <c r="G4" s="1" t="s">
        <v>65</v>
      </c>
      <c r="H4" s="8">
        <f t="shared" si="1"/>
        <v>44985</v>
      </c>
      <c r="I4" s="4">
        <v>11284</v>
      </c>
      <c r="J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11284</v>
      </c>
      <c r="K4" s="4" t="str">
        <f>IF(Table2[[#This Row],[Type]]="electricity", "kilowatt_hour_(kwh)",
IF(Table2[[#This Row],[Type]]="water", "cubic_metre_(m3)",
IF(Table2[[#This Row],[Type]]="heat", "therm_(thm)",
"NA")))</f>
        <v>kilowatt_hour_(kwh)</v>
      </c>
      <c r="L4" s="1" t="s">
        <v>129</v>
      </c>
      <c r="M4" s="10">
        <f>IF(Table2[[#This Row],[Type]]="electricity", Table2[[#This Row],[Quantity_correct]]/6.6667,
IF(Table2[[#This Row],[Type]]="water", Table2[[#This Row],[Quantity_correct]]/3.333,
IF(Table2[[#This Row],[Type]]="heat", Table2[[#This Row],[Quantity_correct]]/0.8333,
"NA")))</f>
        <v>1692.5915370423149</v>
      </c>
      <c r="N4" s="1">
        <v>1692.6</v>
      </c>
    </row>
    <row r="5" spans="1:14" ht="15.75" hidden="1" customHeight="1" x14ac:dyDescent="0.25">
      <c r="A5" s="1" t="s">
        <v>8</v>
      </c>
      <c r="B5" s="1" t="s">
        <v>127</v>
      </c>
      <c r="C5" s="1" t="str">
        <f>IF(OR(Table2[[#This Row],[units]]="litre_(l)", Table2[[#This Row],[units]]="gallon_(gal)", Table2[[#This Row],[units]]="cubic_metre_(m3)"), "water", Table2[[#This Row],[type2]])</f>
        <v>electricity</v>
      </c>
      <c r="D5" s="1" t="s">
        <v>128</v>
      </c>
      <c r="E5" s="1" t="s">
        <v>65</v>
      </c>
      <c r="F5" s="8">
        <f t="shared" si="0"/>
        <v>44985</v>
      </c>
      <c r="G5" s="1" t="s">
        <v>74</v>
      </c>
      <c r="H5" s="8">
        <f t="shared" si="1"/>
        <v>45016</v>
      </c>
      <c r="I5" s="4">
        <v>7792</v>
      </c>
      <c r="J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7792</v>
      </c>
      <c r="K5" s="4" t="str">
        <f>IF(Table2[[#This Row],[Type]]="electricity", "kilowatt_hour_(kwh)",
IF(Table2[[#This Row],[Type]]="water", "cubic_metre_(m3)",
IF(Table2[[#This Row],[Type]]="heat", "therm_(thm)",
"NA")))</f>
        <v>kilowatt_hour_(kwh)</v>
      </c>
      <c r="L5" s="1" t="s">
        <v>129</v>
      </c>
      <c r="M5" s="10">
        <f>IF(Table2[[#This Row],[Type]]="electricity", Table2[[#This Row],[Quantity_correct]]/6.6667,
IF(Table2[[#This Row],[Type]]="water", Table2[[#This Row],[Quantity_correct]]/3.333,
IF(Table2[[#This Row],[Type]]="heat", Table2[[#This Row],[Quantity_correct]]/0.8333,
"NA")))</f>
        <v>1168.7941560292199</v>
      </c>
      <c r="N5" s="1">
        <v>1168.8</v>
      </c>
    </row>
    <row r="6" spans="1:14" ht="15.75" hidden="1" customHeight="1" x14ac:dyDescent="0.25">
      <c r="A6" s="1" t="s">
        <v>8</v>
      </c>
      <c r="B6" s="1" t="s">
        <v>127</v>
      </c>
      <c r="C6" s="1" t="str">
        <f>IF(OR(Table2[[#This Row],[units]]="litre_(l)", Table2[[#This Row],[units]]="gallon_(gal)", Table2[[#This Row],[units]]="cubic_metre_(m3)"), "water", Table2[[#This Row],[type2]])</f>
        <v>electricity</v>
      </c>
      <c r="D6" s="1" t="s">
        <v>128</v>
      </c>
      <c r="E6" s="1" t="s">
        <v>74</v>
      </c>
      <c r="F6" s="8">
        <f t="shared" si="0"/>
        <v>45016</v>
      </c>
      <c r="G6" s="1" t="s">
        <v>103</v>
      </c>
      <c r="H6" s="8">
        <f t="shared" si="1"/>
        <v>45046</v>
      </c>
      <c r="I6" s="4">
        <v>5295</v>
      </c>
      <c r="J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5295</v>
      </c>
      <c r="K6" s="4" t="str">
        <f>IF(Table2[[#This Row],[Type]]="electricity", "kilowatt_hour_(kwh)",
IF(Table2[[#This Row],[Type]]="water", "cubic_metre_(m3)",
IF(Table2[[#This Row],[Type]]="heat", "therm_(thm)",
"NA")))</f>
        <v>kilowatt_hour_(kwh)</v>
      </c>
      <c r="L6" s="1" t="s">
        <v>129</v>
      </c>
      <c r="M6" s="10">
        <f>IF(Table2[[#This Row],[Type]]="electricity", Table2[[#This Row],[Quantity_correct]]/6.6667,
IF(Table2[[#This Row],[Type]]="water", Table2[[#This Row],[Quantity_correct]]/3.333,
IF(Table2[[#This Row],[Type]]="heat", Table2[[#This Row],[Quantity_correct]]/0.8333,
"NA")))</f>
        <v>794.24602876985614</v>
      </c>
      <c r="N6" s="1">
        <v>794.25</v>
      </c>
    </row>
    <row r="7" spans="1:14" ht="15.75" hidden="1" customHeight="1" x14ac:dyDescent="0.25">
      <c r="A7" s="1" t="s">
        <v>8</v>
      </c>
      <c r="B7" s="1" t="s">
        <v>127</v>
      </c>
      <c r="C7" s="1" t="str">
        <f>IF(OR(Table2[[#This Row],[units]]="litre_(l)", Table2[[#This Row],[units]]="gallon_(gal)", Table2[[#This Row],[units]]="cubic_metre_(m3)"), "water", Table2[[#This Row],[type2]])</f>
        <v>electricity</v>
      </c>
      <c r="D7" s="1" t="s">
        <v>128</v>
      </c>
      <c r="E7" s="1" t="s">
        <v>103</v>
      </c>
      <c r="F7" s="8">
        <f t="shared" si="0"/>
        <v>45046</v>
      </c>
      <c r="G7" s="1" t="s">
        <v>73</v>
      </c>
      <c r="H7" s="8">
        <f t="shared" si="1"/>
        <v>45077</v>
      </c>
      <c r="I7" s="4">
        <v>6773</v>
      </c>
      <c r="J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6773</v>
      </c>
      <c r="K7" s="4" t="str">
        <f>IF(Table2[[#This Row],[Type]]="electricity", "kilowatt_hour_(kwh)",
IF(Table2[[#This Row],[Type]]="water", "cubic_metre_(m3)",
IF(Table2[[#This Row],[Type]]="heat", "therm_(thm)",
"NA")))</f>
        <v>kilowatt_hour_(kwh)</v>
      </c>
      <c r="L7" s="1" t="s">
        <v>129</v>
      </c>
      <c r="M7" s="10">
        <f>IF(Table2[[#This Row],[Type]]="electricity", Table2[[#This Row],[Quantity_correct]]/6.6667,
IF(Table2[[#This Row],[Type]]="water", Table2[[#This Row],[Quantity_correct]]/3.333,
IF(Table2[[#This Row],[Type]]="heat", Table2[[#This Row],[Quantity_correct]]/0.8333,
"NA")))</f>
        <v>1015.9449202753987</v>
      </c>
      <c r="N7" s="1">
        <v>1015.95</v>
      </c>
    </row>
    <row r="8" spans="1:14" ht="15.75" hidden="1" customHeight="1" x14ac:dyDescent="0.25">
      <c r="A8" s="1" t="s">
        <v>8</v>
      </c>
      <c r="B8" s="1" t="s">
        <v>127</v>
      </c>
      <c r="C8" s="1" t="str">
        <f>IF(OR(Table2[[#This Row],[units]]="litre_(l)", Table2[[#This Row],[units]]="gallon_(gal)", Table2[[#This Row],[units]]="cubic_metre_(m3)"), "water", Table2[[#This Row],[type2]])</f>
        <v>electricity</v>
      </c>
      <c r="D8" s="1" t="s">
        <v>128</v>
      </c>
      <c r="E8" s="1" t="s">
        <v>73</v>
      </c>
      <c r="F8" s="8">
        <f t="shared" si="0"/>
        <v>45077</v>
      </c>
      <c r="G8" s="1" t="s">
        <v>69</v>
      </c>
      <c r="H8" s="8">
        <f t="shared" si="1"/>
        <v>45107</v>
      </c>
      <c r="I8" s="4">
        <v>9555</v>
      </c>
      <c r="J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9555</v>
      </c>
      <c r="K8" s="4" t="str">
        <f>IF(Table2[[#This Row],[Type]]="electricity", "kilowatt_hour_(kwh)",
IF(Table2[[#This Row],[Type]]="water", "cubic_metre_(m3)",
IF(Table2[[#This Row],[Type]]="heat", "therm_(thm)",
"NA")))</f>
        <v>kilowatt_hour_(kwh)</v>
      </c>
      <c r="L8" s="1" t="s">
        <v>129</v>
      </c>
      <c r="M8" s="10">
        <f>IF(Table2[[#This Row],[Type]]="electricity", Table2[[#This Row],[Quantity_correct]]/6.6667,
IF(Table2[[#This Row],[Type]]="water", Table2[[#This Row],[Quantity_correct]]/3.333,
IF(Table2[[#This Row],[Type]]="heat", Table2[[#This Row],[Quantity_correct]]/0.8333,
"NA")))</f>
        <v>1433.2428337858312</v>
      </c>
      <c r="N8" s="1">
        <v>1433.25</v>
      </c>
    </row>
    <row r="9" spans="1:14" ht="15.75" hidden="1" customHeight="1" x14ac:dyDescent="0.25">
      <c r="A9" s="1" t="s">
        <v>8</v>
      </c>
      <c r="B9" s="1" t="s">
        <v>127</v>
      </c>
      <c r="C9" s="1" t="str">
        <f>IF(OR(Table2[[#This Row],[units]]="litre_(l)", Table2[[#This Row],[units]]="gallon_(gal)", Table2[[#This Row],[units]]="cubic_metre_(m3)"), "water", Table2[[#This Row],[type2]])</f>
        <v>electricity</v>
      </c>
      <c r="D9" s="1" t="s">
        <v>128</v>
      </c>
      <c r="E9" s="1" t="s">
        <v>69</v>
      </c>
      <c r="F9" s="8">
        <f t="shared" si="0"/>
        <v>45107</v>
      </c>
      <c r="G9" s="1" t="s">
        <v>71</v>
      </c>
      <c r="H9" s="8">
        <f t="shared" si="1"/>
        <v>45138</v>
      </c>
      <c r="I9" s="4">
        <v>11753</v>
      </c>
      <c r="J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11753</v>
      </c>
      <c r="K9" s="4" t="str">
        <f>IF(Table2[[#This Row],[Type]]="electricity", "kilowatt_hour_(kwh)",
IF(Table2[[#This Row],[Type]]="water", "cubic_metre_(m3)",
IF(Table2[[#This Row],[Type]]="heat", "therm_(thm)",
"NA")))</f>
        <v>kilowatt_hour_(kwh)</v>
      </c>
      <c r="L9" s="1" t="s">
        <v>129</v>
      </c>
      <c r="M9" s="10">
        <f>IF(Table2[[#This Row],[Type]]="electricity", Table2[[#This Row],[Quantity_correct]]/6.6667,
IF(Table2[[#This Row],[Type]]="water", Table2[[#This Row],[Quantity_correct]]/3.333,
IF(Table2[[#This Row],[Type]]="heat", Table2[[#This Row],[Quantity_correct]]/0.8333,
"NA")))</f>
        <v>1762.9411852940736</v>
      </c>
      <c r="N9" s="1">
        <v>1762.95</v>
      </c>
    </row>
    <row r="10" spans="1:14" ht="15.75" hidden="1" customHeight="1" x14ac:dyDescent="0.25">
      <c r="A10" s="1" t="s">
        <v>8</v>
      </c>
      <c r="B10" s="1" t="s">
        <v>127</v>
      </c>
      <c r="C10" s="1" t="str">
        <f>IF(OR(Table2[[#This Row],[units]]="litre_(l)", Table2[[#This Row],[units]]="gallon_(gal)", Table2[[#This Row],[units]]="cubic_metre_(m3)"), "water", Table2[[#This Row],[type2]])</f>
        <v>electricity</v>
      </c>
      <c r="D10" s="1" t="s">
        <v>128</v>
      </c>
      <c r="E10" s="3">
        <v>44934</v>
      </c>
      <c r="F10" s="8">
        <f t="shared" si="0"/>
        <v>45139</v>
      </c>
      <c r="G10" s="1" t="s">
        <v>72</v>
      </c>
      <c r="H10" s="8">
        <f t="shared" si="1"/>
        <v>45169</v>
      </c>
      <c r="I10" s="4">
        <v>11600</v>
      </c>
      <c r="J1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11600</v>
      </c>
      <c r="K10" s="4" t="str">
        <f>IF(Table2[[#This Row],[Type]]="electricity", "kilowatt_hour_(kwh)",
IF(Table2[[#This Row],[Type]]="water", "cubic_metre_(m3)",
IF(Table2[[#This Row],[Type]]="heat", "therm_(thm)",
"NA")))</f>
        <v>kilowatt_hour_(kwh)</v>
      </c>
      <c r="L10" s="1" t="s">
        <v>129</v>
      </c>
      <c r="M10" s="10">
        <f>IF(Table2[[#This Row],[Type]]="electricity", Table2[[#This Row],[Quantity_correct]]/6.6667,
IF(Table2[[#This Row],[Type]]="water", Table2[[#This Row],[Quantity_correct]]/3.333,
IF(Table2[[#This Row],[Type]]="heat", Table2[[#This Row],[Quantity_correct]]/0.8333,
"NA")))</f>
        <v>1739.9913000434999</v>
      </c>
      <c r="N10" s="1">
        <v>1740</v>
      </c>
    </row>
    <row r="11" spans="1:14" ht="15.75" hidden="1" customHeight="1" x14ac:dyDescent="0.25">
      <c r="A11" s="1" t="s">
        <v>8</v>
      </c>
      <c r="B11" s="1" t="s">
        <v>127</v>
      </c>
      <c r="C11" s="1" t="str">
        <f>IF(OR(Table2[[#This Row],[units]]="litre_(l)", Table2[[#This Row],[units]]="gallon_(gal)", Table2[[#This Row],[units]]="cubic_metre_(m3)"), "water", Table2[[#This Row],[type2]])</f>
        <v>electricity</v>
      </c>
      <c r="D11" s="1" t="s">
        <v>128</v>
      </c>
      <c r="E11" s="1" t="s">
        <v>72</v>
      </c>
      <c r="F11" s="8">
        <f t="shared" si="0"/>
        <v>45169</v>
      </c>
      <c r="G11" s="1" t="s">
        <v>67</v>
      </c>
      <c r="H11" s="8">
        <f t="shared" si="1"/>
        <v>45199</v>
      </c>
      <c r="I11" s="4">
        <v>9886</v>
      </c>
      <c r="J1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9886</v>
      </c>
      <c r="K11" s="4" t="str">
        <f>IF(Table2[[#This Row],[Type]]="electricity", "kilowatt_hour_(kwh)",
IF(Table2[[#This Row],[Type]]="water", "cubic_metre_(m3)",
IF(Table2[[#This Row],[Type]]="heat", "therm_(thm)",
"NA")))</f>
        <v>kilowatt_hour_(kwh)</v>
      </c>
      <c r="L11" s="1" t="s">
        <v>129</v>
      </c>
      <c r="M11" s="10">
        <f>IF(Table2[[#This Row],[Type]]="electricity", Table2[[#This Row],[Quantity_correct]]/6.6667,
IF(Table2[[#This Row],[Type]]="water", Table2[[#This Row],[Quantity_correct]]/3.333,
IF(Table2[[#This Row],[Type]]="heat", Table2[[#This Row],[Quantity_correct]]/0.8333,
"NA")))</f>
        <v>1482.8925855370724</v>
      </c>
      <c r="N11" s="1">
        <v>1482.9</v>
      </c>
    </row>
    <row r="12" spans="1:14" ht="15.75" hidden="1" customHeight="1" x14ac:dyDescent="0.25">
      <c r="A12" s="1" t="s">
        <v>8</v>
      </c>
      <c r="B12" s="1" t="s">
        <v>127</v>
      </c>
      <c r="C12" s="1" t="str">
        <f>IF(OR(Table2[[#This Row],[units]]="litre_(l)", Table2[[#This Row],[units]]="gallon_(gal)", Table2[[#This Row],[units]]="cubic_metre_(m3)"), "water", Table2[[#This Row],[type2]])</f>
        <v>electricity</v>
      </c>
      <c r="D12" s="1" t="s">
        <v>128</v>
      </c>
      <c r="E12" s="3">
        <v>44936</v>
      </c>
      <c r="F12" s="8">
        <f t="shared" si="0"/>
        <v>45200</v>
      </c>
      <c r="G12" s="1" t="s">
        <v>75</v>
      </c>
      <c r="H12" s="8">
        <f t="shared" si="1"/>
        <v>45230</v>
      </c>
      <c r="I12" s="4">
        <v>8168</v>
      </c>
      <c r="J1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8168</v>
      </c>
      <c r="K12" s="4" t="str">
        <f>IF(Table2[[#This Row],[Type]]="electricity", "kilowatt_hour_(kwh)",
IF(Table2[[#This Row],[Type]]="water", "cubic_metre_(m3)",
IF(Table2[[#This Row],[Type]]="heat", "therm_(thm)",
"NA")))</f>
        <v>kilowatt_hour_(kwh)</v>
      </c>
      <c r="L12" s="1" t="s">
        <v>129</v>
      </c>
      <c r="M12" s="10">
        <f>IF(Table2[[#This Row],[Type]]="electricity", Table2[[#This Row],[Quantity_correct]]/6.6667,
IF(Table2[[#This Row],[Type]]="water", Table2[[#This Row],[Quantity_correct]]/3.333,
IF(Table2[[#This Row],[Type]]="heat", Table2[[#This Row],[Quantity_correct]]/0.8333,
"NA")))</f>
        <v>1225.19387403063</v>
      </c>
      <c r="N12" s="1">
        <v>1225.2</v>
      </c>
    </row>
    <row r="13" spans="1:14" ht="15.75" hidden="1" customHeight="1" x14ac:dyDescent="0.25">
      <c r="A13" s="1" t="s">
        <v>8</v>
      </c>
      <c r="B13" s="1" t="s">
        <v>127</v>
      </c>
      <c r="C13" s="1" t="str">
        <f>IF(OR(Table2[[#This Row],[units]]="litre_(l)", Table2[[#This Row],[units]]="gallon_(gal)", Table2[[#This Row],[units]]="cubic_metre_(m3)"), "water", Table2[[#This Row],[type2]])</f>
        <v>electricity</v>
      </c>
      <c r="D13" s="1" t="s">
        <v>128</v>
      </c>
      <c r="E13" s="3">
        <v>44937</v>
      </c>
      <c r="F13" s="8">
        <f t="shared" si="0"/>
        <v>45231</v>
      </c>
      <c r="G13" s="1" t="s">
        <v>56</v>
      </c>
      <c r="H13" s="8">
        <f t="shared" si="1"/>
        <v>45260</v>
      </c>
      <c r="I13" s="4">
        <v>7867</v>
      </c>
      <c r="J1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7867</v>
      </c>
      <c r="K13" s="4" t="str">
        <f>IF(Table2[[#This Row],[Type]]="electricity", "kilowatt_hour_(kwh)",
IF(Table2[[#This Row],[Type]]="water", "cubic_metre_(m3)",
IF(Table2[[#This Row],[Type]]="heat", "therm_(thm)",
"NA")))</f>
        <v>kilowatt_hour_(kwh)</v>
      </c>
      <c r="L13" s="1" t="s">
        <v>129</v>
      </c>
      <c r="M13" s="10">
        <f>IF(Table2[[#This Row],[Type]]="electricity", Table2[[#This Row],[Quantity_correct]]/6.6667,
IF(Table2[[#This Row],[Type]]="water", Table2[[#This Row],[Quantity_correct]]/3.333,
IF(Table2[[#This Row],[Type]]="heat", Table2[[#This Row],[Quantity_correct]]/0.8333,
"NA")))</f>
        <v>1180.0440997795013</v>
      </c>
      <c r="N13" s="1">
        <v>1180.05</v>
      </c>
    </row>
    <row r="14" spans="1:14" ht="15.75" hidden="1" customHeight="1" x14ac:dyDescent="0.25">
      <c r="A14" s="1" t="s">
        <v>8</v>
      </c>
      <c r="B14" s="1" t="s">
        <v>127</v>
      </c>
      <c r="C14" s="1" t="str">
        <f>IF(OR(Table2[[#This Row],[units]]="litre_(l)", Table2[[#This Row],[units]]="gallon_(gal)", Table2[[#This Row],[units]]="cubic_metre_(m3)"), "water", Table2[[#This Row],[type2]])</f>
        <v>electricity</v>
      </c>
      <c r="D14" s="1" t="s">
        <v>128</v>
      </c>
      <c r="E14" s="3">
        <v>44938</v>
      </c>
      <c r="F14" s="8">
        <f t="shared" si="0"/>
        <v>45261</v>
      </c>
      <c r="G14" s="1" t="s">
        <v>45</v>
      </c>
      <c r="H14" s="8">
        <f t="shared" si="1"/>
        <v>45291</v>
      </c>
      <c r="I14" s="4">
        <v>9523</v>
      </c>
      <c r="J1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9523</v>
      </c>
      <c r="K14" s="4" t="str">
        <f>IF(Table2[[#This Row],[Type]]="electricity", "kilowatt_hour_(kwh)",
IF(Table2[[#This Row],[Type]]="water", "cubic_metre_(m3)",
IF(Table2[[#This Row],[Type]]="heat", "therm_(thm)",
"NA")))</f>
        <v>kilowatt_hour_(kwh)</v>
      </c>
      <c r="L14" s="1" t="s">
        <v>129</v>
      </c>
      <c r="M14" s="10">
        <f>IF(Table2[[#This Row],[Type]]="electricity", Table2[[#This Row],[Quantity_correct]]/6.6667,
IF(Table2[[#This Row],[Type]]="water", Table2[[#This Row],[Quantity_correct]]/3.333,
IF(Table2[[#This Row],[Type]]="heat", Table2[[#This Row],[Quantity_correct]]/0.8333,
"NA")))</f>
        <v>1428.4428577857111</v>
      </c>
      <c r="N14" s="1">
        <v>1428.45</v>
      </c>
    </row>
    <row r="15" spans="1:14" ht="15.75" hidden="1" customHeight="1" x14ac:dyDescent="0.25">
      <c r="A15" s="1" t="s">
        <v>8</v>
      </c>
      <c r="B15" s="1" t="s">
        <v>127</v>
      </c>
      <c r="C15" s="1" t="str">
        <f>IF(OR(Table2[[#This Row],[units]]="litre_(l)", Table2[[#This Row],[units]]="gallon_(gal)", Table2[[#This Row],[units]]="cubic_metre_(m3)"), "water", Table2[[#This Row],[type2]])</f>
        <v>water</v>
      </c>
      <c r="D15" s="1" t="s">
        <v>130</v>
      </c>
      <c r="E15" s="1" t="s">
        <v>131</v>
      </c>
      <c r="F15" s="8">
        <f t="shared" si="0"/>
        <v>44862</v>
      </c>
      <c r="G15" s="1" t="s">
        <v>132</v>
      </c>
      <c r="H15" s="8">
        <f t="shared" si="1"/>
        <v>44925</v>
      </c>
      <c r="I15" s="1">
        <v>12</v>
      </c>
      <c r="J1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v>
      </c>
      <c r="K15" s="4" t="str">
        <f>IF(Table2[[#This Row],[Type]]="electricity", "kilowatt_hour_(kwh)",
IF(Table2[[#This Row],[Type]]="water", "cubic_metre_(m3)",
IF(Table2[[#This Row],[Type]]="heat", "therm_(thm)",
"NA")))</f>
        <v>cubic_metre_(m3)</v>
      </c>
      <c r="L15" s="1" t="s">
        <v>133</v>
      </c>
      <c r="M15" s="10">
        <f>IF(Table2[[#This Row],[Type]]="electricity", Table2[[#This Row],[Quantity_correct]]/6.6667,
IF(Table2[[#This Row],[Type]]="water", Table2[[#This Row],[Quantity_correct]]/3.333,
IF(Table2[[#This Row],[Type]]="heat", Table2[[#This Row],[Quantity_correct]]/0.8333,
"NA")))</f>
        <v>3.6003600360036003</v>
      </c>
      <c r="N15" s="1">
        <v>3.6</v>
      </c>
    </row>
    <row r="16" spans="1:14" ht="15.75" hidden="1" customHeight="1" x14ac:dyDescent="0.25">
      <c r="A16" s="1" t="s">
        <v>8</v>
      </c>
      <c r="B16" s="1" t="s">
        <v>127</v>
      </c>
      <c r="C16" s="1" t="str">
        <f>IF(OR(Table2[[#This Row],[units]]="litre_(l)", Table2[[#This Row],[units]]="gallon_(gal)", Table2[[#This Row],[units]]="cubic_metre_(m3)"), "water", Table2[[#This Row],[type2]])</f>
        <v>water</v>
      </c>
      <c r="D16" s="1" t="s">
        <v>130</v>
      </c>
      <c r="E16" s="1" t="s">
        <v>132</v>
      </c>
      <c r="F16" s="8">
        <f t="shared" si="0"/>
        <v>44925</v>
      </c>
      <c r="G16" s="3">
        <v>44929</v>
      </c>
      <c r="H16" s="8">
        <f t="shared" si="1"/>
        <v>44986</v>
      </c>
      <c r="I16" s="1">
        <v>15</v>
      </c>
      <c r="J1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v>
      </c>
      <c r="K16" s="4" t="str">
        <f>IF(Table2[[#This Row],[Type]]="electricity", "kilowatt_hour_(kwh)",
IF(Table2[[#This Row],[Type]]="water", "cubic_metre_(m3)",
IF(Table2[[#This Row],[Type]]="heat", "therm_(thm)",
"NA")))</f>
        <v>cubic_metre_(m3)</v>
      </c>
      <c r="L16" s="1" t="s">
        <v>133</v>
      </c>
      <c r="M16" s="10">
        <f>IF(Table2[[#This Row],[Type]]="electricity", Table2[[#This Row],[Quantity_correct]]/6.6667,
IF(Table2[[#This Row],[Type]]="water", Table2[[#This Row],[Quantity_correct]]/3.333,
IF(Table2[[#This Row],[Type]]="heat", Table2[[#This Row],[Quantity_correct]]/0.8333,
"NA")))</f>
        <v>4.5004500450045004</v>
      </c>
      <c r="N16" s="1">
        <v>4.5</v>
      </c>
    </row>
    <row r="17" spans="1:14" ht="15.75" hidden="1" customHeight="1" x14ac:dyDescent="0.25">
      <c r="A17" s="1" t="s">
        <v>8</v>
      </c>
      <c r="B17" s="1" t="s">
        <v>127</v>
      </c>
      <c r="C17" s="1" t="str">
        <f>IF(OR(Table2[[#This Row],[units]]="litre_(l)", Table2[[#This Row],[units]]="gallon_(gal)", Table2[[#This Row],[units]]="cubic_metre_(m3)"), "water", Table2[[#This Row],[type2]])</f>
        <v>water</v>
      </c>
      <c r="D17" s="1" t="s">
        <v>130</v>
      </c>
      <c r="E17" s="3">
        <v>44929</v>
      </c>
      <c r="F17" s="8">
        <f t="shared" si="0"/>
        <v>44986</v>
      </c>
      <c r="G17" s="1" t="s">
        <v>134</v>
      </c>
      <c r="H17" s="8">
        <f t="shared" si="1"/>
        <v>45043</v>
      </c>
      <c r="I17" s="1">
        <v>16</v>
      </c>
      <c r="J1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v>
      </c>
      <c r="K17" s="4" t="str">
        <f>IF(Table2[[#This Row],[Type]]="electricity", "kilowatt_hour_(kwh)",
IF(Table2[[#This Row],[Type]]="water", "cubic_metre_(m3)",
IF(Table2[[#This Row],[Type]]="heat", "therm_(thm)",
"NA")))</f>
        <v>cubic_metre_(m3)</v>
      </c>
      <c r="L17" s="1" t="s">
        <v>133</v>
      </c>
      <c r="M17" s="10">
        <f>IF(Table2[[#This Row],[Type]]="electricity", Table2[[#This Row],[Quantity_correct]]/6.6667,
IF(Table2[[#This Row],[Type]]="water", Table2[[#This Row],[Quantity_correct]]/3.333,
IF(Table2[[#This Row],[Type]]="heat", Table2[[#This Row],[Quantity_correct]]/0.8333,
"NA")))</f>
        <v>4.8004800480048004</v>
      </c>
      <c r="N17" s="1">
        <v>4.8</v>
      </c>
    </row>
    <row r="18" spans="1:14" ht="15.75" hidden="1" customHeight="1" x14ac:dyDescent="0.25">
      <c r="A18" s="1" t="s">
        <v>8</v>
      </c>
      <c r="B18" s="1" t="s">
        <v>127</v>
      </c>
      <c r="C18" s="1" t="str">
        <f>IF(OR(Table2[[#This Row],[units]]="litre_(l)", Table2[[#This Row],[units]]="gallon_(gal)", Table2[[#This Row],[units]]="cubic_metre_(m3)"), "water", Table2[[#This Row],[type2]])</f>
        <v>water</v>
      </c>
      <c r="D18" s="1" t="s">
        <v>130</v>
      </c>
      <c r="E18" s="1" t="s">
        <v>134</v>
      </c>
      <c r="F18" s="8">
        <f t="shared" si="0"/>
        <v>45043</v>
      </c>
      <c r="G18" s="1" t="s">
        <v>135</v>
      </c>
      <c r="H18" s="8">
        <f t="shared" si="1"/>
        <v>45105</v>
      </c>
      <c r="I18" s="1">
        <v>12</v>
      </c>
      <c r="J1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v>
      </c>
      <c r="K18" s="4" t="str">
        <f>IF(Table2[[#This Row],[Type]]="electricity", "kilowatt_hour_(kwh)",
IF(Table2[[#This Row],[Type]]="water", "cubic_metre_(m3)",
IF(Table2[[#This Row],[Type]]="heat", "therm_(thm)",
"NA")))</f>
        <v>cubic_metre_(m3)</v>
      </c>
      <c r="L18" s="1" t="s">
        <v>133</v>
      </c>
      <c r="M18" s="10">
        <f>IF(Table2[[#This Row],[Type]]="electricity", Table2[[#This Row],[Quantity_correct]]/6.6667,
IF(Table2[[#This Row],[Type]]="water", Table2[[#This Row],[Quantity_correct]]/3.333,
IF(Table2[[#This Row],[Type]]="heat", Table2[[#This Row],[Quantity_correct]]/0.8333,
"NA")))</f>
        <v>3.6003600360036003</v>
      </c>
      <c r="N18" s="1">
        <v>3.6</v>
      </c>
    </row>
    <row r="19" spans="1:14" ht="15.75" hidden="1" customHeight="1" x14ac:dyDescent="0.25">
      <c r="A19" s="1" t="s">
        <v>8</v>
      </c>
      <c r="B19" s="1" t="s">
        <v>127</v>
      </c>
      <c r="C19" s="1" t="str">
        <f>IF(OR(Table2[[#This Row],[units]]="litre_(l)", Table2[[#This Row],[units]]="gallon_(gal)", Table2[[#This Row],[units]]="cubic_metre_(m3)"), "water", Table2[[#This Row],[type2]])</f>
        <v>water</v>
      </c>
      <c r="D19" s="1" t="s">
        <v>130</v>
      </c>
      <c r="E19" s="1" t="s">
        <v>135</v>
      </c>
      <c r="F19" s="8">
        <f t="shared" si="0"/>
        <v>45105</v>
      </c>
      <c r="G19" s="1" t="s">
        <v>136</v>
      </c>
      <c r="H19" s="8">
        <f t="shared" si="1"/>
        <v>45167</v>
      </c>
      <c r="I19" s="1">
        <v>9</v>
      </c>
      <c r="J1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v>
      </c>
      <c r="K19" s="4" t="str">
        <f>IF(Table2[[#This Row],[Type]]="electricity", "kilowatt_hour_(kwh)",
IF(Table2[[#This Row],[Type]]="water", "cubic_metre_(m3)",
IF(Table2[[#This Row],[Type]]="heat", "therm_(thm)",
"NA")))</f>
        <v>cubic_metre_(m3)</v>
      </c>
      <c r="L19" s="1" t="s">
        <v>133</v>
      </c>
      <c r="M19" s="10">
        <f>IF(Table2[[#This Row],[Type]]="electricity", Table2[[#This Row],[Quantity_correct]]/6.6667,
IF(Table2[[#This Row],[Type]]="water", Table2[[#This Row],[Quantity_correct]]/3.333,
IF(Table2[[#This Row],[Type]]="heat", Table2[[#This Row],[Quantity_correct]]/0.8333,
"NA")))</f>
        <v>2.7002700270027002</v>
      </c>
      <c r="N19" s="1">
        <v>2.7</v>
      </c>
    </row>
    <row r="20" spans="1:14" ht="12.5" hidden="1" x14ac:dyDescent="0.25">
      <c r="A20" s="1" t="s">
        <v>8</v>
      </c>
      <c r="B20" s="1" t="s">
        <v>127</v>
      </c>
      <c r="C20" s="1" t="str">
        <f>IF(OR(Table2[[#This Row],[units]]="litre_(l)", Table2[[#This Row],[units]]="gallon_(gal)", Table2[[#This Row],[units]]="cubic_metre_(m3)"), "water", Table2[[#This Row],[type2]])</f>
        <v>water</v>
      </c>
      <c r="D20" s="1" t="s">
        <v>130</v>
      </c>
      <c r="E20" s="1" t="s">
        <v>136</v>
      </c>
      <c r="F20" s="8">
        <f t="shared" si="0"/>
        <v>45167</v>
      </c>
      <c r="G20" s="1" t="s">
        <v>137</v>
      </c>
      <c r="H20" s="8">
        <f t="shared" si="1"/>
        <v>45227</v>
      </c>
      <c r="I20" s="1">
        <v>97</v>
      </c>
      <c r="J2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97</v>
      </c>
      <c r="K20" s="4" t="str">
        <f>IF(Table2[[#This Row],[Type]]="electricity", "kilowatt_hour_(kwh)",
IF(Table2[[#This Row],[Type]]="water", "cubic_metre_(m3)",
IF(Table2[[#This Row],[Type]]="heat", "therm_(thm)",
"NA")))</f>
        <v>cubic_metre_(m3)</v>
      </c>
      <c r="L20" s="1" t="s">
        <v>133</v>
      </c>
      <c r="M20" s="10">
        <f>IF(Table2[[#This Row],[Type]]="electricity", Table2[[#This Row],[Quantity_correct]]/6.6667,
IF(Table2[[#This Row],[Type]]="water", Table2[[#This Row],[Quantity_correct]]/3.333,
IF(Table2[[#This Row],[Type]]="heat", Table2[[#This Row],[Quantity_correct]]/0.8333,
"NA")))</f>
        <v>29.102910291029101</v>
      </c>
      <c r="N20" s="1">
        <v>29.1</v>
      </c>
    </row>
    <row r="21" spans="1:14" ht="12.5" hidden="1" x14ac:dyDescent="0.25">
      <c r="A21" s="1" t="s">
        <v>8</v>
      </c>
      <c r="B21" s="1" t="s">
        <v>127</v>
      </c>
      <c r="C21" s="1" t="str">
        <f>IF(OR(Table2[[#This Row],[units]]="litre_(l)", Table2[[#This Row],[units]]="gallon_(gal)", Table2[[#This Row],[units]]="cubic_metre_(m3)"), "water", Table2[[#This Row],[type2]])</f>
        <v>water</v>
      </c>
      <c r="D21" s="1" t="s">
        <v>130</v>
      </c>
      <c r="E21" s="1" t="s">
        <v>137</v>
      </c>
      <c r="F21" s="8">
        <f t="shared" si="0"/>
        <v>45227</v>
      </c>
      <c r="G21" s="1" t="s">
        <v>138</v>
      </c>
      <c r="H21" s="8">
        <f t="shared" si="1"/>
        <v>45290</v>
      </c>
      <c r="I21" s="1">
        <v>11</v>
      </c>
      <c r="J2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v>
      </c>
      <c r="K21" s="4" t="str">
        <f>IF(Table2[[#This Row],[Type]]="electricity", "kilowatt_hour_(kwh)",
IF(Table2[[#This Row],[Type]]="water", "cubic_metre_(m3)",
IF(Table2[[#This Row],[Type]]="heat", "therm_(thm)",
"NA")))</f>
        <v>cubic_metre_(m3)</v>
      </c>
      <c r="L21" s="1" t="s">
        <v>133</v>
      </c>
      <c r="M21" s="10">
        <f>IF(Table2[[#This Row],[Type]]="electricity", Table2[[#This Row],[Quantity_correct]]/6.6667,
IF(Table2[[#This Row],[Type]]="water", Table2[[#This Row],[Quantity_correct]]/3.333,
IF(Table2[[#This Row],[Type]]="heat", Table2[[#This Row],[Quantity_correct]]/0.8333,
"NA")))</f>
        <v>3.3003300330033003</v>
      </c>
      <c r="N21" s="1">
        <v>3.3</v>
      </c>
    </row>
    <row r="22" spans="1:14" ht="12.5" hidden="1" x14ac:dyDescent="0.25">
      <c r="A22" s="1" t="s">
        <v>8</v>
      </c>
      <c r="B22" s="1" t="s">
        <v>139</v>
      </c>
      <c r="C22" s="1" t="str">
        <f>IF(OR(Table2[[#This Row],[units]]="litre_(l)", Table2[[#This Row],[units]]="gallon_(gal)", Table2[[#This Row],[units]]="cubic_metre_(m3)"), "water", Table2[[#This Row],[type2]])</f>
        <v>electricity</v>
      </c>
      <c r="D22" s="1" t="s">
        <v>128</v>
      </c>
      <c r="E22" s="3">
        <v>44806</v>
      </c>
      <c r="F22" s="8">
        <f t="shared" si="0"/>
        <v>44601</v>
      </c>
      <c r="G22" s="3">
        <v>45200</v>
      </c>
      <c r="H22" s="8">
        <f t="shared" si="1"/>
        <v>44936</v>
      </c>
      <c r="I22" s="4">
        <v>498790</v>
      </c>
      <c r="J2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498790</v>
      </c>
      <c r="K22" s="4" t="str">
        <f>IF(Table2[[#This Row],[Type]]="electricity", "kilowatt_hour_(kwh)",
IF(Table2[[#This Row],[Type]]="water", "cubic_metre_(m3)",
IF(Table2[[#This Row],[Type]]="heat", "therm_(thm)",
"NA")))</f>
        <v>kilowatt_hour_(kwh)</v>
      </c>
      <c r="L22" s="1" t="s">
        <v>129</v>
      </c>
      <c r="M22" s="10">
        <f>IF(Table2[[#This Row],[Type]]="electricity", Table2[[#This Row],[Quantity_correct]]/6.6667,
IF(Table2[[#This Row],[Type]]="water", Table2[[#This Row],[Quantity_correct]]/3.333,
IF(Table2[[#This Row],[Type]]="heat", Table2[[#This Row],[Quantity_correct]]/0.8333,
"NA")))</f>
        <v>74818.125909370458</v>
      </c>
      <c r="N22" s="1">
        <v>74818.5</v>
      </c>
    </row>
    <row r="23" spans="1:14" ht="12.5" hidden="1" x14ac:dyDescent="0.25">
      <c r="A23" s="1" t="s">
        <v>8</v>
      </c>
      <c r="B23" s="1" t="s">
        <v>139</v>
      </c>
      <c r="C23" s="1" t="str">
        <f>IF(OR(Table2[[#This Row],[units]]="litre_(l)", Table2[[#This Row],[units]]="gallon_(gal)", Table2[[#This Row],[units]]="cubic_metre_(m3)"), "water", Table2[[#This Row],[type2]])</f>
        <v>electricity</v>
      </c>
      <c r="D23" s="1" t="s">
        <v>128</v>
      </c>
      <c r="E23" s="1" t="s">
        <v>51</v>
      </c>
      <c r="F23" s="8">
        <f t="shared" si="0"/>
        <v>44926</v>
      </c>
      <c r="G23" s="1" t="s">
        <v>68</v>
      </c>
      <c r="H23" s="8">
        <f t="shared" si="1"/>
        <v>44957</v>
      </c>
      <c r="I23" s="4">
        <v>53797</v>
      </c>
      <c r="J2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53797</v>
      </c>
      <c r="K23" s="4" t="str">
        <f>IF(Table2[[#This Row],[Type]]="electricity", "kilowatt_hour_(kwh)",
IF(Table2[[#This Row],[Type]]="water", "cubic_metre_(m3)",
IF(Table2[[#This Row],[Type]]="heat", "therm_(thm)",
"NA")))</f>
        <v>kilowatt_hour_(kwh)</v>
      </c>
      <c r="L23" s="1" t="s">
        <v>129</v>
      </c>
      <c r="M23" s="10">
        <f>IF(Table2[[#This Row],[Type]]="electricity", Table2[[#This Row],[Quantity_correct]]/6.6667,
IF(Table2[[#This Row],[Type]]="water", Table2[[#This Row],[Quantity_correct]]/3.333,
IF(Table2[[#This Row],[Type]]="heat", Table2[[#This Row],[Quantity_correct]]/0.8333,
"NA")))</f>
        <v>8069.5096524517385</v>
      </c>
      <c r="N23" s="1">
        <v>8069.55</v>
      </c>
    </row>
    <row r="24" spans="1:14" ht="12.5" hidden="1" x14ac:dyDescent="0.25">
      <c r="A24" s="1" t="s">
        <v>8</v>
      </c>
      <c r="B24" s="1" t="s">
        <v>139</v>
      </c>
      <c r="C24" s="1" t="str">
        <f>IF(OR(Table2[[#This Row],[units]]="litre_(l)", Table2[[#This Row],[units]]="gallon_(gal)", Table2[[#This Row],[units]]="cubic_metre_(m3)"), "water", Table2[[#This Row],[type2]])</f>
        <v>electricity</v>
      </c>
      <c r="D24" s="1" t="s">
        <v>128</v>
      </c>
      <c r="E24" s="3">
        <v>44927</v>
      </c>
      <c r="F24" s="8">
        <f t="shared" si="0"/>
        <v>44927</v>
      </c>
      <c r="G24" s="1" t="s">
        <v>68</v>
      </c>
      <c r="H24" s="8">
        <f t="shared" si="1"/>
        <v>44957</v>
      </c>
      <c r="I24" s="5">
        <v>5993.2</v>
      </c>
      <c r="J2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5993.2</v>
      </c>
      <c r="K24" s="5" t="str">
        <f>IF(Table2[[#This Row],[Type]]="electricity", "kilowatt_hour_(kwh)",
IF(Table2[[#This Row],[Type]]="water", "cubic_metre_(m3)",
IF(Table2[[#This Row],[Type]]="heat", "therm_(thm)",
"NA")))</f>
        <v>kilowatt_hour_(kwh)</v>
      </c>
      <c r="L24" s="1" t="s">
        <v>129</v>
      </c>
      <c r="M24" s="10">
        <f>IF(Table2[[#This Row],[Type]]="electricity", Table2[[#This Row],[Quantity_correct]]/6.6667,
IF(Table2[[#This Row],[Type]]="water", Table2[[#This Row],[Quantity_correct]]/3.333,
IF(Table2[[#This Row],[Type]]="heat", Table2[[#This Row],[Quantity_correct]]/0.8333,
"NA")))</f>
        <v>898.97550512247437</v>
      </c>
      <c r="N24" s="1">
        <v>898.98</v>
      </c>
    </row>
    <row r="25" spans="1:14" ht="12.5" hidden="1" x14ac:dyDescent="0.25">
      <c r="A25" s="1" t="s">
        <v>8</v>
      </c>
      <c r="B25" s="1" t="s">
        <v>139</v>
      </c>
      <c r="C25" s="1" t="str">
        <f>IF(OR(Table2[[#This Row],[units]]="litre_(l)", Table2[[#This Row],[units]]="gallon_(gal)", Table2[[#This Row],[units]]="cubic_metre_(m3)"), "water", Table2[[#This Row],[type2]])</f>
        <v>electricity</v>
      </c>
      <c r="D25" s="1" t="s">
        <v>128</v>
      </c>
      <c r="E25" s="1" t="s">
        <v>68</v>
      </c>
      <c r="F25" s="8">
        <f t="shared" si="0"/>
        <v>44957</v>
      </c>
      <c r="G25" s="1" t="s">
        <v>65</v>
      </c>
      <c r="H25" s="8">
        <f t="shared" si="1"/>
        <v>44985</v>
      </c>
      <c r="I25" s="4">
        <v>47484</v>
      </c>
      <c r="J2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47484</v>
      </c>
      <c r="K25" s="4" t="str">
        <f>IF(Table2[[#This Row],[Type]]="electricity", "kilowatt_hour_(kwh)",
IF(Table2[[#This Row],[Type]]="water", "cubic_metre_(m3)",
IF(Table2[[#This Row],[Type]]="heat", "therm_(thm)",
"NA")))</f>
        <v>kilowatt_hour_(kwh)</v>
      </c>
      <c r="L25" s="1" t="s">
        <v>129</v>
      </c>
      <c r="M25" s="10">
        <f>IF(Table2[[#This Row],[Type]]="electricity", Table2[[#This Row],[Quantity_correct]]/6.6667,
IF(Table2[[#This Row],[Type]]="water", Table2[[#This Row],[Quantity_correct]]/3.333,
IF(Table2[[#This Row],[Type]]="heat", Table2[[#This Row],[Quantity_correct]]/0.8333,
"NA")))</f>
        <v>7122.5643871780649</v>
      </c>
      <c r="N25" s="1">
        <v>7122.6</v>
      </c>
    </row>
    <row r="26" spans="1:14" ht="12.5" hidden="1" x14ac:dyDescent="0.25">
      <c r="A26" s="1" t="s">
        <v>8</v>
      </c>
      <c r="B26" s="1" t="s">
        <v>139</v>
      </c>
      <c r="C26" s="1" t="str">
        <f>IF(OR(Table2[[#This Row],[units]]="litre_(l)", Table2[[#This Row],[units]]="gallon_(gal)", Table2[[#This Row],[units]]="cubic_metre_(m3)"), "water", Table2[[#This Row],[type2]])</f>
        <v>electricity</v>
      </c>
      <c r="D26" s="1" t="s">
        <v>128</v>
      </c>
      <c r="E26" s="3">
        <v>44928</v>
      </c>
      <c r="F26" s="8">
        <f t="shared" si="0"/>
        <v>44958</v>
      </c>
      <c r="G26" s="1" t="s">
        <v>65</v>
      </c>
      <c r="H26" s="8">
        <f t="shared" si="1"/>
        <v>44985</v>
      </c>
      <c r="I26" s="5">
        <v>6786.6</v>
      </c>
      <c r="J2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6786.6</v>
      </c>
      <c r="K26" s="5" t="str">
        <f>IF(Table2[[#This Row],[Type]]="electricity", "kilowatt_hour_(kwh)",
IF(Table2[[#This Row],[Type]]="water", "cubic_metre_(m3)",
IF(Table2[[#This Row],[Type]]="heat", "therm_(thm)",
"NA")))</f>
        <v>kilowatt_hour_(kwh)</v>
      </c>
      <c r="L26" s="1" t="s">
        <v>129</v>
      </c>
      <c r="M26" s="10">
        <f>IF(Table2[[#This Row],[Type]]="electricity", Table2[[#This Row],[Quantity_correct]]/6.6667,
IF(Table2[[#This Row],[Type]]="water", Table2[[#This Row],[Quantity_correct]]/3.333,
IF(Table2[[#This Row],[Type]]="heat", Table2[[#This Row],[Quantity_correct]]/0.8333,
"NA")))</f>
        <v>1017.9849100754498</v>
      </c>
      <c r="N26" s="1">
        <v>1017.99</v>
      </c>
    </row>
    <row r="27" spans="1:14" ht="12.5" hidden="1" x14ac:dyDescent="0.25">
      <c r="A27" s="1" t="s">
        <v>8</v>
      </c>
      <c r="B27" s="1" t="s">
        <v>139</v>
      </c>
      <c r="C27" s="1" t="str">
        <f>IF(OR(Table2[[#This Row],[units]]="litre_(l)", Table2[[#This Row],[units]]="gallon_(gal)", Table2[[#This Row],[units]]="cubic_metre_(m3)"), "water", Table2[[#This Row],[type2]])</f>
        <v>electricity</v>
      </c>
      <c r="D27" s="1" t="s">
        <v>128</v>
      </c>
      <c r="E27" s="1" t="s">
        <v>65</v>
      </c>
      <c r="F27" s="8">
        <f t="shared" si="0"/>
        <v>44985</v>
      </c>
      <c r="G27" s="1" t="s">
        <v>74</v>
      </c>
      <c r="H27" s="8">
        <f t="shared" si="1"/>
        <v>45016</v>
      </c>
      <c r="I27" s="4">
        <v>41655</v>
      </c>
      <c r="J2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41655</v>
      </c>
      <c r="K27" s="4" t="str">
        <f>IF(Table2[[#This Row],[Type]]="electricity", "kilowatt_hour_(kwh)",
IF(Table2[[#This Row],[Type]]="water", "cubic_metre_(m3)",
IF(Table2[[#This Row],[Type]]="heat", "therm_(thm)",
"NA")))</f>
        <v>kilowatt_hour_(kwh)</v>
      </c>
      <c r="L27" s="1" t="s">
        <v>129</v>
      </c>
      <c r="M27" s="10">
        <f>IF(Table2[[#This Row],[Type]]="electricity", Table2[[#This Row],[Quantity_correct]]/6.6667,
IF(Table2[[#This Row],[Type]]="water", Table2[[#This Row],[Quantity_correct]]/3.333,
IF(Table2[[#This Row],[Type]]="heat", Table2[[#This Row],[Quantity_correct]]/0.8333,
"NA")))</f>
        <v>6248.2187589062059</v>
      </c>
      <c r="N27" s="1">
        <v>6248.25</v>
      </c>
    </row>
    <row r="28" spans="1:14" ht="12.5" hidden="1" x14ac:dyDescent="0.25">
      <c r="A28" s="1" t="s">
        <v>8</v>
      </c>
      <c r="B28" s="1" t="s">
        <v>139</v>
      </c>
      <c r="C28" s="1" t="str">
        <f>IF(OR(Table2[[#This Row],[units]]="litre_(l)", Table2[[#This Row],[units]]="gallon_(gal)", Table2[[#This Row],[units]]="cubic_metre_(m3)"), "water", Table2[[#This Row],[type2]])</f>
        <v>electricity</v>
      </c>
      <c r="D28" s="1" t="s">
        <v>128</v>
      </c>
      <c r="E28" s="3">
        <v>44929</v>
      </c>
      <c r="F28" s="8">
        <f t="shared" si="0"/>
        <v>44986</v>
      </c>
      <c r="G28" s="1" t="s">
        <v>74</v>
      </c>
      <c r="H28" s="8">
        <f t="shared" si="1"/>
        <v>45016</v>
      </c>
      <c r="I28" s="5">
        <v>11154.7</v>
      </c>
      <c r="J2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11154.7</v>
      </c>
      <c r="K28" s="5" t="str">
        <f>IF(Table2[[#This Row],[Type]]="electricity", "kilowatt_hour_(kwh)",
IF(Table2[[#This Row],[Type]]="water", "cubic_metre_(m3)",
IF(Table2[[#This Row],[Type]]="heat", "therm_(thm)",
"NA")))</f>
        <v>kilowatt_hour_(kwh)</v>
      </c>
      <c r="L28" s="1" t="s">
        <v>129</v>
      </c>
      <c r="M28" s="10">
        <f>IF(Table2[[#This Row],[Type]]="electricity", Table2[[#This Row],[Quantity_correct]]/6.6667,
IF(Table2[[#This Row],[Type]]="water", Table2[[#This Row],[Quantity_correct]]/3.333,
IF(Table2[[#This Row],[Type]]="heat", Table2[[#This Row],[Quantity_correct]]/0.8333,
"NA")))</f>
        <v>1673.1966340168301</v>
      </c>
      <c r="N28" s="1">
        <v>1673.2049999999999</v>
      </c>
    </row>
    <row r="29" spans="1:14" ht="12.5" hidden="1" x14ac:dyDescent="0.25">
      <c r="A29" s="1" t="s">
        <v>8</v>
      </c>
      <c r="B29" s="1" t="s">
        <v>139</v>
      </c>
      <c r="C29" s="1" t="str">
        <f>IF(OR(Table2[[#This Row],[units]]="litre_(l)", Table2[[#This Row],[units]]="gallon_(gal)", Table2[[#This Row],[units]]="cubic_metre_(m3)"), "water", Table2[[#This Row],[type2]])</f>
        <v>electricity</v>
      </c>
      <c r="D29" s="1" t="s">
        <v>128</v>
      </c>
      <c r="E29" s="1" t="s">
        <v>74</v>
      </c>
      <c r="F29" s="8">
        <f t="shared" si="0"/>
        <v>45016</v>
      </c>
      <c r="G29" s="1" t="s">
        <v>103</v>
      </c>
      <c r="H29" s="8">
        <f t="shared" si="1"/>
        <v>45046</v>
      </c>
      <c r="I29" s="4">
        <v>23519</v>
      </c>
      <c r="J2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23519</v>
      </c>
      <c r="K29" s="4" t="str">
        <f>IF(Table2[[#This Row],[Type]]="electricity", "kilowatt_hour_(kwh)",
IF(Table2[[#This Row],[Type]]="water", "cubic_metre_(m3)",
IF(Table2[[#This Row],[Type]]="heat", "therm_(thm)",
"NA")))</f>
        <v>kilowatt_hour_(kwh)</v>
      </c>
      <c r="L29" s="1" t="s">
        <v>129</v>
      </c>
      <c r="M29" s="10">
        <f>IF(Table2[[#This Row],[Type]]="electricity", Table2[[#This Row],[Quantity_correct]]/6.6667,
IF(Table2[[#This Row],[Type]]="water", Table2[[#This Row],[Quantity_correct]]/3.333,
IF(Table2[[#This Row],[Type]]="heat", Table2[[#This Row],[Quantity_correct]]/0.8333,
"NA")))</f>
        <v>3527.8323608381961</v>
      </c>
      <c r="N29" s="1">
        <v>3527.85</v>
      </c>
    </row>
    <row r="30" spans="1:14" ht="12.5" hidden="1" x14ac:dyDescent="0.25">
      <c r="A30" s="1" t="s">
        <v>8</v>
      </c>
      <c r="B30" s="1" t="s">
        <v>139</v>
      </c>
      <c r="C30" s="1" t="str">
        <f>IF(OR(Table2[[#This Row],[units]]="litre_(l)", Table2[[#This Row],[units]]="gallon_(gal)", Table2[[#This Row],[units]]="cubic_metre_(m3)"), "water", Table2[[#This Row],[type2]])</f>
        <v>electricity</v>
      </c>
      <c r="D30" s="1" t="s">
        <v>128</v>
      </c>
      <c r="E30" s="3">
        <v>44930</v>
      </c>
      <c r="F30" s="8">
        <f t="shared" si="0"/>
        <v>45017</v>
      </c>
      <c r="G30" s="1" t="s">
        <v>103</v>
      </c>
      <c r="H30" s="8">
        <f t="shared" si="1"/>
        <v>45046</v>
      </c>
      <c r="I30" s="5">
        <v>12068.4</v>
      </c>
      <c r="J3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12068.4</v>
      </c>
      <c r="K30" s="5" t="str">
        <f>IF(Table2[[#This Row],[Type]]="electricity", "kilowatt_hour_(kwh)",
IF(Table2[[#This Row],[Type]]="water", "cubic_metre_(m3)",
IF(Table2[[#This Row],[Type]]="heat", "therm_(thm)",
"NA")))</f>
        <v>kilowatt_hour_(kwh)</v>
      </c>
      <c r="L30" s="1" t="s">
        <v>129</v>
      </c>
      <c r="M30" s="10">
        <f>IF(Table2[[#This Row],[Type]]="electricity", Table2[[#This Row],[Quantity_correct]]/6.6667,
IF(Table2[[#This Row],[Type]]="water", Table2[[#This Row],[Quantity_correct]]/3.333,
IF(Table2[[#This Row],[Type]]="heat", Table2[[#This Row],[Quantity_correct]]/0.8333,
"NA")))</f>
        <v>1810.2509487452562</v>
      </c>
      <c r="N30" s="1">
        <v>1810.26</v>
      </c>
    </row>
    <row r="31" spans="1:14" ht="12.5" hidden="1" x14ac:dyDescent="0.25">
      <c r="A31" s="1" t="s">
        <v>8</v>
      </c>
      <c r="B31" s="1" t="s">
        <v>139</v>
      </c>
      <c r="C31" s="1" t="str">
        <f>IF(OR(Table2[[#This Row],[units]]="litre_(l)", Table2[[#This Row],[units]]="gallon_(gal)", Table2[[#This Row],[units]]="cubic_metre_(m3)"), "water", Table2[[#This Row],[type2]])</f>
        <v>electricity</v>
      </c>
      <c r="D31" s="1" t="s">
        <v>128</v>
      </c>
      <c r="E31" s="1" t="s">
        <v>103</v>
      </c>
      <c r="F31" s="8">
        <f t="shared" si="0"/>
        <v>45046</v>
      </c>
      <c r="G31" s="1" t="s">
        <v>73</v>
      </c>
      <c r="H31" s="8">
        <f t="shared" si="1"/>
        <v>45077</v>
      </c>
      <c r="I31" s="4">
        <v>24330</v>
      </c>
      <c r="J3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24330</v>
      </c>
      <c r="K31" s="4" t="str">
        <f>IF(Table2[[#This Row],[Type]]="electricity", "kilowatt_hour_(kwh)",
IF(Table2[[#This Row],[Type]]="water", "cubic_metre_(m3)",
IF(Table2[[#This Row],[Type]]="heat", "therm_(thm)",
"NA")))</f>
        <v>kilowatt_hour_(kwh)</v>
      </c>
      <c r="L31" s="1" t="s">
        <v>129</v>
      </c>
      <c r="M31" s="10">
        <f>IF(Table2[[#This Row],[Type]]="electricity", Table2[[#This Row],[Quantity_correct]]/6.6667,
IF(Table2[[#This Row],[Type]]="water", Table2[[#This Row],[Quantity_correct]]/3.333,
IF(Table2[[#This Row],[Type]]="heat", Table2[[#This Row],[Quantity_correct]]/0.8333,
"NA")))</f>
        <v>3649.4817525912372</v>
      </c>
      <c r="N31" s="1">
        <v>3649.5</v>
      </c>
    </row>
    <row r="32" spans="1:14" ht="12.5" hidden="1" x14ac:dyDescent="0.25">
      <c r="A32" s="1" t="s">
        <v>8</v>
      </c>
      <c r="B32" s="1" t="s">
        <v>139</v>
      </c>
      <c r="C32" s="1" t="str">
        <f>IF(OR(Table2[[#This Row],[units]]="litre_(l)", Table2[[#This Row],[units]]="gallon_(gal)", Table2[[#This Row],[units]]="cubic_metre_(m3)"), "water", Table2[[#This Row],[type2]])</f>
        <v>electricity</v>
      </c>
      <c r="D32" s="1" t="s">
        <v>128</v>
      </c>
      <c r="E32" s="3">
        <v>44931</v>
      </c>
      <c r="F32" s="8">
        <f t="shared" si="0"/>
        <v>45047</v>
      </c>
      <c r="G32" s="1" t="s">
        <v>73</v>
      </c>
      <c r="H32" s="8">
        <f t="shared" si="1"/>
        <v>45077</v>
      </c>
      <c r="I32" s="5">
        <v>14379.4</v>
      </c>
      <c r="J3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14379.4</v>
      </c>
      <c r="K32" s="5" t="str">
        <f>IF(Table2[[#This Row],[Type]]="electricity", "kilowatt_hour_(kwh)",
IF(Table2[[#This Row],[Type]]="water", "cubic_metre_(m3)",
IF(Table2[[#This Row],[Type]]="heat", "therm_(thm)",
"NA")))</f>
        <v>kilowatt_hour_(kwh)</v>
      </c>
      <c r="L32" s="1" t="s">
        <v>129</v>
      </c>
      <c r="M32" s="10">
        <f>IF(Table2[[#This Row],[Type]]="electricity", Table2[[#This Row],[Quantity_correct]]/6.6667,
IF(Table2[[#This Row],[Type]]="water", Table2[[#This Row],[Quantity_correct]]/3.333,
IF(Table2[[#This Row],[Type]]="heat", Table2[[#This Row],[Quantity_correct]]/0.8333,
"NA")))</f>
        <v>2156.8992155039227</v>
      </c>
      <c r="N32" s="1">
        <v>2156.91</v>
      </c>
    </row>
    <row r="33" spans="1:14" ht="12.5" hidden="1" x14ac:dyDescent="0.25">
      <c r="A33" s="1" t="s">
        <v>8</v>
      </c>
      <c r="B33" s="1" t="s">
        <v>139</v>
      </c>
      <c r="C33" s="1" t="str">
        <f>IF(OR(Table2[[#This Row],[units]]="litre_(l)", Table2[[#This Row],[units]]="gallon_(gal)", Table2[[#This Row],[units]]="cubic_metre_(m3)"), "water", Table2[[#This Row],[type2]])</f>
        <v>electricity</v>
      </c>
      <c r="D33" s="1" t="s">
        <v>128</v>
      </c>
      <c r="E33" s="1" t="s">
        <v>73</v>
      </c>
      <c r="F33" s="8">
        <f t="shared" si="0"/>
        <v>45077</v>
      </c>
      <c r="G33" s="1" t="s">
        <v>69</v>
      </c>
      <c r="H33" s="8">
        <f t="shared" si="1"/>
        <v>45107</v>
      </c>
      <c r="I33" s="4">
        <v>30319</v>
      </c>
      <c r="J3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30319</v>
      </c>
      <c r="K33" s="4" t="str">
        <f>IF(Table2[[#This Row],[Type]]="electricity", "kilowatt_hour_(kwh)",
IF(Table2[[#This Row],[Type]]="water", "cubic_metre_(m3)",
IF(Table2[[#This Row],[Type]]="heat", "therm_(thm)",
"NA")))</f>
        <v>kilowatt_hour_(kwh)</v>
      </c>
      <c r="L33" s="1" t="s">
        <v>129</v>
      </c>
      <c r="M33" s="10">
        <f>IF(Table2[[#This Row],[Type]]="electricity", Table2[[#This Row],[Quantity_correct]]/6.6667,
IF(Table2[[#This Row],[Type]]="water", Table2[[#This Row],[Quantity_correct]]/3.333,
IF(Table2[[#This Row],[Type]]="heat", Table2[[#This Row],[Quantity_correct]]/0.8333,
"NA")))</f>
        <v>4547.8272608636962</v>
      </c>
      <c r="N33" s="1">
        <v>4547.8500000000004</v>
      </c>
    </row>
    <row r="34" spans="1:14" ht="12.5" hidden="1" x14ac:dyDescent="0.25">
      <c r="A34" s="1" t="s">
        <v>8</v>
      </c>
      <c r="B34" s="1" t="s">
        <v>139</v>
      </c>
      <c r="C34" s="1" t="str">
        <f>IF(OR(Table2[[#This Row],[units]]="litre_(l)", Table2[[#This Row],[units]]="gallon_(gal)", Table2[[#This Row],[units]]="cubic_metre_(m3)"), "water", Table2[[#This Row],[type2]])</f>
        <v>electricity</v>
      </c>
      <c r="D34" s="1" t="s">
        <v>128</v>
      </c>
      <c r="E34" s="3">
        <v>44932</v>
      </c>
      <c r="F34" s="8">
        <f t="shared" si="0"/>
        <v>45078</v>
      </c>
      <c r="G34" s="1" t="s">
        <v>69</v>
      </c>
      <c r="H34" s="8">
        <f t="shared" si="1"/>
        <v>45107</v>
      </c>
      <c r="I34" s="5">
        <v>15420.8</v>
      </c>
      <c r="J3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15420.8</v>
      </c>
      <c r="K34" s="5" t="str">
        <f>IF(Table2[[#This Row],[Type]]="electricity", "kilowatt_hour_(kwh)",
IF(Table2[[#This Row],[Type]]="water", "cubic_metre_(m3)",
IF(Table2[[#This Row],[Type]]="heat", "therm_(thm)",
"NA")))</f>
        <v>kilowatt_hour_(kwh)</v>
      </c>
      <c r="L34" s="1" t="s">
        <v>129</v>
      </c>
      <c r="M34" s="10">
        <f>IF(Table2[[#This Row],[Type]]="electricity", Table2[[#This Row],[Quantity_correct]]/6.6667,
IF(Table2[[#This Row],[Type]]="water", Table2[[#This Row],[Quantity_correct]]/3.333,
IF(Table2[[#This Row],[Type]]="heat", Table2[[#This Row],[Quantity_correct]]/0.8333,
"NA")))</f>
        <v>2313.1084344578276</v>
      </c>
      <c r="N34" s="1">
        <v>2313.12</v>
      </c>
    </row>
    <row r="35" spans="1:14" ht="12.5" hidden="1" x14ac:dyDescent="0.25">
      <c r="A35" s="1" t="s">
        <v>8</v>
      </c>
      <c r="B35" s="1" t="s">
        <v>139</v>
      </c>
      <c r="C35" s="1" t="str">
        <f>IF(OR(Table2[[#This Row],[units]]="litre_(l)", Table2[[#This Row],[units]]="gallon_(gal)", Table2[[#This Row],[units]]="cubic_metre_(m3)"), "water", Table2[[#This Row],[type2]])</f>
        <v>electricity</v>
      </c>
      <c r="D35" s="1" t="s">
        <v>128</v>
      </c>
      <c r="E35" s="1" t="s">
        <v>69</v>
      </c>
      <c r="F35" s="8">
        <f t="shared" si="0"/>
        <v>45107</v>
      </c>
      <c r="G35" s="1" t="s">
        <v>71</v>
      </c>
      <c r="H35" s="8">
        <f t="shared" si="1"/>
        <v>45138</v>
      </c>
      <c r="I35" s="4">
        <v>30571</v>
      </c>
      <c r="J3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30571</v>
      </c>
      <c r="K35" s="4" t="str">
        <f>IF(Table2[[#This Row],[Type]]="electricity", "kilowatt_hour_(kwh)",
IF(Table2[[#This Row],[Type]]="water", "cubic_metre_(m3)",
IF(Table2[[#This Row],[Type]]="heat", "therm_(thm)",
"NA")))</f>
        <v>kilowatt_hour_(kwh)</v>
      </c>
      <c r="L35" s="1" t="s">
        <v>129</v>
      </c>
      <c r="M35" s="10">
        <f>IF(Table2[[#This Row],[Type]]="electricity", Table2[[#This Row],[Quantity_correct]]/6.6667,
IF(Table2[[#This Row],[Type]]="water", Table2[[#This Row],[Quantity_correct]]/3.333,
IF(Table2[[#This Row],[Type]]="heat", Table2[[#This Row],[Quantity_correct]]/0.8333,
"NA")))</f>
        <v>4585.627071864641</v>
      </c>
      <c r="N35" s="1">
        <v>4585.6499999999996</v>
      </c>
    </row>
    <row r="36" spans="1:14" ht="12.5" hidden="1" x14ac:dyDescent="0.25">
      <c r="A36" s="1" t="s">
        <v>8</v>
      </c>
      <c r="B36" s="1" t="s">
        <v>139</v>
      </c>
      <c r="C36" s="1" t="str">
        <f>IF(OR(Table2[[#This Row],[units]]="litre_(l)", Table2[[#This Row],[units]]="gallon_(gal)", Table2[[#This Row],[units]]="cubic_metre_(m3)"), "water", Table2[[#This Row],[type2]])</f>
        <v>electricity</v>
      </c>
      <c r="D36" s="1" t="s">
        <v>128</v>
      </c>
      <c r="E36" s="3">
        <v>44933</v>
      </c>
      <c r="F36" s="8">
        <f t="shared" si="0"/>
        <v>45108</v>
      </c>
      <c r="G36" s="1" t="s">
        <v>71</v>
      </c>
      <c r="H36" s="8">
        <f t="shared" si="1"/>
        <v>45138</v>
      </c>
      <c r="I36" s="5">
        <v>15182.2</v>
      </c>
      <c r="J3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15182.2</v>
      </c>
      <c r="K36" s="5" t="str">
        <f>IF(Table2[[#This Row],[Type]]="electricity", "kilowatt_hour_(kwh)",
IF(Table2[[#This Row],[Type]]="water", "cubic_metre_(m3)",
IF(Table2[[#This Row],[Type]]="heat", "therm_(thm)",
"NA")))</f>
        <v>kilowatt_hour_(kwh)</v>
      </c>
      <c r="L36" s="1" t="s">
        <v>129</v>
      </c>
      <c r="M36" s="10">
        <f>IF(Table2[[#This Row],[Type]]="electricity", Table2[[#This Row],[Quantity_correct]]/6.6667,
IF(Table2[[#This Row],[Type]]="water", Table2[[#This Row],[Quantity_correct]]/3.333,
IF(Table2[[#This Row],[Type]]="heat", Table2[[#This Row],[Quantity_correct]]/0.8333,
"NA")))</f>
        <v>2277.3186134069333</v>
      </c>
      <c r="N36" s="1">
        <v>2277.33</v>
      </c>
    </row>
    <row r="37" spans="1:14" ht="12.5" hidden="1" x14ac:dyDescent="0.25">
      <c r="A37" s="1" t="s">
        <v>8</v>
      </c>
      <c r="B37" s="1" t="s">
        <v>139</v>
      </c>
      <c r="C37" s="1" t="str">
        <f>IF(OR(Table2[[#This Row],[units]]="litre_(l)", Table2[[#This Row],[units]]="gallon_(gal)", Table2[[#This Row],[units]]="cubic_metre_(m3)"), "water", Table2[[#This Row],[type2]])</f>
        <v>electricity</v>
      </c>
      <c r="D37" s="1" t="s">
        <v>128</v>
      </c>
      <c r="E37" s="1" t="s">
        <v>71</v>
      </c>
      <c r="F37" s="8">
        <f t="shared" si="0"/>
        <v>45138</v>
      </c>
      <c r="G37" s="1" t="s">
        <v>72</v>
      </c>
      <c r="H37" s="8">
        <f t="shared" si="1"/>
        <v>45169</v>
      </c>
      <c r="I37" s="4">
        <v>20848</v>
      </c>
      <c r="J3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20848</v>
      </c>
      <c r="K37" s="4" t="str">
        <f>IF(Table2[[#This Row],[Type]]="electricity", "kilowatt_hour_(kwh)",
IF(Table2[[#This Row],[Type]]="water", "cubic_metre_(m3)",
IF(Table2[[#This Row],[Type]]="heat", "therm_(thm)",
"NA")))</f>
        <v>kilowatt_hour_(kwh)</v>
      </c>
      <c r="L37" s="1" t="s">
        <v>129</v>
      </c>
      <c r="M37" s="10">
        <f>IF(Table2[[#This Row],[Type]]="electricity", Table2[[#This Row],[Quantity_correct]]/6.6667,
IF(Table2[[#This Row],[Type]]="water", Table2[[#This Row],[Quantity_correct]]/3.333,
IF(Table2[[#This Row],[Type]]="heat", Table2[[#This Row],[Quantity_correct]]/0.8333,
"NA")))</f>
        <v>3127.1843640781799</v>
      </c>
      <c r="N37" s="1">
        <v>3127.2</v>
      </c>
    </row>
    <row r="38" spans="1:14" ht="12.5" hidden="1" x14ac:dyDescent="0.25">
      <c r="A38" s="1" t="s">
        <v>8</v>
      </c>
      <c r="B38" s="1" t="s">
        <v>139</v>
      </c>
      <c r="C38" s="1" t="str">
        <f>IF(OR(Table2[[#This Row],[units]]="litre_(l)", Table2[[#This Row],[units]]="gallon_(gal)", Table2[[#This Row],[units]]="cubic_metre_(m3)"), "water", Table2[[#This Row],[type2]])</f>
        <v>electricity</v>
      </c>
      <c r="D38" s="1" t="s">
        <v>128</v>
      </c>
      <c r="E38" s="3">
        <v>44934</v>
      </c>
      <c r="F38" s="8">
        <f t="shared" si="0"/>
        <v>45139</v>
      </c>
      <c r="G38" s="1" t="s">
        <v>72</v>
      </c>
      <c r="H38" s="8">
        <f t="shared" si="1"/>
        <v>45169</v>
      </c>
      <c r="I38" s="5">
        <v>8937.1</v>
      </c>
      <c r="J3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8937.1</v>
      </c>
      <c r="K38" s="5" t="str">
        <f>IF(Table2[[#This Row],[Type]]="electricity", "kilowatt_hour_(kwh)",
IF(Table2[[#This Row],[Type]]="water", "cubic_metre_(m3)",
IF(Table2[[#This Row],[Type]]="heat", "therm_(thm)",
"NA")))</f>
        <v>kilowatt_hour_(kwh)</v>
      </c>
      <c r="L38" s="1" t="s">
        <v>129</v>
      </c>
      <c r="M38" s="10">
        <f>IF(Table2[[#This Row],[Type]]="electricity", Table2[[#This Row],[Quantity_correct]]/6.6667,
IF(Table2[[#This Row],[Type]]="water", Table2[[#This Row],[Quantity_correct]]/3.333,
IF(Table2[[#This Row],[Type]]="heat", Table2[[#This Row],[Quantity_correct]]/0.8333,
"NA")))</f>
        <v>1340.558297208514</v>
      </c>
      <c r="N38" s="1">
        <v>1340.5650000000001</v>
      </c>
    </row>
    <row r="39" spans="1:14" ht="12.5" hidden="1" x14ac:dyDescent="0.25">
      <c r="A39" s="1" t="s">
        <v>8</v>
      </c>
      <c r="B39" s="1" t="s">
        <v>139</v>
      </c>
      <c r="C39" s="1" t="str">
        <f>IF(OR(Table2[[#This Row],[units]]="litre_(l)", Table2[[#This Row],[units]]="gallon_(gal)", Table2[[#This Row],[units]]="cubic_metre_(m3)"), "water", Table2[[#This Row],[type2]])</f>
        <v>electricity</v>
      </c>
      <c r="D39" s="1" t="s">
        <v>128</v>
      </c>
      <c r="E39" s="3">
        <v>44935</v>
      </c>
      <c r="F39" s="8">
        <f t="shared" si="0"/>
        <v>45170</v>
      </c>
      <c r="G39" s="1" t="s">
        <v>67</v>
      </c>
      <c r="H39" s="8">
        <f t="shared" si="1"/>
        <v>45199</v>
      </c>
      <c r="I39" s="4">
        <v>10221</v>
      </c>
      <c r="J3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10221</v>
      </c>
      <c r="K39" s="4" t="str">
        <f>IF(Table2[[#This Row],[Type]]="electricity", "kilowatt_hour_(kwh)",
IF(Table2[[#This Row],[Type]]="water", "cubic_metre_(m3)",
IF(Table2[[#This Row],[Type]]="heat", "therm_(thm)",
"NA")))</f>
        <v>kilowatt_hour_(kwh)</v>
      </c>
      <c r="L39" s="1" t="s">
        <v>129</v>
      </c>
      <c r="M39" s="10">
        <f>IF(Table2[[#This Row],[Type]]="electricity", Table2[[#This Row],[Quantity_correct]]/6.6667,
IF(Table2[[#This Row],[Type]]="water", Table2[[#This Row],[Quantity_correct]]/3.333,
IF(Table2[[#This Row],[Type]]="heat", Table2[[#This Row],[Quantity_correct]]/0.8333,
"NA")))</f>
        <v>1533.1423342883286</v>
      </c>
      <c r="N39" s="1">
        <v>1533.15</v>
      </c>
    </row>
    <row r="40" spans="1:14" ht="12.5" hidden="1" x14ac:dyDescent="0.25">
      <c r="A40" s="1" t="s">
        <v>8</v>
      </c>
      <c r="B40" s="1" t="s">
        <v>139</v>
      </c>
      <c r="C40" s="1" t="str">
        <f>IF(OR(Table2[[#This Row],[units]]="litre_(l)", Table2[[#This Row],[units]]="gallon_(gal)", Table2[[#This Row],[units]]="cubic_metre_(m3)"), "water", Table2[[#This Row],[type2]])</f>
        <v>electricity</v>
      </c>
      <c r="D40" s="1" t="s">
        <v>128</v>
      </c>
      <c r="E40" s="3">
        <v>44935</v>
      </c>
      <c r="F40" s="8">
        <f t="shared" si="0"/>
        <v>45170</v>
      </c>
      <c r="G40" s="1" t="s">
        <v>67</v>
      </c>
      <c r="H40" s="8">
        <f t="shared" si="1"/>
        <v>45199</v>
      </c>
      <c r="I40" s="4">
        <v>28222</v>
      </c>
      <c r="J4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28222</v>
      </c>
      <c r="K40" s="4" t="str">
        <f>IF(Table2[[#This Row],[Type]]="electricity", "kilowatt_hour_(kwh)",
IF(Table2[[#This Row],[Type]]="water", "cubic_metre_(m3)",
IF(Table2[[#This Row],[Type]]="heat", "therm_(thm)",
"NA")))</f>
        <v>kilowatt_hour_(kwh)</v>
      </c>
      <c r="L40" s="1" t="s">
        <v>129</v>
      </c>
      <c r="M40" s="10">
        <f>IF(Table2[[#This Row],[Type]]="electricity", Table2[[#This Row],[Quantity_correct]]/6.6667,
IF(Table2[[#This Row],[Type]]="water", Table2[[#This Row],[Quantity_correct]]/3.333,
IF(Table2[[#This Row],[Type]]="heat", Table2[[#This Row],[Quantity_correct]]/0.8333,
"NA")))</f>
        <v>4233.278833605832</v>
      </c>
      <c r="N40" s="1">
        <v>4233.3</v>
      </c>
    </row>
    <row r="41" spans="1:14" ht="12.5" hidden="1" x14ac:dyDescent="0.25">
      <c r="A41" s="1" t="s">
        <v>8</v>
      </c>
      <c r="B41" s="1" t="s">
        <v>139</v>
      </c>
      <c r="C41" s="1" t="str">
        <f>IF(OR(Table2[[#This Row],[units]]="litre_(l)", Table2[[#This Row],[units]]="gallon_(gal)", Table2[[#This Row],[units]]="cubic_metre_(m3)"), "water", Table2[[#This Row],[type2]])</f>
        <v>electricity</v>
      </c>
      <c r="D41" s="1" t="s">
        <v>128</v>
      </c>
      <c r="E41" s="3">
        <v>44936</v>
      </c>
      <c r="F41" s="8">
        <f t="shared" si="0"/>
        <v>45200</v>
      </c>
      <c r="G41" s="1" t="s">
        <v>75</v>
      </c>
      <c r="H41" s="8">
        <f t="shared" si="1"/>
        <v>45230</v>
      </c>
      <c r="I41" s="5">
        <v>7126.7</v>
      </c>
      <c r="J4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7126.7</v>
      </c>
      <c r="K41" s="5" t="str">
        <f>IF(Table2[[#This Row],[Type]]="electricity", "kilowatt_hour_(kwh)",
IF(Table2[[#This Row],[Type]]="water", "cubic_metre_(m3)",
IF(Table2[[#This Row],[Type]]="heat", "therm_(thm)",
"NA")))</f>
        <v>kilowatt_hour_(kwh)</v>
      </c>
      <c r="L41" s="1" t="s">
        <v>129</v>
      </c>
      <c r="M41" s="10">
        <f>IF(Table2[[#This Row],[Type]]="electricity", Table2[[#This Row],[Quantity_correct]]/6.6667,
IF(Table2[[#This Row],[Type]]="water", Table2[[#This Row],[Quantity_correct]]/3.333,
IF(Table2[[#This Row],[Type]]="heat", Table2[[#This Row],[Quantity_correct]]/0.8333,
"NA")))</f>
        <v>1068.9996550017249</v>
      </c>
      <c r="N41" s="1">
        <v>1069.0050000000001</v>
      </c>
    </row>
    <row r="42" spans="1:14" ht="12.5" hidden="1" x14ac:dyDescent="0.25">
      <c r="A42" s="1" t="s">
        <v>8</v>
      </c>
      <c r="B42" s="1" t="s">
        <v>139</v>
      </c>
      <c r="C42" s="1" t="str">
        <f>IF(OR(Table2[[#This Row],[units]]="litre_(l)", Table2[[#This Row],[units]]="gallon_(gal)", Table2[[#This Row],[units]]="cubic_metre_(m3)"), "water", Table2[[#This Row],[type2]])</f>
        <v>electricity</v>
      </c>
      <c r="D42" s="1" t="s">
        <v>128</v>
      </c>
      <c r="E42" s="3">
        <v>44936</v>
      </c>
      <c r="F42" s="8">
        <f t="shared" si="0"/>
        <v>45200</v>
      </c>
      <c r="G42" s="1" t="s">
        <v>75</v>
      </c>
      <c r="H42" s="8">
        <f t="shared" si="1"/>
        <v>45230</v>
      </c>
      <c r="I42" s="4">
        <v>33305</v>
      </c>
      <c r="J4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33305</v>
      </c>
      <c r="K42" s="4" t="str">
        <f>IF(Table2[[#This Row],[Type]]="electricity", "kilowatt_hour_(kwh)",
IF(Table2[[#This Row],[Type]]="water", "cubic_metre_(m3)",
IF(Table2[[#This Row],[Type]]="heat", "therm_(thm)",
"NA")))</f>
        <v>kilowatt_hour_(kwh)</v>
      </c>
      <c r="L42" s="1" t="s">
        <v>129</v>
      </c>
      <c r="M42" s="10">
        <f>IF(Table2[[#This Row],[Type]]="electricity", Table2[[#This Row],[Quantity_correct]]/6.6667,
IF(Table2[[#This Row],[Type]]="water", Table2[[#This Row],[Quantity_correct]]/3.333,
IF(Table2[[#This Row],[Type]]="heat", Table2[[#This Row],[Quantity_correct]]/0.8333,
"NA")))</f>
        <v>4995.725021374893</v>
      </c>
      <c r="N42" s="1">
        <v>4995.75</v>
      </c>
    </row>
    <row r="43" spans="1:14" ht="12.5" hidden="1" x14ac:dyDescent="0.25">
      <c r="A43" s="1" t="s">
        <v>8</v>
      </c>
      <c r="B43" s="1" t="s">
        <v>139</v>
      </c>
      <c r="C43" s="1" t="str">
        <f>IF(OR(Table2[[#This Row],[units]]="litre_(l)", Table2[[#This Row],[units]]="gallon_(gal)", Table2[[#This Row],[units]]="cubic_metre_(m3)"), "water", Table2[[#This Row],[type2]])</f>
        <v>electricity</v>
      </c>
      <c r="D43" s="1" t="s">
        <v>128</v>
      </c>
      <c r="E43" s="3">
        <v>44937</v>
      </c>
      <c r="F43" s="8">
        <f t="shared" si="0"/>
        <v>45231</v>
      </c>
      <c r="G43" s="1" t="s">
        <v>56</v>
      </c>
      <c r="H43" s="8">
        <f t="shared" si="1"/>
        <v>45260</v>
      </c>
      <c r="I43" s="5">
        <v>5666.7</v>
      </c>
      <c r="J4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5666.7</v>
      </c>
      <c r="K43" s="5" t="str">
        <f>IF(Table2[[#This Row],[Type]]="electricity", "kilowatt_hour_(kwh)",
IF(Table2[[#This Row],[Type]]="water", "cubic_metre_(m3)",
IF(Table2[[#This Row],[Type]]="heat", "therm_(thm)",
"NA")))</f>
        <v>kilowatt_hour_(kwh)</v>
      </c>
      <c r="L43" s="1" t="s">
        <v>129</v>
      </c>
      <c r="M43" s="10">
        <f>IF(Table2[[#This Row],[Type]]="electricity", Table2[[#This Row],[Quantity_correct]]/6.6667,
IF(Table2[[#This Row],[Type]]="water", Table2[[#This Row],[Quantity_correct]]/3.333,
IF(Table2[[#This Row],[Type]]="heat", Table2[[#This Row],[Quantity_correct]]/0.8333,
"NA")))</f>
        <v>850.00074999625008</v>
      </c>
      <c r="N43" s="1">
        <v>850.005</v>
      </c>
    </row>
    <row r="44" spans="1:14" ht="12.5" hidden="1" x14ac:dyDescent="0.25">
      <c r="A44" s="1" t="s">
        <v>8</v>
      </c>
      <c r="B44" s="1" t="s">
        <v>139</v>
      </c>
      <c r="C44" s="1" t="str">
        <f>IF(OR(Table2[[#This Row],[units]]="litre_(l)", Table2[[#This Row],[units]]="gallon_(gal)", Table2[[#This Row],[units]]="cubic_metre_(m3)"), "water", Table2[[#This Row],[type2]])</f>
        <v>electricity</v>
      </c>
      <c r="D44" s="1" t="s">
        <v>128</v>
      </c>
      <c r="E44" s="3">
        <v>44937</v>
      </c>
      <c r="F44" s="8">
        <f t="shared" si="0"/>
        <v>45231</v>
      </c>
      <c r="G44" s="1" t="s">
        <v>56</v>
      </c>
      <c r="H44" s="8">
        <f t="shared" si="1"/>
        <v>45260</v>
      </c>
      <c r="I44" s="4">
        <v>37328</v>
      </c>
      <c r="J4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37328</v>
      </c>
      <c r="K44" s="4" t="str">
        <f>IF(Table2[[#This Row],[Type]]="electricity", "kilowatt_hour_(kwh)",
IF(Table2[[#This Row],[Type]]="water", "cubic_metre_(m3)",
IF(Table2[[#This Row],[Type]]="heat", "therm_(thm)",
"NA")))</f>
        <v>kilowatt_hour_(kwh)</v>
      </c>
      <c r="L44" s="1" t="s">
        <v>129</v>
      </c>
      <c r="M44" s="10">
        <f>IF(Table2[[#This Row],[Type]]="electricity", Table2[[#This Row],[Quantity_correct]]/6.6667,
IF(Table2[[#This Row],[Type]]="water", Table2[[#This Row],[Quantity_correct]]/3.333,
IF(Table2[[#This Row],[Type]]="heat", Table2[[#This Row],[Quantity_correct]]/0.8333,
"NA")))</f>
        <v>5599.1720041399794</v>
      </c>
      <c r="N44" s="1">
        <v>5599.2</v>
      </c>
    </row>
    <row r="45" spans="1:14" ht="12.5" hidden="1" x14ac:dyDescent="0.25">
      <c r="A45" s="1" t="s">
        <v>8</v>
      </c>
      <c r="B45" s="1" t="s">
        <v>139</v>
      </c>
      <c r="C45" s="1" t="str">
        <f>IF(OR(Table2[[#This Row],[units]]="litre_(l)", Table2[[#This Row],[units]]="gallon_(gal)", Table2[[#This Row],[units]]="cubic_metre_(m3)"), "water", Table2[[#This Row],[type2]])</f>
        <v>electricity</v>
      </c>
      <c r="D45" s="1" t="s">
        <v>128</v>
      </c>
      <c r="E45" s="3">
        <v>44938</v>
      </c>
      <c r="F45" s="8">
        <f t="shared" si="0"/>
        <v>45261</v>
      </c>
      <c r="G45" s="1" t="s">
        <v>45</v>
      </c>
      <c r="H45" s="8">
        <f t="shared" si="1"/>
        <v>45291</v>
      </c>
      <c r="I45" s="5">
        <v>3664.5</v>
      </c>
      <c r="J4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3664.5</v>
      </c>
      <c r="K45" s="5" t="str">
        <f>IF(Table2[[#This Row],[Type]]="electricity", "kilowatt_hour_(kwh)",
IF(Table2[[#This Row],[Type]]="water", "cubic_metre_(m3)",
IF(Table2[[#This Row],[Type]]="heat", "therm_(thm)",
"NA")))</f>
        <v>kilowatt_hour_(kwh)</v>
      </c>
      <c r="L45" s="1" t="s">
        <v>129</v>
      </c>
      <c r="M45" s="10">
        <f>IF(Table2[[#This Row],[Type]]="electricity", Table2[[#This Row],[Quantity_correct]]/6.6667,
IF(Table2[[#This Row],[Type]]="water", Table2[[#This Row],[Quantity_correct]]/3.333,
IF(Table2[[#This Row],[Type]]="heat", Table2[[#This Row],[Quantity_correct]]/0.8333,
"NA")))</f>
        <v>549.67225163874184</v>
      </c>
      <c r="N45" s="1">
        <v>549.67499999999995</v>
      </c>
    </row>
    <row r="46" spans="1:14" ht="12.5" hidden="1" x14ac:dyDescent="0.25">
      <c r="A46" s="1" t="s">
        <v>8</v>
      </c>
      <c r="B46" s="1" t="s">
        <v>139</v>
      </c>
      <c r="C46" s="1" t="str">
        <f>IF(OR(Table2[[#This Row],[units]]="litre_(l)", Table2[[#This Row],[units]]="gallon_(gal)", Table2[[#This Row],[units]]="cubic_metre_(m3)"), "water", Table2[[#This Row],[type2]])</f>
        <v>electricity</v>
      </c>
      <c r="D46" s="1" t="s">
        <v>128</v>
      </c>
      <c r="E46" s="3">
        <v>44938</v>
      </c>
      <c r="F46" s="8">
        <f t="shared" si="0"/>
        <v>45261</v>
      </c>
      <c r="G46" s="1" t="s">
        <v>45</v>
      </c>
      <c r="H46" s="8">
        <f t="shared" si="1"/>
        <v>45291</v>
      </c>
      <c r="I46" s="4">
        <v>33985</v>
      </c>
      <c r="J4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33985</v>
      </c>
      <c r="K46" s="4" t="str">
        <f>IF(Table2[[#This Row],[Type]]="electricity", "kilowatt_hour_(kwh)",
IF(Table2[[#This Row],[Type]]="water", "cubic_metre_(m3)",
IF(Table2[[#This Row],[Type]]="heat", "therm_(thm)",
"NA")))</f>
        <v>kilowatt_hour_(kwh)</v>
      </c>
      <c r="L46" s="1" t="s">
        <v>129</v>
      </c>
      <c r="M46" s="10">
        <f>IF(Table2[[#This Row],[Type]]="electricity", Table2[[#This Row],[Quantity_correct]]/6.6667,
IF(Table2[[#This Row],[Type]]="water", Table2[[#This Row],[Quantity_correct]]/3.333,
IF(Table2[[#This Row],[Type]]="heat", Table2[[#This Row],[Quantity_correct]]/0.8333,
"NA")))</f>
        <v>5097.7245113774434</v>
      </c>
      <c r="N46" s="1">
        <v>5097.75</v>
      </c>
    </row>
    <row r="47" spans="1:14" ht="12.5" hidden="1" x14ac:dyDescent="0.25">
      <c r="A47" s="1" t="s">
        <v>8</v>
      </c>
      <c r="B47" s="1" t="s">
        <v>139</v>
      </c>
      <c r="C47" s="1" t="str">
        <f>IF(OR(Table2[[#This Row],[units]]="litre_(l)", Table2[[#This Row],[units]]="gallon_(gal)", Table2[[#This Row],[units]]="cubic_metre_(m3)"), "water", Table2[[#This Row],[type2]])</f>
        <v>heat</v>
      </c>
      <c r="D47" s="1" t="s">
        <v>140</v>
      </c>
      <c r="E47" s="3">
        <v>44562</v>
      </c>
      <c r="F47" s="8">
        <f t="shared" si="0"/>
        <v>44562</v>
      </c>
      <c r="G47" s="1" t="s">
        <v>141</v>
      </c>
      <c r="H47" s="8">
        <f t="shared" si="1"/>
        <v>44592</v>
      </c>
      <c r="I47" s="4">
        <v>32306</v>
      </c>
      <c r="J4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1102.3267399367389</v>
      </c>
      <c r="K47" s="4" t="str">
        <f>IF(Table2[[#This Row],[Type]]="electricity", "kilowatt_hour_(kwh)",
IF(Table2[[#This Row],[Type]]="water", "cubic_metre_(m3)",
IF(Table2[[#This Row],[Type]]="heat", "therm_(thm)",
"NA")))</f>
        <v>therm_(thm)</v>
      </c>
      <c r="L47" s="1" t="s">
        <v>129</v>
      </c>
      <c r="M47" s="10">
        <f>IF(Table2[[#This Row],[Type]]="electricity", Table2[[#This Row],[Quantity_correct]]/6.6667,
IF(Table2[[#This Row],[Type]]="water", Table2[[#This Row],[Quantity_correct]]/3.333,
IF(Table2[[#This Row],[Type]]="heat", Table2[[#This Row],[Quantity_correct]]/0.8333,
"NA")))</f>
        <v>1322.8450017241555</v>
      </c>
      <c r="N47" s="1">
        <v>38767.199999999997</v>
      </c>
    </row>
    <row r="48" spans="1:14" ht="12.5" hidden="1" x14ac:dyDescent="0.25">
      <c r="A48" s="1" t="s">
        <v>8</v>
      </c>
      <c r="B48" s="1" t="s">
        <v>139</v>
      </c>
      <c r="C48" s="1" t="str">
        <f>IF(OR(Table2[[#This Row],[units]]="litre_(l)", Table2[[#This Row],[units]]="gallon_(gal)", Table2[[#This Row],[units]]="cubic_metre_(m3)"), "water", Table2[[#This Row],[type2]])</f>
        <v>heat</v>
      </c>
      <c r="D48" s="1" t="s">
        <v>140</v>
      </c>
      <c r="E48" s="3">
        <v>44563</v>
      </c>
      <c r="F48" s="8">
        <f t="shared" si="0"/>
        <v>44593</v>
      </c>
      <c r="G48" s="1" t="s">
        <v>142</v>
      </c>
      <c r="H48" s="8">
        <f t="shared" si="1"/>
        <v>44620</v>
      </c>
      <c r="I48" s="4">
        <v>29242</v>
      </c>
      <c r="J4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997.77869526497</v>
      </c>
      <c r="K48" s="4" t="str">
        <f>IF(Table2[[#This Row],[Type]]="electricity", "kilowatt_hour_(kwh)",
IF(Table2[[#This Row],[Type]]="water", "cubic_metre_(m3)",
IF(Table2[[#This Row],[Type]]="heat", "therm_(thm)",
"NA")))</f>
        <v>therm_(thm)</v>
      </c>
      <c r="L48" s="1" t="s">
        <v>129</v>
      </c>
      <c r="M48" s="10">
        <f>IF(Table2[[#This Row],[Type]]="electricity", Table2[[#This Row],[Quantity_correct]]/6.6667,
IF(Table2[[#This Row],[Type]]="water", Table2[[#This Row],[Quantity_correct]]/3.333,
IF(Table2[[#This Row],[Type]]="heat", Table2[[#This Row],[Quantity_correct]]/0.8333,
"NA")))</f>
        <v>1197.3823296111484</v>
      </c>
      <c r="N48" s="1">
        <v>35090.400000000001</v>
      </c>
    </row>
    <row r="49" spans="1:14" ht="12.5" hidden="1" x14ac:dyDescent="0.25">
      <c r="A49" s="1" t="s">
        <v>8</v>
      </c>
      <c r="B49" s="1" t="s">
        <v>139</v>
      </c>
      <c r="C49" s="1" t="str">
        <f>IF(OR(Table2[[#This Row],[units]]="litre_(l)", Table2[[#This Row],[units]]="gallon_(gal)", Table2[[#This Row],[units]]="cubic_metre_(m3)"), "water", Table2[[#This Row],[type2]])</f>
        <v>heat</v>
      </c>
      <c r="D49" s="1" t="s">
        <v>140</v>
      </c>
      <c r="E49" s="3">
        <v>44564</v>
      </c>
      <c r="F49" s="8">
        <f t="shared" si="0"/>
        <v>44621</v>
      </c>
      <c r="G49" s="1" t="s">
        <v>143</v>
      </c>
      <c r="H49" s="8">
        <f t="shared" si="1"/>
        <v>44651</v>
      </c>
      <c r="I49" s="4">
        <v>28654</v>
      </c>
      <c r="J4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977.71529765824664</v>
      </c>
      <c r="K49" s="4" t="str">
        <f>IF(Table2[[#This Row],[Type]]="electricity", "kilowatt_hour_(kwh)",
IF(Table2[[#This Row],[Type]]="water", "cubic_metre_(m3)",
IF(Table2[[#This Row],[Type]]="heat", "therm_(thm)",
"NA")))</f>
        <v>therm_(thm)</v>
      </c>
      <c r="L49" s="1" t="s">
        <v>129</v>
      </c>
      <c r="M49" s="10">
        <f>IF(Table2[[#This Row],[Type]]="electricity", Table2[[#This Row],[Quantity_correct]]/6.6667,
IF(Table2[[#This Row],[Type]]="water", Table2[[#This Row],[Quantity_correct]]/3.333,
IF(Table2[[#This Row],[Type]]="heat", Table2[[#This Row],[Quantity_correct]]/0.8333,
"NA")))</f>
        <v>1173.305289401472</v>
      </c>
      <c r="N49" s="1">
        <v>34384.800000000003</v>
      </c>
    </row>
    <row r="50" spans="1:14" ht="12.5" hidden="1" x14ac:dyDescent="0.25">
      <c r="A50" s="1" t="s">
        <v>8</v>
      </c>
      <c r="B50" s="1" t="s">
        <v>139</v>
      </c>
      <c r="C50" s="1" t="str">
        <f>IF(OR(Table2[[#This Row],[units]]="litre_(l)", Table2[[#This Row],[units]]="gallon_(gal)", Table2[[#This Row],[units]]="cubic_metre_(m3)"), "water", Table2[[#This Row],[type2]])</f>
        <v>heat</v>
      </c>
      <c r="D50" s="1" t="s">
        <v>140</v>
      </c>
      <c r="E50" s="3">
        <v>44565</v>
      </c>
      <c r="F50" s="8">
        <f t="shared" si="0"/>
        <v>44652</v>
      </c>
      <c r="G50" s="1" t="s">
        <v>144</v>
      </c>
      <c r="H50" s="8">
        <f t="shared" si="1"/>
        <v>44681</v>
      </c>
      <c r="I50" s="4">
        <v>15130</v>
      </c>
      <c r="J5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516.25715270361115</v>
      </c>
      <c r="K50" s="4" t="str">
        <f>IF(Table2[[#This Row],[Type]]="electricity", "kilowatt_hour_(kwh)",
IF(Table2[[#This Row],[Type]]="water", "cubic_metre_(m3)",
IF(Table2[[#This Row],[Type]]="heat", "therm_(thm)",
"NA")))</f>
        <v>therm_(thm)</v>
      </c>
      <c r="L50" s="1" t="s">
        <v>129</v>
      </c>
      <c r="M50" s="10">
        <f>IF(Table2[[#This Row],[Type]]="electricity", Table2[[#This Row],[Quantity_correct]]/6.6667,
IF(Table2[[#This Row],[Type]]="water", Table2[[#This Row],[Quantity_correct]]/3.333,
IF(Table2[[#This Row],[Type]]="heat", Table2[[#This Row],[Quantity_correct]]/0.8333,
"NA")))</f>
        <v>619.53336457891646</v>
      </c>
      <c r="N50" s="1">
        <v>18156</v>
      </c>
    </row>
    <row r="51" spans="1:14" ht="12.5" hidden="1" x14ac:dyDescent="0.25">
      <c r="A51" s="1" t="s">
        <v>8</v>
      </c>
      <c r="B51" s="1" t="s">
        <v>139</v>
      </c>
      <c r="C51" s="1" t="str">
        <f>IF(OR(Table2[[#This Row],[units]]="litre_(l)", Table2[[#This Row],[units]]="gallon_(gal)", Table2[[#This Row],[units]]="cubic_metre_(m3)"), "water", Table2[[#This Row],[type2]])</f>
        <v>heat</v>
      </c>
      <c r="D51" s="1" t="s">
        <v>140</v>
      </c>
      <c r="E51" s="3">
        <v>44566</v>
      </c>
      <c r="F51" s="8">
        <f t="shared" si="0"/>
        <v>44682</v>
      </c>
      <c r="G51" s="1" t="s">
        <v>145</v>
      </c>
      <c r="H51" s="8">
        <f t="shared" si="1"/>
        <v>44712</v>
      </c>
      <c r="I51" s="4">
        <v>1746</v>
      </c>
      <c r="J5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59.576007179147716</v>
      </c>
      <c r="K51" s="4" t="str">
        <f>IF(Table2[[#This Row],[Type]]="electricity", "kilowatt_hour_(kwh)",
IF(Table2[[#This Row],[Type]]="water", "cubic_metre_(m3)",
IF(Table2[[#This Row],[Type]]="heat", "therm_(thm)",
"NA")))</f>
        <v>therm_(thm)</v>
      </c>
      <c r="L51" s="1" t="s">
        <v>129</v>
      </c>
      <c r="M51" s="10">
        <f>IF(Table2[[#This Row],[Type]]="electricity", Table2[[#This Row],[Quantity_correct]]/6.6667,
IF(Table2[[#This Row],[Type]]="water", Table2[[#This Row],[Quantity_correct]]/3.333,
IF(Table2[[#This Row],[Type]]="heat", Table2[[#This Row],[Quantity_correct]]/0.8333,
"NA")))</f>
        <v>71.494068377712367</v>
      </c>
      <c r="N51" s="1">
        <v>2095.1999999999998</v>
      </c>
    </row>
    <row r="52" spans="1:14" ht="12.5" hidden="1" x14ac:dyDescent="0.25">
      <c r="A52" s="1" t="s">
        <v>8</v>
      </c>
      <c r="B52" s="1" t="s">
        <v>139</v>
      </c>
      <c r="C52" s="1" t="str">
        <f>IF(OR(Table2[[#This Row],[units]]="litre_(l)", Table2[[#This Row],[units]]="gallon_(gal)", Table2[[#This Row],[units]]="cubic_metre_(m3)"), "water", Table2[[#This Row],[type2]])</f>
        <v>heat</v>
      </c>
      <c r="D52" s="1" t="s">
        <v>140</v>
      </c>
      <c r="E52" s="3">
        <v>44567</v>
      </c>
      <c r="F52" s="8">
        <f t="shared" si="0"/>
        <v>44713</v>
      </c>
      <c r="G52" s="1" t="s">
        <v>146</v>
      </c>
      <c r="H52" s="8">
        <f t="shared" si="1"/>
        <v>44742</v>
      </c>
      <c r="I52" s="1">
        <v>0</v>
      </c>
      <c r="J5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52" s="4" t="str">
        <f>IF(Table2[[#This Row],[Type]]="electricity", "kilowatt_hour_(kwh)",
IF(Table2[[#This Row],[Type]]="water", "cubic_metre_(m3)",
IF(Table2[[#This Row],[Type]]="heat", "therm_(thm)",
"NA")))</f>
        <v>therm_(thm)</v>
      </c>
      <c r="L52" s="1" t="s">
        <v>129</v>
      </c>
      <c r="M52" s="10">
        <f>IF(Table2[[#This Row],[Type]]="electricity", Table2[[#This Row],[Quantity_correct]]/6.6667,
IF(Table2[[#This Row],[Type]]="water", Table2[[#This Row],[Quantity_correct]]/3.333,
IF(Table2[[#This Row],[Type]]="heat", Table2[[#This Row],[Quantity_correct]]/0.8333,
"NA")))</f>
        <v>0</v>
      </c>
      <c r="N52" s="1">
        <v>0</v>
      </c>
    </row>
    <row r="53" spans="1:14" ht="12.5" hidden="1" x14ac:dyDescent="0.25">
      <c r="A53" s="1" t="s">
        <v>8</v>
      </c>
      <c r="B53" s="1" t="s">
        <v>139</v>
      </c>
      <c r="C53" s="1" t="str">
        <f>IF(OR(Table2[[#This Row],[units]]="litre_(l)", Table2[[#This Row],[units]]="gallon_(gal)", Table2[[#This Row],[units]]="cubic_metre_(m3)"), "water", Table2[[#This Row],[type2]])</f>
        <v>heat</v>
      </c>
      <c r="D53" s="1" t="s">
        <v>140</v>
      </c>
      <c r="E53" s="3">
        <v>44568</v>
      </c>
      <c r="F53" s="8">
        <f t="shared" si="0"/>
        <v>44743</v>
      </c>
      <c r="G53" s="1" t="s">
        <v>147</v>
      </c>
      <c r="H53" s="8">
        <f t="shared" si="1"/>
        <v>44773</v>
      </c>
      <c r="I53" s="1">
        <v>0</v>
      </c>
      <c r="J5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53" s="4" t="str">
        <f>IF(Table2[[#This Row],[Type]]="electricity", "kilowatt_hour_(kwh)",
IF(Table2[[#This Row],[Type]]="water", "cubic_metre_(m3)",
IF(Table2[[#This Row],[Type]]="heat", "therm_(thm)",
"NA")))</f>
        <v>therm_(thm)</v>
      </c>
      <c r="L53" s="1" t="s">
        <v>129</v>
      </c>
      <c r="M53" s="10">
        <f>IF(Table2[[#This Row],[Type]]="electricity", Table2[[#This Row],[Quantity_correct]]/6.6667,
IF(Table2[[#This Row],[Type]]="water", Table2[[#This Row],[Quantity_correct]]/3.333,
IF(Table2[[#This Row],[Type]]="heat", Table2[[#This Row],[Quantity_correct]]/0.8333,
"NA")))</f>
        <v>0</v>
      </c>
      <c r="N53" s="1">
        <v>0</v>
      </c>
    </row>
    <row r="54" spans="1:14" ht="12.5" hidden="1" x14ac:dyDescent="0.25">
      <c r="A54" s="1" t="s">
        <v>8</v>
      </c>
      <c r="B54" s="1" t="s">
        <v>139</v>
      </c>
      <c r="C54" s="1" t="str">
        <f>IF(OR(Table2[[#This Row],[units]]="litre_(l)", Table2[[#This Row],[units]]="gallon_(gal)", Table2[[#This Row],[units]]="cubic_metre_(m3)"), "water", Table2[[#This Row],[type2]])</f>
        <v>heat</v>
      </c>
      <c r="D54" s="1" t="s">
        <v>140</v>
      </c>
      <c r="E54" s="3">
        <v>44569</v>
      </c>
      <c r="F54" s="8">
        <f t="shared" si="0"/>
        <v>44774</v>
      </c>
      <c r="G54" s="1" t="s">
        <v>148</v>
      </c>
      <c r="H54" s="8">
        <f t="shared" si="1"/>
        <v>44804</v>
      </c>
      <c r="I54" s="1">
        <v>0</v>
      </c>
      <c r="J5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54" s="4" t="str">
        <f>IF(Table2[[#This Row],[Type]]="electricity", "kilowatt_hour_(kwh)",
IF(Table2[[#This Row],[Type]]="water", "cubic_metre_(m3)",
IF(Table2[[#This Row],[Type]]="heat", "therm_(thm)",
"NA")))</f>
        <v>therm_(thm)</v>
      </c>
      <c r="L54" s="1" t="s">
        <v>129</v>
      </c>
      <c r="M54" s="10">
        <f>IF(Table2[[#This Row],[Type]]="electricity", Table2[[#This Row],[Quantity_correct]]/6.6667,
IF(Table2[[#This Row],[Type]]="water", Table2[[#This Row],[Quantity_correct]]/3.333,
IF(Table2[[#This Row],[Type]]="heat", Table2[[#This Row],[Quantity_correct]]/0.8333,
"NA")))</f>
        <v>0</v>
      </c>
      <c r="N54" s="1">
        <v>0</v>
      </c>
    </row>
    <row r="55" spans="1:14" ht="12.5" hidden="1" x14ac:dyDescent="0.25">
      <c r="A55" s="1" t="s">
        <v>8</v>
      </c>
      <c r="B55" s="1" t="s">
        <v>139</v>
      </c>
      <c r="C55" s="1" t="str">
        <f>IF(OR(Table2[[#This Row],[units]]="litre_(l)", Table2[[#This Row],[units]]="gallon_(gal)", Table2[[#This Row],[units]]="cubic_metre_(m3)"), "water", Table2[[#This Row],[type2]])</f>
        <v>heat</v>
      </c>
      <c r="D55" s="1" t="s">
        <v>140</v>
      </c>
      <c r="E55" s="3">
        <v>44570</v>
      </c>
      <c r="F55" s="8">
        <f t="shared" si="0"/>
        <v>44805</v>
      </c>
      <c r="G55" s="1" t="s">
        <v>149</v>
      </c>
      <c r="H55" s="8">
        <f t="shared" si="1"/>
        <v>44834</v>
      </c>
      <c r="I55" s="1">
        <v>0</v>
      </c>
      <c r="J5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55" s="4" t="str">
        <f>IF(Table2[[#This Row],[Type]]="electricity", "kilowatt_hour_(kwh)",
IF(Table2[[#This Row],[Type]]="water", "cubic_metre_(m3)",
IF(Table2[[#This Row],[Type]]="heat", "therm_(thm)",
"NA")))</f>
        <v>therm_(thm)</v>
      </c>
      <c r="L55" s="1" t="s">
        <v>129</v>
      </c>
      <c r="M55" s="10">
        <f>IF(Table2[[#This Row],[Type]]="electricity", Table2[[#This Row],[Quantity_correct]]/6.6667,
IF(Table2[[#This Row],[Type]]="water", Table2[[#This Row],[Quantity_correct]]/3.333,
IF(Table2[[#This Row],[Type]]="heat", Table2[[#This Row],[Quantity_correct]]/0.8333,
"NA")))</f>
        <v>0</v>
      </c>
      <c r="N55" s="1">
        <v>0</v>
      </c>
    </row>
    <row r="56" spans="1:14" ht="12.5" hidden="1" x14ac:dyDescent="0.25">
      <c r="A56" s="1" t="s">
        <v>8</v>
      </c>
      <c r="B56" s="1" t="s">
        <v>139</v>
      </c>
      <c r="C56" s="1" t="str">
        <f>IF(OR(Table2[[#This Row],[units]]="litre_(l)", Table2[[#This Row],[units]]="gallon_(gal)", Table2[[#This Row],[units]]="cubic_metre_(m3)"), "water", Table2[[#This Row],[type2]])</f>
        <v>heat</v>
      </c>
      <c r="D56" s="1" t="s">
        <v>140</v>
      </c>
      <c r="E56" s="3">
        <v>44571</v>
      </c>
      <c r="F56" s="8">
        <f t="shared" si="0"/>
        <v>44835</v>
      </c>
      <c r="G56" s="1" t="s">
        <v>150</v>
      </c>
      <c r="H56" s="8">
        <f t="shared" si="1"/>
        <v>44865</v>
      </c>
      <c r="I56" s="1">
        <v>0</v>
      </c>
      <c r="J5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56" s="4" t="str">
        <f>IF(Table2[[#This Row],[Type]]="electricity", "kilowatt_hour_(kwh)",
IF(Table2[[#This Row],[Type]]="water", "cubic_metre_(m3)",
IF(Table2[[#This Row],[Type]]="heat", "therm_(thm)",
"NA")))</f>
        <v>therm_(thm)</v>
      </c>
      <c r="L56" s="1" t="s">
        <v>129</v>
      </c>
      <c r="M56" s="10">
        <f>IF(Table2[[#This Row],[Type]]="electricity", Table2[[#This Row],[Quantity_correct]]/6.6667,
IF(Table2[[#This Row],[Type]]="water", Table2[[#This Row],[Quantity_correct]]/3.333,
IF(Table2[[#This Row],[Type]]="heat", Table2[[#This Row],[Quantity_correct]]/0.8333,
"NA")))</f>
        <v>0</v>
      </c>
      <c r="N56" s="1">
        <v>0</v>
      </c>
    </row>
    <row r="57" spans="1:14" ht="12.5" hidden="1" x14ac:dyDescent="0.25">
      <c r="A57" s="1" t="s">
        <v>8</v>
      </c>
      <c r="B57" s="1" t="s">
        <v>139</v>
      </c>
      <c r="C57" s="1" t="str">
        <f>IF(OR(Table2[[#This Row],[units]]="litre_(l)", Table2[[#This Row],[units]]="gallon_(gal)", Table2[[#This Row],[units]]="cubic_metre_(m3)"), "water", Table2[[#This Row],[type2]])</f>
        <v>heat</v>
      </c>
      <c r="D57" s="1" t="s">
        <v>140</v>
      </c>
      <c r="E57" s="3">
        <v>44572</v>
      </c>
      <c r="F57" s="8">
        <f t="shared" si="0"/>
        <v>44866</v>
      </c>
      <c r="G57" s="1" t="s">
        <v>151</v>
      </c>
      <c r="H57" s="8">
        <f t="shared" si="1"/>
        <v>44895</v>
      </c>
      <c r="I57" s="4">
        <v>12695</v>
      </c>
      <c r="J5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433.17148404311587</v>
      </c>
      <c r="K57" s="4" t="str">
        <f>IF(Table2[[#This Row],[Type]]="electricity", "kilowatt_hour_(kwh)",
IF(Table2[[#This Row],[Type]]="water", "cubic_metre_(m3)",
IF(Table2[[#This Row],[Type]]="heat", "therm_(thm)",
"NA")))</f>
        <v>therm_(thm)</v>
      </c>
      <c r="L57" s="1" t="s">
        <v>129</v>
      </c>
      <c r="M57" s="10">
        <f>IF(Table2[[#This Row],[Type]]="electricity", Table2[[#This Row],[Quantity_correct]]/6.6667,
IF(Table2[[#This Row],[Type]]="water", Table2[[#This Row],[Quantity_correct]]/3.333,
IF(Table2[[#This Row],[Type]]="heat", Table2[[#This Row],[Quantity_correct]]/0.8333,
"NA")))</f>
        <v>519.82657391469559</v>
      </c>
      <c r="N57" s="1">
        <v>15234</v>
      </c>
    </row>
    <row r="58" spans="1:14" ht="12.5" hidden="1" x14ac:dyDescent="0.25">
      <c r="A58" s="1" t="s">
        <v>8</v>
      </c>
      <c r="B58" s="1" t="s">
        <v>139</v>
      </c>
      <c r="C58" s="1" t="str">
        <f>IF(OR(Table2[[#This Row],[units]]="litre_(l)", Table2[[#This Row],[units]]="gallon_(gal)", Table2[[#This Row],[units]]="cubic_metre_(m3)"), "water", Table2[[#This Row],[type2]])</f>
        <v>heat</v>
      </c>
      <c r="D58" s="1" t="s">
        <v>140</v>
      </c>
      <c r="E58" s="3">
        <v>44573</v>
      </c>
      <c r="F58" s="8">
        <f t="shared" si="0"/>
        <v>44896</v>
      </c>
      <c r="G58" s="1" t="s">
        <v>51</v>
      </c>
      <c r="H58" s="8">
        <f t="shared" si="1"/>
        <v>44926</v>
      </c>
      <c r="I58" s="4">
        <v>18894</v>
      </c>
      <c r="J5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644.69019452624116</v>
      </c>
      <c r="K58" s="4" t="str">
        <f>IF(Table2[[#This Row],[Type]]="electricity", "kilowatt_hour_(kwh)",
IF(Table2[[#This Row],[Type]]="water", "cubic_metre_(m3)",
IF(Table2[[#This Row],[Type]]="heat", "therm_(thm)",
"NA")))</f>
        <v>therm_(thm)</v>
      </c>
      <c r="L58" s="1" t="s">
        <v>129</v>
      </c>
      <c r="M58" s="10">
        <f>IF(Table2[[#This Row],[Type]]="electricity", Table2[[#This Row],[Quantity_correct]]/6.6667,
IF(Table2[[#This Row],[Type]]="water", Table2[[#This Row],[Quantity_correct]]/3.333,
IF(Table2[[#This Row],[Type]]="heat", Table2[[#This Row],[Quantity_correct]]/0.8333,
"NA")))</f>
        <v>773.65917979868129</v>
      </c>
      <c r="N58" s="1">
        <v>22672.799999999999</v>
      </c>
    </row>
    <row r="59" spans="1:14" ht="12.5" hidden="1" x14ac:dyDescent="0.25">
      <c r="A59" s="1" t="s">
        <v>8</v>
      </c>
      <c r="B59" s="1" t="s">
        <v>139</v>
      </c>
      <c r="C59" s="1" t="str">
        <f>IF(OR(Table2[[#This Row],[units]]="litre_(l)", Table2[[#This Row],[units]]="gallon_(gal)", Table2[[#This Row],[units]]="cubic_metre_(m3)"), "water", Table2[[#This Row],[type2]])</f>
        <v>heat</v>
      </c>
      <c r="D59" s="1" t="s">
        <v>140</v>
      </c>
      <c r="E59" s="3">
        <v>44927</v>
      </c>
      <c r="F59" s="8">
        <f t="shared" si="0"/>
        <v>44927</v>
      </c>
      <c r="G59" s="1" t="s">
        <v>68</v>
      </c>
      <c r="H59" s="8">
        <f t="shared" si="1"/>
        <v>44957</v>
      </c>
      <c r="I59" s="4">
        <v>36078</v>
      </c>
      <c r="J5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1231.0327531553787</v>
      </c>
      <c r="K59" s="4" t="str">
        <f>IF(Table2[[#This Row],[Type]]="electricity", "kilowatt_hour_(kwh)",
IF(Table2[[#This Row],[Type]]="water", "cubic_metre_(m3)",
IF(Table2[[#This Row],[Type]]="heat", "therm_(thm)",
"NA")))</f>
        <v>therm_(thm)</v>
      </c>
      <c r="L59" s="1" t="s">
        <v>129</v>
      </c>
      <c r="M59" s="10">
        <f>IF(Table2[[#This Row],[Type]]="electricity", Table2[[#This Row],[Quantity_correct]]/6.6667,
IF(Table2[[#This Row],[Type]]="water", Table2[[#This Row],[Quantity_correct]]/3.333,
IF(Table2[[#This Row],[Type]]="heat", Table2[[#This Row],[Quantity_correct]]/0.8333,
"NA")))</f>
        <v>1477.2983957222832</v>
      </c>
      <c r="N59" s="1">
        <v>43293.599999999999</v>
      </c>
    </row>
    <row r="60" spans="1:14" ht="12.5" hidden="1" x14ac:dyDescent="0.25">
      <c r="A60" s="1" t="s">
        <v>8</v>
      </c>
      <c r="B60" s="1" t="s">
        <v>139</v>
      </c>
      <c r="C60" s="1" t="str">
        <f>IF(OR(Table2[[#This Row],[units]]="litre_(l)", Table2[[#This Row],[units]]="gallon_(gal)", Table2[[#This Row],[units]]="cubic_metre_(m3)"), "water", Table2[[#This Row],[type2]])</f>
        <v>heat</v>
      </c>
      <c r="D60" s="1" t="s">
        <v>140</v>
      </c>
      <c r="E60" s="3">
        <v>44928</v>
      </c>
      <c r="F60" s="8">
        <f t="shared" si="0"/>
        <v>44958</v>
      </c>
      <c r="G60" s="1" t="s">
        <v>65</v>
      </c>
      <c r="H60" s="8">
        <f t="shared" si="1"/>
        <v>44985</v>
      </c>
      <c r="I60" s="4">
        <v>29556</v>
      </c>
      <c r="J6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1008.4928225583562</v>
      </c>
      <c r="K60" s="4" t="str">
        <f>IF(Table2[[#This Row],[Type]]="electricity", "kilowatt_hour_(kwh)",
IF(Table2[[#This Row],[Type]]="water", "cubic_metre_(m3)",
IF(Table2[[#This Row],[Type]]="heat", "therm_(thm)",
"NA")))</f>
        <v>therm_(thm)</v>
      </c>
      <c r="L60" s="1" t="s">
        <v>129</v>
      </c>
      <c r="M60" s="10">
        <f>IF(Table2[[#This Row],[Type]]="electricity", Table2[[#This Row],[Quantity_correct]]/6.6667,
IF(Table2[[#This Row],[Type]]="water", Table2[[#This Row],[Quantity_correct]]/3.333,
IF(Table2[[#This Row],[Type]]="heat", Table2[[#This Row],[Quantity_correct]]/0.8333,
"NA")))</f>
        <v>1210.2397966618939</v>
      </c>
      <c r="N60" s="1">
        <v>35467.199999999997</v>
      </c>
    </row>
    <row r="61" spans="1:14" ht="12.5" hidden="1" x14ac:dyDescent="0.25">
      <c r="A61" s="1" t="s">
        <v>8</v>
      </c>
      <c r="B61" s="1" t="s">
        <v>139</v>
      </c>
      <c r="C61" s="1" t="str">
        <f>IF(OR(Table2[[#This Row],[units]]="litre_(l)", Table2[[#This Row],[units]]="gallon_(gal)", Table2[[#This Row],[units]]="cubic_metre_(m3)"), "water", Table2[[#This Row],[type2]])</f>
        <v>heat</v>
      </c>
      <c r="D61" s="1" t="s">
        <v>140</v>
      </c>
      <c r="E61" s="3">
        <v>44929</v>
      </c>
      <c r="F61" s="8">
        <f t="shared" si="0"/>
        <v>44986</v>
      </c>
      <c r="G61" s="1" t="s">
        <v>74</v>
      </c>
      <c r="H61" s="8">
        <f t="shared" si="1"/>
        <v>45016</v>
      </c>
      <c r="I61" s="4">
        <v>14582</v>
      </c>
      <c r="J6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497.55861207693704</v>
      </c>
      <c r="K61" s="4" t="str">
        <f>IF(Table2[[#This Row],[Type]]="electricity", "kilowatt_hour_(kwh)",
IF(Table2[[#This Row],[Type]]="water", "cubic_metre_(m3)",
IF(Table2[[#This Row],[Type]]="heat", "therm_(thm)",
"NA")))</f>
        <v>therm_(thm)</v>
      </c>
      <c r="L61" s="1" t="s">
        <v>129</v>
      </c>
      <c r="M61" s="10">
        <f>IF(Table2[[#This Row],[Type]]="electricity", Table2[[#This Row],[Quantity_correct]]/6.6667,
IF(Table2[[#This Row],[Type]]="water", Table2[[#This Row],[Quantity_correct]]/3.333,
IF(Table2[[#This Row],[Type]]="heat", Table2[[#This Row],[Quantity_correct]]/0.8333,
"NA")))</f>
        <v>597.09421826105483</v>
      </c>
      <c r="N61" s="1">
        <v>17498.400000000001</v>
      </c>
    </row>
    <row r="62" spans="1:14" ht="12.5" hidden="1" x14ac:dyDescent="0.25">
      <c r="A62" s="1" t="s">
        <v>8</v>
      </c>
      <c r="B62" s="1" t="s">
        <v>139</v>
      </c>
      <c r="C62" s="1" t="str">
        <f>IF(OR(Table2[[#This Row],[units]]="litre_(l)", Table2[[#This Row],[units]]="gallon_(gal)", Table2[[#This Row],[units]]="cubic_metre_(m3)"), "water", Table2[[#This Row],[type2]])</f>
        <v>heat</v>
      </c>
      <c r="D62" s="1" t="s">
        <v>140</v>
      </c>
      <c r="E62" s="3">
        <v>44930</v>
      </c>
      <c r="F62" s="8">
        <f t="shared" si="0"/>
        <v>45017</v>
      </c>
      <c r="G62" s="1" t="s">
        <v>103</v>
      </c>
      <c r="H62" s="8">
        <f t="shared" si="1"/>
        <v>45046</v>
      </c>
      <c r="I62" s="4">
        <v>5196</v>
      </c>
      <c r="J6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177.29492170839148</v>
      </c>
      <c r="K62" s="4" t="str">
        <f>IF(Table2[[#This Row],[Type]]="electricity", "kilowatt_hour_(kwh)",
IF(Table2[[#This Row],[Type]]="water", "cubic_metre_(m3)",
IF(Table2[[#This Row],[Type]]="heat", "therm_(thm)",
"NA")))</f>
        <v>therm_(thm)</v>
      </c>
      <c r="L62" s="1" t="s">
        <v>129</v>
      </c>
      <c r="M62" s="10">
        <f>IF(Table2[[#This Row],[Type]]="electricity", Table2[[#This Row],[Quantity_correct]]/6.6667,
IF(Table2[[#This Row],[Type]]="water", Table2[[#This Row],[Quantity_correct]]/3.333,
IF(Table2[[#This Row],[Type]]="heat", Table2[[#This Row],[Quantity_correct]]/0.8333,
"NA")))</f>
        <v>212.76241654673163</v>
      </c>
      <c r="N62" s="1">
        <v>6235.2</v>
      </c>
    </row>
    <row r="63" spans="1:14" ht="12.5" hidden="1" x14ac:dyDescent="0.25">
      <c r="A63" s="1" t="s">
        <v>8</v>
      </c>
      <c r="B63" s="1" t="s">
        <v>139</v>
      </c>
      <c r="C63" s="1" t="str">
        <f>IF(OR(Table2[[#This Row],[units]]="litre_(l)", Table2[[#This Row],[units]]="gallon_(gal)", Table2[[#This Row],[units]]="cubic_metre_(m3)"), "water", Table2[[#This Row],[type2]])</f>
        <v>heat</v>
      </c>
      <c r="D63" s="1" t="s">
        <v>140</v>
      </c>
      <c r="E63" s="3">
        <v>44931</v>
      </c>
      <c r="F63" s="8">
        <f t="shared" si="0"/>
        <v>45047</v>
      </c>
      <c r="G63" s="1" t="s">
        <v>73</v>
      </c>
      <c r="H63" s="8">
        <f t="shared" si="1"/>
        <v>45077</v>
      </c>
      <c r="I63" s="1">
        <v>0</v>
      </c>
      <c r="J6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3" s="4" t="str">
        <f>IF(Table2[[#This Row],[Type]]="electricity", "kilowatt_hour_(kwh)",
IF(Table2[[#This Row],[Type]]="water", "cubic_metre_(m3)",
IF(Table2[[#This Row],[Type]]="heat", "therm_(thm)",
"NA")))</f>
        <v>therm_(thm)</v>
      </c>
      <c r="L63" s="1" t="s">
        <v>129</v>
      </c>
      <c r="M63" s="10">
        <f>IF(Table2[[#This Row],[Type]]="electricity", Table2[[#This Row],[Quantity_correct]]/6.6667,
IF(Table2[[#This Row],[Type]]="water", Table2[[#This Row],[Quantity_correct]]/3.333,
IF(Table2[[#This Row],[Type]]="heat", Table2[[#This Row],[Quantity_correct]]/0.8333,
"NA")))</f>
        <v>0</v>
      </c>
      <c r="N63" s="1">
        <v>0</v>
      </c>
    </row>
    <row r="64" spans="1:14" ht="12.5" hidden="1" x14ac:dyDescent="0.25">
      <c r="A64" s="1" t="s">
        <v>8</v>
      </c>
      <c r="B64" s="1" t="s">
        <v>139</v>
      </c>
      <c r="C64" s="1" t="str">
        <f>IF(OR(Table2[[#This Row],[units]]="litre_(l)", Table2[[#This Row],[units]]="gallon_(gal)", Table2[[#This Row],[units]]="cubic_metre_(m3)"), "water", Table2[[#This Row],[type2]])</f>
        <v>heat</v>
      </c>
      <c r="D64" s="1" t="s">
        <v>140</v>
      </c>
      <c r="E64" s="3">
        <v>44932</v>
      </c>
      <c r="F64" s="8">
        <f t="shared" si="0"/>
        <v>45078</v>
      </c>
      <c r="G64" s="1" t="s">
        <v>69</v>
      </c>
      <c r="H64" s="8">
        <f t="shared" si="1"/>
        <v>45107</v>
      </c>
      <c r="I64" s="1">
        <v>0</v>
      </c>
      <c r="J6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4" s="4" t="str">
        <f>IF(Table2[[#This Row],[Type]]="electricity", "kilowatt_hour_(kwh)",
IF(Table2[[#This Row],[Type]]="water", "cubic_metre_(m3)",
IF(Table2[[#This Row],[Type]]="heat", "therm_(thm)",
"NA")))</f>
        <v>therm_(thm)</v>
      </c>
      <c r="L64" s="1" t="s">
        <v>129</v>
      </c>
      <c r="M64" s="10">
        <f>IF(Table2[[#This Row],[Type]]="electricity", Table2[[#This Row],[Quantity_correct]]/6.6667,
IF(Table2[[#This Row],[Type]]="water", Table2[[#This Row],[Quantity_correct]]/3.333,
IF(Table2[[#This Row],[Type]]="heat", Table2[[#This Row],[Quantity_correct]]/0.8333,
"NA")))</f>
        <v>0</v>
      </c>
      <c r="N64" s="1">
        <v>0</v>
      </c>
    </row>
    <row r="65" spans="1:14" ht="12.5" hidden="1" x14ac:dyDescent="0.25">
      <c r="A65" s="1" t="s">
        <v>8</v>
      </c>
      <c r="B65" s="1" t="s">
        <v>139</v>
      </c>
      <c r="C65" s="1" t="str">
        <f>IF(OR(Table2[[#This Row],[units]]="litre_(l)", Table2[[#This Row],[units]]="gallon_(gal)", Table2[[#This Row],[units]]="cubic_metre_(m3)"), "water", Table2[[#This Row],[type2]])</f>
        <v>heat</v>
      </c>
      <c r="D65" s="1" t="s">
        <v>140</v>
      </c>
      <c r="E65" s="3">
        <v>44933</v>
      </c>
      <c r="F65" s="8">
        <f t="shared" si="0"/>
        <v>45108</v>
      </c>
      <c r="G65" s="1" t="s">
        <v>71</v>
      </c>
      <c r="H65" s="8">
        <f t="shared" si="1"/>
        <v>45138</v>
      </c>
      <c r="I65" s="1">
        <v>0</v>
      </c>
      <c r="J6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5" s="4" t="str">
        <f>IF(Table2[[#This Row],[Type]]="electricity", "kilowatt_hour_(kwh)",
IF(Table2[[#This Row],[Type]]="water", "cubic_metre_(m3)",
IF(Table2[[#This Row],[Type]]="heat", "therm_(thm)",
"NA")))</f>
        <v>therm_(thm)</v>
      </c>
      <c r="L65" s="1" t="s">
        <v>129</v>
      </c>
      <c r="M65" s="10">
        <f>IF(Table2[[#This Row],[Type]]="electricity", Table2[[#This Row],[Quantity_correct]]/6.6667,
IF(Table2[[#This Row],[Type]]="water", Table2[[#This Row],[Quantity_correct]]/3.333,
IF(Table2[[#This Row],[Type]]="heat", Table2[[#This Row],[Quantity_correct]]/0.8333,
"NA")))</f>
        <v>0</v>
      </c>
      <c r="N65" s="1">
        <v>0</v>
      </c>
    </row>
    <row r="66" spans="1:14" ht="12.5" hidden="1" x14ac:dyDescent="0.25">
      <c r="A66" s="1" t="s">
        <v>8</v>
      </c>
      <c r="B66" s="1" t="s">
        <v>139</v>
      </c>
      <c r="C66" s="1" t="str">
        <f>IF(OR(Table2[[#This Row],[units]]="litre_(l)", Table2[[#This Row],[units]]="gallon_(gal)", Table2[[#This Row],[units]]="cubic_metre_(m3)"), "water", Table2[[#This Row],[type2]])</f>
        <v>heat</v>
      </c>
      <c r="D66" s="1" t="s">
        <v>140</v>
      </c>
      <c r="E66" s="3">
        <v>44934</v>
      </c>
      <c r="F66" s="8">
        <f t="shared" ref="F66:F129" si="2">DATE(RIGHT(TEXT(E66,"dd-mm-yyyy"),4), LEFT(TEXT(E66,"dd-mm-yyyy"),2),MID(TEXT(E66,"dd-mm-yyyy"),4,2))</f>
        <v>45139</v>
      </c>
      <c r="G66" s="1" t="s">
        <v>72</v>
      </c>
      <c r="H66" s="8">
        <f t="shared" ref="H66:H129" si="3">DATE(RIGHT(TEXT(G66,"dd-mm-yyyy"),4), LEFT(TEXT(G66,"dd-mm-yyyy"),2),MID(TEXT(G66,"dd-mm-yyyy"),4,2))</f>
        <v>45169</v>
      </c>
      <c r="I66" s="1">
        <v>0</v>
      </c>
      <c r="J6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6" s="4" t="str">
        <f>IF(Table2[[#This Row],[Type]]="electricity", "kilowatt_hour_(kwh)",
IF(Table2[[#This Row],[Type]]="water", "cubic_metre_(m3)",
IF(Table2[[#This Row],[Type]]="heat", "therm_(thm)",
"NA")))</f>
        <v>therm_(thm)</v>
      </c>
      <c r="L66" s="1" t="s">
        <v>129</v>
      </c>
      <c r="M66" s="10">
        <f>IF(Table2[[#This Row],[Type]]="electricity", Table2[[#This Row],[Quantity_correct]]/6.6667,
IF(Table2[[#This Row],[Type]]="water", Table2[[#This Row],[Quantity_correct]]/3.333,
IF(Table2[[#This Row],[Type]]="heat", Table2[[#This Row],[Quantity_correct]]/0.8333,
"NA")))</f>
        <v>0</v>
      </c>
      <c r="N66" s="1">
        <v>0</v>
      </c>
    </row>
    <row r="67" spans="1:14" ht="12.5" hidden="1" x14ac:dyDescent="0.25">
      <c r="A67" s="1" t="s">
        <v>8</v>
      </c>
      <c r="B67" s="1" t="s">
        <v>139</v>
      </c>
      <c r="C67" s="1" t="str">
        <f>IF(OR(Table2[[#This Row],[units]]="litre_(l)", Table2[[#This Row],[units]]="gallon_(gal)", Table2[[#This Row],[units]]="cubic_metre_(m3)"), "water", Table2[[#This Row],[type2]])</f>
        <v>heat</v>
      </c>
      <c r="D67" s="1" t="s">
        <v>140</v>
      </c>
      <c r="E67" s="3">
        <v>44935</v>
      </c>
      <c r="F67" s="8">
        <f t="shared" si="2"/>
        <v>45170</v>
      </c>
      <c r="G67" s="1" t="s">
        <v>67</v>
      </c>
      <c r="H67" s="8">
        <f t="shared" si="3"/>
        <v>45199</v>
      </c>
      <c r="I67" s="1">
        <v>0</v>
      </c>
      <c r="J6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7" s="4" t="str">
        <f>IF(Table2[[#This Row],[Type]]="electricity", "kilowatt_hour_(kwh)",
IF(Table2[[#This Row],[Type]]="water", "cubic_metre_(m3)",
IF(Table2[[#This Row],[Type]]="heat", "therm_(thm)",
"NA")))</f>
        <v>therm_(thm)</v>
      </c>
      <c r="L67" s="1" t="s">
        <v>129</v>
      </c>
      <c r="M67" s="10">
        <f>IF(Table2[[#This Row],[Type]]="electricity", Table2[[#This Row],[Quantity_correct]]/6.6667,
IF(Table2[[#This Row],[Type]]="water", Table2[[#This Row],[Quantity_correct]]/3.333,
IF(Table2[[#This Row],[Type]]="heat", Table2[[#This Row],[Quantity_correct]]/0.8333,
"NA")))</f>
        <v>0</v>
      </c>
      <c r="N67" s="1">
        <v>0</v>
      </c>
    </row>
    <row r="68" spans="1:14" ht="12.5" hidden="1" x14ac:dyDescent="0.25">
      <c r="A68" s="1" t="s">
        <v>8</v>
      </c>
      <c r="B68" s="1" t="s">
        <v>139</v>
      </c>
      <c r="C68" s="1" t="str">
        <f>IF(OR(Table2[[#This Row],[units]]="litre_(l)", Table2[[#This Row],[units]]="gallon_(gal)", Table2[[#This Row],[units]]="cubic_metre_(m3)"), "water", Table2[[#This Row],[type2]])</f>
        <v>heat</v>
      </c>
      <c r="D68" s="1" t="s">
        <v>140</v>
      </c>
      <c r="E68" s="3">
        <v>44936</v>
      </c>
      <c r="F68" s="8">
        <f t="shared" si="2"/>
        <v>45200</v>
      </c>
      <c r="G68" s="1" t="s">
        <v>75</v>
      </c>
      <c r="H68" s="8">
        <f t="shared" si="3"/>
        <v>45230</v>
      </c>
      <c r="I68" s="1">
        <v>0</v>
      </c>
      <c r="J6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68" s="4" t="str">
        <f>IF(Table2[[#This Row],[Type]]="electricity", "kilowatt_hour_(kwh)",
IF(Table2[[#This Row],[Type]]="water", "cubic_metre_(m3)",
IF(Table2[[#This Row],[Type]]="heat", "therm_(thm)",
"NA")))</f>
        <v>therm_(thm)</v>
      </c>
      <c r="L68" s="1" t="s">
        <v>129</v>
      </c>
      <c r="M68" s="10">
        <f>IF(Table2[[#This Row],[Type]]="electricity", Table2[[#This Row],[Quantity_correct]]/6.6667,
IF(Table2[[#This Row],[Type]]="water", Table2[[#This Row],[Quantity_correct]]/3.333,
IF(Table2[[#This Row],[Type]]="heat", Table2[[#This Row],[Quantity_correct]]/0.8333,
"NA")))</f>
        <v>0</v>
      </c>
      <c r="N68" s="1">
        <v>0</v>
      </c>
    </row>
    <row r="69" spans="1:14" ht="12.5" hidden="1" x14ac:dyDescent="0.25">
      <c r="A69" s="1" t="s">
        <v>8</v>
      </c>
      <c r="B69" s="1" t="s">
        <v>139</v>
      </c>
      <c r="C69" s="1" t="str">
        <f>IF(OR(Table2[[#This Row],[units]]="litre_(l)", Table2[[#This Row],[units]]="gallon_(gal)", Table2[[#This Row],[units]]="cubic_metre_(m3)"), "water", Table2[[#This Row],[type2]])</f>
        <v>heat</v>
      </c>
      <c r="D69" s="1" t="s">
        <v>140</v>
      </c>
      <c r="E69" s="1" t="s">
        <v>152</v>
      </c>
      <c r="F69" s="8">
        <f t="shared" si="2"/>
        <v>45245</v>
      </c>
      <c r="G69" s="1" t="s">
        <v>56</v>
      </c>
      <c r="H69" s="8">
        <f t="shared" si="3"/>
        <v>45260</v>
      </c>
      <c r="I69" s="4">
        <v>4428</v>
      </c>
      <c r="J6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151.08966769144678</v>
      </c>
      <c r="K69" s="4" t="str">
        <f>IF(Table2[[#This Row],[Type]]="electricity", "kilowatt_hour_(kwh)",
IF(Table2[[#This Row],[Type]]="water", "cubic_metre_(m3)",
IF(Table2[[#This Row],[Type]]="heat", "therm_(thm)",
"NA")))</f>
        <v>therm_(thm)</v>
      </c>
      <c r="L69" s="1" t="s">
        <v>129</v>
      </c>
      <c r="M69" s="10">
        <f>IF(Table2[[#This Row],[Type]]="electricity", Table2[[#This Row],[Quantity_correct]]/6.6667,
IF(Table2[[#This Row],[Type]]="water", Table2[[#This Row],[Quantity_correct]]/3.333,
IF(Table2[[#This Row],[Type]]="heat", Table2[[#This Row],[Quantity_correct]]/0.8333,
"NA")))</f>
        <v>181.31485382388908</v>
      </c>
      <c r="N69" s="1">
        <v>5313.6</v>
      </c>
    </row>
    <row r="70" spans="1:14" ht="12.5" hidden="1" x14ac:dyDescent="0.25">
      <c r="A70" s="1" t="s">
        <v>8</v>
      </c>
      <c r="B70" s="1" t="s">
        <v>139</v>
      </c>
      <c r="C70" s="1" t="str">
        <f>IF(OR(Table2[[#This Row],[units]]="litre_(l)", Table2[[#This Row],[units]]="gallon_(gal)", Table2[[#This Row],[units]]="cubic_metre_(m3)"), "water", Table2[[#This Row],[type2]])</f>
        <v>heat</v>
      </c>
      <c r="D70" s="1" t="s">
        <v>140</v>
      </c>
      <c r="E70" s="3">
        <v>44938</v>
      </c>
      <c r="F70" s="8">
        <f t="shared" si="2"/>
        <v>45261</v>
      </c>
      <c r="G70" s="1" t="s">
        <v>45</v>
      </c>
      <c r="H70" s="8">
        <f t="shared" si="3"/>
        <v>45291</v>
      </c>
      <c r="I70" s="4">
        <v>11318</v>
      </c>
      <c r="J7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386.18628250492202</v>
      </c>
      <c r="K70" s="4" t="str">
        <f>IF(Table2[[#This Row],[Type]]="electricity", "kilowatt_hour_(kwh)",
IF(Table2[[#This Row],[Type]]="water", "cubic_metre_(m3)",
IF(Table2[[#This Row],[Type]]="heat", "therm_(thm)",
"NA")))</f>
        <v>therm_(thm)</v>
      </c>
      <c r="L70" s="1" t="s">
        <v>129</v>
      </c>
      <c r="M70" s="10">
        <f>IF(Table2[[#This Row],[Type]]="electricity", Table2[[#This Row],[Quantity_correct]]/6.6667,
IF(Table2[[#This Row],[Type]]="water", Table2[[#This Row],[Quantity_correct]]/3.333,
IF(Table2[[#This Row],[Type]]="heat", Table2[[#This Row],[Quantity_correct]]/0.8333,
"NA")))</f>
        <v>463.44207668897394</v>
      </c>
      <c r="N70" s="1">
        <v>13581.6</v>
      </c>
    </row>
    <row r="71" spans="1:14" ht="12.5" hidden="1" x14ac:dyDescent="0.25">
      <c r="A71" s="1" t="s">
        <v>8</v>
      </c>
      <c r="B71" s="1" t="s">
        <v>139</v>
      </c>
      <c r="C71" s="1" t="str">
        <f>IF(OR(Table2[[#This Row],[units]]="litre_(l)", Table2[[#This Row],[units]]="gallon_(gal)", Table2[[#This Row],[units]]="cubic_metre_(m3)"), "water", Table2[[#This Row],[type2]])</f>
        <v>water</v>
      </c>
      <c r="D71" s="1" t="s">
        <v>130</v>
      </c>
      <c r="E71" s="3">
        <v>44419</v>
      </c>
      <c r="F71" s="8">
        <f t="shared" si="2"/>
        <v>44508</v>
      </c>
      <c r="G71" s="1" t="s">
        <v>153</v>
      </c>
      <c r="H71" s="8">
        <f t="shared" si="3"/>
        <v>44606</v>
      </c>
      <c r="I71" s="1">
        <v>103</v>
      </c>
      <c r="J7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103</v>
      </c>
      <c r="K71" s="4" t="str">
        <f>IF(Table2[[#This Row],[Type]]="electricity", "kilowatt_hour_(kwh)",
IF(Table2[[#This Row],[Type]]="water", "cubic_metre_(m3)",
IF(Table2[[#This Row],[Type]]="heat", "therm_(thm)",
"NA")))</f>
        <v>cubic_metre_(m3)</v>
      </c>
      <c r="L71" s="1" t="s">
        <v>133</v>
      </c>
      <c r="M71" s="10">
        <f>IF(Table2[[#This Row],[Type]]="electricity", Table2[[#This Row],[Quantity_correct]]/6.6667,
IF(Table2[[#This Row],[Type]]="water", Table2[[#This Row],[Quantity_correct]]/3.333,
IF(Table2[[#This Row],[Type]]="heat", Table2[[#This Row],[Quantity_correct]]/0.8333,
"NA")))</f>
        <v>30.903090309030901</v>
      </c>
      <c r="N71" s="1">
        <v>30.9</v>
      </c>
    </row>
    <row r="72" spans="1:14" ht="12.5" hidden="1" x14ac:dyDescent="0.25">
      <c r="A72" s="1" t="s">
        <v>8</v>
      </c>
      <c r="B72" s="1" t="s">
        <v>139</v>
      </c>
      <c r="C72" s="1" t="str">
        <f>IF(OR(Table2[[#This Row],[units]]="litre_(l)", Table2[[#This Row],[units]]="gallon_(gal)", Table2[[#This Row],[units]]="cubic_metre_(m3)"), "water", Table2[[#This Row],[type2]])</f>
        <v>water</v>
      </c>
      <c r="D72" s="1" t="s">
        <v>130</v>
      </c>
      <c r="E72" s="1" t="s">
        <v>153</v>
      </c>
      <c r="F72" s="8">
        <f t="shared" si="2"/>
        <v>44606</v>
      </c>
      <c r="G72" s="3">
        <v>44656</v>
      </c>
      <c r="H72" s="8">
        <f t="shared" si="3"/>
        <v>44685</v>
      </c>
      <c r="I72" s="1">
        <v>93</v>
      </c>
      <c r="J7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93</v>
      </c>
      <c r="K72" s="4" t="str">
        <f>IF(Table2[[#This Row],[Type]]="electricity", "kilowatt_hour_(kwh)",
IF(Table2[[#This Row],[Type]]="water", "cubic_metre_(m3)",
IF(Table2[[#This Row],[Type]]="heat", "therm_(thm)",
"NA")))</f>
        <v>cubic_metre_(m3)</v>
      </c>
      <c r="L72" s="1" t="s">
        <v>133</v>
      </c>
      <c r="M72" s="10">
        <f>IF(Table2[[#This Row],[Type]]="electricity", Table2[[#This Row],[Quantity_correct]]/6.6667,
IF(Table2[[#This Row],[Type]]="water", Table2[[#This Row],[Quantity_correct]]/3.333,
IF(Table2[[#This Row],[Type]]="heat", Table2[[#This Row],[Quantity_correct]]/0.8333,
"NA")))</f>
        <v>27.902790279027901</v>
      </c>
      <c r="N72" s="1">
        <v>27.9</v>
      </c>
    </row>
    <row r="73" spans="1:14" ht="12.5" hidden="1" x14ac:dyDescent="0.25">
      <c r="A73" s="1" t="s">
        <v>8</v>
      </c>
      <c r="B73" s="1" t="s">
        <v>139</v>
      </c>
      <c r="C73" s="1" t="str">
        <f>IF(OR(Table2[[#This Row],[units]]="litre_(l)", Table2[[#This Row],[units]]="gallon_(gal)", Table2[[#This Row],[units]]="cubic_metre_(m3)"), "water", Table2[[#This Row],[type2]])</f>
        <v>water</v>
      </c>
      <c r="D73" s="1" t="s">
        <v>130</v>
      </c>
      <c r="E73" s="3">
        <v>44656</v>
      </c>
      <c r="F73" s="8">
        <f t="shared" si="2"/>
        <v>44685</v>
      </c>
      <c r="G73" s="3">
        <v>44689</v>
      </c>
      <c r="H73" s="8">
        <f t="shared" si="3"/>
        <v>44778</v>
      </c>
      <c r="I73" s="1">
        <v>185</v>
      </c>
      <c r="J7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185</v>
      </c>
      <c r="K73" s="4" t="str">
        <f>IF(Table2[[#This Row],[Type]]="electricity", "kilowatt_hour_(kwh)",
IF(Table2[[#This Row],[Type]]="water", "cubic_metre_(m3)",
IF(Table2[[#This Row],[Type]]="heat", "therm_(thm)",
"NA")))</f>
        <v>cubic_metre_(m3)</v>
      </c>
      <c r="L73" s="1" t="s">
        <v>133</v>
      </c>
      <c r="M73" s="10">
        <f>IF(Table2[[#This Row],[Type]]="electricity", Table2[[#This Row],[Quantity_correct]]/6.6667,
IF(Table2[[#This Row],[Type]]="water", Table2[[#This Row],[Quantity_correct]]/3.333,
IF(Table2[[#This Row],[Type]]="heat", Table2[[#This Row],[Quantity_correct]]/0.8333,
"NA")))</f>
        <v>55.5055505550555</v>
      </c>
      <c r="N73" s="1">
        <v>55.5</v>
      </c>
    </row>
    <row r="74" spans="1:14" ht="12.5" hidden="1" x14ac:dyDescent="0.25">
      <c r="A74" s="1" t="s">
        <v>8</v>
      </c>
      <c r="B74" s="1" t="s">
        <v>139</v>
      </c>
      <c r="C74" s="1" t="str">
        <f>IF(OR(Table2[[#This Row],[units]]="litre_(l)", Table2[[#This Row],[units]]="gallon_(gal)", Table2[[#This Row],[units]]="cubic_metre_(m3)"), "water", Table2[[#This Row],[type2]])</f>
        <v>water</v>
      </c>
      <c r="D74" s="1" t="s">
        <v>130</v>
      </c>
      <c r="E74" s="3">
        <v>44689</v>
      </c>
      <c r="F74" s="8">
        <f t="shared" si="2"/>
        <v>44778</v>
      </c>
      <c r="G74" s="3">
        <v>44815</v>
      </c>
      <c r="H74" s="8">
        <f t="shared" si="3"/>
        <v>44874</v>
      </c>
      <c r="I74" s="1">
        <v>91</v>
      </c>
      <c r="J7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91</v>
      </c>
      <c r="K74" s="4" t="str">
        <f>IF(Table2[[#This Row],[Type]]="electricity", "kilowatt_hour_(kwh)",
IF(Table2[[#This Row],[Type]]="water", "cubic_metre_(m3)",
IF(Table2[[#This Row],[Type]]="heat", "therm_(thm)",
"NA")))</f>
        <v>cubic_metre_(m3)</v>
      </c>
      <c r="L74" s="1" t="s">
        <v>133</v>
      </c>
      <c r="M74" s="10">
        <f>IF(Table2[[#This Row],[Type]]="electricity", Table2[[#This Row],[Quantity_correct]]/6.6667,
IF(Table2[[#This Row],[Type]]="water", Table2[[#This Row],[Quantity_correct]]/3.333,
IF(Table2[[#This Row],[Type]]="heat", Table2[[#This Row],[Quantity_correct]]/0.8333,
"NA")))</f>
        <v>27.302730273027301</v>
      </c>
      <c r="N74" s="1">
        <v>27.3</v>
      </c>
    </row>
    <row r="75" spans="1:14" ht="12.5" hidden="1" x14ac:dyDescent="0.25">
      <c r="A75" s="1" t="s">
        <v>8</v>
      </c>
      <c r="B75" s="1" t="s">
        <v>139</v>
      </c>
      <c r="C75" s="1" t="str">
        <f>IF(OR(Table2[[#This Row],[units]]="litre_(l)", Table2[[#This Row],[units]]="gallon_(gal)", Table2[[#This Row],[units]]="cubic_metre_(m3)"), "water", Table2[[#This Row],[type2]])</f>
        <v>water</v>
      </c>
      <c r="D75" s="1" t="s">
        <v>130</v>
      </c>
      <c r="E75" s="3">
        <v>44815</v>
      </c>
      <c r="F75" s="8">
        <f t="shared" si="2"/>
        <v>44874</v>
      </c>
      <c r="G75" s="3">
        <v>45109</v>
      </c>
      <c r="H75" s="8">
        <f t="shared" si="3"/>
        <v>44964</v>
      </c>
      <c r="I75" s="1">
        <v>104</v>
      </c>
      <c r="J7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104</v>
      </c>
      <c r="K75" s="4" t="str">
        <f>IF(Table2[[#This Row],[Type]]="electricity", "kilowatt_hour_(kwh)",
IF(Table2[[#This Row],[Type]]="water", "cubic_metre_(m3)",
IF(Table2[[#This Row],[Type]]="heat", "therm_(thm)",
"NA")))</f>
        <v>cubic_metre_(m3)</v>
      </c>
      <c r="L75" s="1" t="s">
        <v>133</v>
      </c>
      <c r="M75" s="10">
        <f>IF(Table2[[#This Row],[Type]]="electricity", Table2[[#This Row],[Quantity_correct]]/6.6667,
IF(Table2[[#This Row],[Type]]="water", Table2[[#This Row],[Quantity_correct]]/3.333,
IF(Table2[[#This Row],[Type]]="heat", Table2[[#This Row],[Quantity_correct]]/0.8333,
"NA")))</f>
        <v>31.203120312031203</v>
      </c>
      <c r="N75" s="1">
        <v>31.2</v>
      </c>
    </row>
    <row r="76" spans="1:14" ht="12.5" hidden="1" x14ac:dyDescent="0.25">
      <c r="A76" s="1" t="s">
        <v>8</v>
      </c>
      <c r="B76" s="1" t="s">
        <v>139</v>
      </c>
      <c r="C76" s="1" t="str">
        <f>IF(OR(Table2[[#This Row],[units]]="litre_(l)", Table2[[#This Row],[units]]="gallon_(gal)", Table2[[#This Row],[units]]="cubic_metre_(m3)"), "water", Table2[[#This Row],[type2]])</f>
        <v>water</v>
      </c>
      <c r="D76" s="1" t="s">
        <v>130</v>
      </c>
      <c r="E76" s="3">
        <v>45109</v>
      </c>
      <c r="F76" s="8">
        <f t="shared" si="2"/>
        <v>44964</v>
      </c>
      <c r="G76" s="3">
        <v>45021</v>
      </c>
      <c r="H76" s="8">
        <f t="shared" si="3"/>
        <v>45050</v>
      </c>
      <c r="I76" s="1">
        <v>117</v>
      </c>
      <c r="J7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117</v>
      </c>
      <c r="K76" s="4" t="str">
        <f>IF(Table2[[#This Row],[Type]]="electricity", "kilowatt_hour_(kwh)",
IF(Table2[[#This Row],[Type]]="water", "cubic_metre_(m3)",
IF(Table2[[#This Row],[Type]]="heat", "therm_(thm)",
"NA")))</f>
        <v>cubic_metre_(m3)</v>
      </c>
      <c r="L76" s="1" t="s">
        <v>133</v>
      </c>
      <c r="M76" s="10">
        <f>IF(Table2[[#This Row],[Type]]="electricity", Table2[[#This Row],[Quantity_correct]]/6.6667,
IF(Table2[[#This Row],[Type]]="water", Table2[[#This Row],[Quantity_correct]]/3.333,
IF(Table2[[#This Row],[Type]]="heat", Table2[[#This Row],[Quantity_correct]]/0.8333,
"NA")))</f>
        <v>35.103510351035105</v>
      </c>
      <c r="N76" s="1">
        <v>35.1</v>
      </c>
    </row>
    <row r="77" spans="1:14" ht="12.5" hidden="1" x14ac:dyDescent="0.25">
      <c r="A77" s="1" t="s">
        <v>8</v>
      </c>
      <c r="B77" s="1" t="s">
        <v>139</v>
      </c>
      <c r="C77" s="1" t="str">
        <f>IF(OR(Table2[[#This Row],[units]]="litre_(l)", Table2[[#This Row],[units]]="gallon_(gal)", Table2[[#This Row],[units]]="cubic_metre_(m3)"), "water", Table2[[#This Row],[type2]])</f>
        <v>water</v>
      </c>
      <c r="D77" s="1" t="s">
        <v>130</v>
      </c>
      <c r="E77" s="3">
        <v>45021</v>
      </c>
      <c r="F77" s="8">
        <f t="shared" si="2"/>
        <v>45050</v>
      </c>
      <c r="G77" s="1" t="s">
        <v>154</v>
      </c>
      <c r="H77" s="8">
        <f t="shared" si="3"/>
        <v>45134</v>
      </c>
      <c r="I77" s="1">
        <v>231</v>
      </c>
      <c r="J7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231</v>
      </c>
      <c r="K77" s="4" t="str">
        <f>IF(Table2[[#This Row],[Type]]="electricity", "kilowatt_hour_(kwh)",
IF(Table2[[#This Row],[Type]]="water", "cubic_metre_(m3)",
IF(Table2[[#This Row],[Type]]="heat", "therm_(thm)",
"NA")))</f>
        <v>cubic_metre_(m3)</v>
      </c>
      <c r="L77" s="1" t="s">
        <v>133</v>
      </c>
      <c r="M77" s="10">
        <f>IF(Table2[[#This Row],[Type]]="electricity", Table2[[#This Row],[Quantity_correct]]/6.6667,
IF(Table2[[#This Row],[Type]]="water", Table2[[#This Row],[Quantity_correct]]/3.333,
IF(Table2[[#This Row],[Type]]="heat", Table2[[#This Row],[Quantity_correct]]/0.8333,
"NA")))</f>
        <v>69.306930693069305</v>
      </c>
      <c r="N77" s="1">
        <v>69.3</v>
      </c>
    </row>
    <row r="78" spans="1:14" ht="12.5" hidden="1" x14ac:dyDescent="0.25">
      <c r="A78" s="1" t="s">
        <v>8</v>
      </c>
      <c r="B78" s="1" t="s">
        <v>139</v>
      </c>
      <c r="C78" s="1" t="str">
        <f>IF(OR(Table2[[#This Row],[units]]="litre_(l)", Table2[[#This Row],[units]]="gallon_(gal)", Table2[[#This Row],[units]]="cubic_metre_(m3)"), "water", Table2[[#This Row],[type2]])</f>
        <v>water</v>
      </c>
      <c r="D78" s="1" t="s">
        <v>130</v>
      </c>
      <c r="E78" s="1" t="s">
        <v>154</v>
      </c>
      <c r="F78" s="8">
        <f t="shared" si="2"/>
        <v>45134</v>
      </c>
      <c r="G78" s="1" t="s">
        <v>155</v>
      </c>
      <c r="H78" s="8">
        <f t="shared" si="3"/>
        <v>45226</v>
      </c>
      <c r="I78" s="1">
        <v>25</v>
      </c>
      <c r="J7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v>
      </c>
      <c r="K78" s="4" t="str">
        <f>IF(Table2[[#This Row],[Type]]="electricity", "kilowatt_hour_(kwh)",
IF(Table2[[#This Row],[Type]]="water", "cubic_metre_(m3)",
IF(Table2[[#This Row],[Type]]="heat", "therm_(thm)",
"NA")))</f>
        <v>cubic_metre_(m3)</v>
      </c>
      <c r="L78" s="1" t="s">
        <v>133</v>
      </c>
      <c r="M78" s="10">
        <f>IF(Table2[[#This Row],[Type]]="electricity", Table2[[#This Row],[Quantity_correct]]/6.6667,
IF(Table2[[#This Row],[Type]]="water", Table2[[#This Row],[Quantity_correct]]/3.333,
IF(Table2[[#This Row],[Type]]="heat", Table2[[#This Row],[Quantity_correct]]/0.8333,
"NA")))</f>
        <v>7.5007500750075007</v>
      </c>
      <c r="N78" s="1">
        <v>7.5</v>
      </c>
    </row>
    <row r="79" spans="1:14" ht="12.5" hidden="1" x14ac:dyDescent="0.25">
      <c r="A79" s="1" t="s">
        <v>8</v>
      </c>
      <c r="B79" s="1" t="s">
        <v>80</v>
      </c>
      <c r="C79" s="1" t="str">
        <f>IF(OR(Table2[[#This Row],[units]]="litre_(l)", Table2[[#This Row],[units]]="gallon_(gal)", Table2[[#This Row],[units]]="cubic_metre_(m3)"), "water", Table2[[#This Row],[type2]])</f>
        <v>electricity</v>
      </c>
      <c r="D79" s="1" t="s">
        <v>128</v>
      </c>
      <c r="E79" s="3">
        <v>44562</v>
      </c>
      <c r="F79" s="8">
        <f t="shared" si="2"/>
        <v>44562</v>
      </c>
      <c r="G79" s="1" t="s">
        <v>51</v>
      </c>
      <c r="H79" s="8">
        <f t="shared" si="3"/>
        <v>44926</v>
      </c>
      <c r="I79" s="4">
        <v>910440</v>
      </c>
      <c r="J7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910440</v>
      </c>
      <c r="K79" s="4" t="str">
        <f>IF(Table2[[#This Row],[Type]]="electricity", "kilowatt_hour_(kwh)",
IF(Table2[[#This Row],[Type]]="water", "cubic_metre_(m3)",
IF(Table2[[#This Row],[Type]]="heat", "therm_(thm)",
"NA")))</f>
        <v>kilowatt_hour_(kwh)</v>
      </c>
      <c r="L79" s="1" t="s">
        <v>129</v>
      </c>
      <c r="M79" s="10">
        <f>IF(Table2[[#This Row],[Type]]="electricity", Table2[[#This Row],[Quantity_correct]]/6.6667,
IF(Table2[[#This Row],[Type]]="water", Table2[[#This Row],[Quantity_correct]]/3.333,
IF(Table2[[#This Row],[Type]]="heat", Table2[[#This Row],[Quantity_correct]]/0.8333,
"NA")))</f>
        <v>136565.31717341414</v>
      </c>
      <c r="N79" s="1">
        <v>136566</v>
      </c>
    </row>
    <row r="80" spans="1:14" ht="12.5" hidden="1" x14ac:dyDescent="0.25">
      <c r="A80" s="1" t="s">
        <v>8</v>
      </c>
      <c r="B80" s="1" t="s">
        <v>80</v>
      </c>
      <c r="C80" s="1" t="str">
        <f>IF(OR(Table2[[#This Row],[units]]="litre_(l)", Table2[[#This Row],[units]]="gallon_(gal)", Table2[[#This Row],[units]]="cubic_metre_(m3)"), "water", Table2[[#This Row],[type2]])</f>
        <v>electricity</v>
      </c>
      <c r="D80" s="1" t="s">
        <v>128</v>
      </c>
      <c r="E80" s="1" t="s">
        <v>51</v>
      </c>
      <c r="F80" s="8">
        <f t="shared" si="2"/>
        <v>44926</v>
      </c>
      <c r="G80" s="1" t="s">
        <v>68</v>
      </c>
      <c r="H80" s="8">
        <f t="shared" si="3"/>
        <v>44957</v>
      </c>
      <c r="I80" s="4">
        <v>2646</v>
      </c>
      <c r="J8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2646</v>
      </c>
      <c r="K80" s="4" t="str">
        <f>IF(Table2[[#This Row],[Type]]="electricity", "kilowatt_hour_(kwh)",
IF(Table2[[#This Row],[Type]]="water", "cubic_metre_(m3)",
IF(Table2[[#This Row],[Type]]="heat", "therm_(thm)",
"NA")))</f>
        <v>kilowatt_hour_(kwh)</v>
      </c>
      <c r="L80" s="1" t="s">
        <v>129</v>
      </c>
      <c r="M80" s="10">
        <f>IF(Table2[[#This Row],[Type]]="electricity", Table2[[#This Row],[Quantity_correct]]/6.6667,
IF(Table2[[#This Row],[Type]]="water", Table2[[#This Row],[Quantity_correct]]/3.333,
IF(Table2[[#This Row],[Type]]="heat", Table2[[#This Row],[Quantity_correct]]/0.8333,
"NA")))</f>
        <v>396.89801550992246</v>
      </c>
      <c r="N80" s="1">
        <v>396.9</v>
      </c>
    </row>
    <row r="81" spans="1:14" ht="12.5" hidden="1" x14ac:dyDescent="0.25">
      <c r="A81" s="1" t="s">
        <v>8</v>
      </c>
      <c r="B81" s="1" t="s">
        <v>80</v>
      </c>
      <c r="C81" s="1" t="str">
        <f>IF(OR(Table2[[#This Row],[units]]="litre_(l)", Table2[[#This Row],[units]]="gallon_(gal)", Table2[[#This Row],[units]]="cubic_metre_(m3)"), "water", Table2[[#This Row],[type2]])</f>
        <v>electricity</v>
      </c>
      <c r="D81" s="1" t="s">
        <v>128</v>
      </c>
      <c r="E81" s="1" t="s">
        <v>51</v>
      </c>
      <c r="F81" s="8">
        <f t="shared" si="2"/>
        <v>44926</v>
      </c>
      <c r="G81" s="1" t="s">
        <v>68</v>
      </c>
      <c r="H81" s="8">
        <f t="shared" si="3"/>
        <v>44957</v>
      </c>
      <c r="I81" s="4">
        <v>85283</v>
      </c>
      <c r="J8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85283</v>
      </c>
      <c r="K81" s="4" t="str">
        <f>IF(Table2[[#This Row],[Type]]="electricity", "kilowatt_hour_(kwh)",
IF(Table2[[#This Row],[Type]]="water", "cubic_metre_(m3)",
IF(Table2[[#This Row],[Type]]="heat", "therm_(thm)",
"NA")))</f>
        <v>kilowatt_hour_(kwh)</v>
      </c>
      <c r="L81" s="1" t="s">
        <v>129</v>
      </c>
      <c r="M81" s="10">
        <f>IF(Table2[[#This Row],[Type]]="electricity", Table2[[#This Row],[Quantity_correct]]/6.6667,
IF(Table2[[#This Row],[Type]]="water", Table2[[#This Row],[Quantity_correct]]/3.333,
IF(Table2[[#This Row],[Type]]="heat", Table2[[#This Row],[Quantity_correct]]/0.8333,
"NA")))</f>
        <v>12792.38603806981</v>
      </c>
      <c r="N81" s="1">
        <v>12792.45</v>
      </c>
    </row>
    <row r="82" spans="1:14" ht="12.5" hidden="1" x14ac:dyDescent="0.25">
      <c r="A82" s="1" t="s">
        <v>8</v>
      </c>
      <c r="B82" s="1" t="s">
        <v>80</v>
      </c>
      <c r="C82" s="1" t="str">
        <f>IF(OR(Table2[[#This Row],[units]]="litre_(l)", Table2[[#This Row],[units]]="gallon_(gal)", Table2[[#This Row],[units]]="cubic_metre_(m3)"), "water", Table2[[#This Row],[type2]])</f>
        <v>electricity</v>
      </c>
      <c r="D82" s="1" t="s">
        <v>128</v>
      </c>
      <c r="E82" s="1" t="s">
        <v>68</v>
      </c>
      <c r="F82" s="8">
        <f t="shared" si="2"/>
        <v>44957</v>
      </c>
      <c r="G82" s="1" t="s">
        <v>65</v>
      </c>
      <c r="H82" s="8">
        <f t="shared" si="3"/>
        <v>44985</v>
      </c>
      <c r="I82" s="4">
        <v>2018</v>
      </c>
      <c r="J8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2018</v>
      </c>
      <c r="K82" s="4" t="str">
        <f>IF(Table2[[#This Row],[Type]]="electricity", "kilowatt_hour_(kwh)",
IF(Table2[[#This Row],[Type]]="water", "cubic_metre_(m3)",
IF(Table2[[#This Row],[Type]]="heat", "therm_(thm)",
"NA")))</f>
        <v>kilowatt_hour_(kwh)</v>
      </c>
      <c r="L82" s="1" t="s">
        <v>129</v>
      </c>
      <c r="M82" s="10">
        <f>IF(Table2[[#This Row],[Type]]="electricity", Table2[[#This Row],[Quantity_correct]]/6.6667,
IF(Table2[[#This Row],[Type]]="water", Table2[[#This Row],[Quantity_correct]]/3.333,
IF(Table2[[#This Row],[Type]]="heat", Table2[[#This Row],[Quantity_correct]]/0.8333,
"NA")))</f>
        <v>302.69848650756745</v>
      </c>
      <c r="N82" s="1">
        <v>302.7</v>
      </c>
    </row>
    <row r="83" spans="1:14" ht="12.5" hidden="1" x14ac:dyDescent="0.25">
      <c r="A83" s="1" t="s">
        <v>8</v>
      </c>
      <c r="B83" s="1" t="s">
        <v>80</v>
      </c>
      <c r="C83" s="1" t="str">
        <f>IF(OR(Table2[[#This Row],[units]]="litre_(l)", Table2[[#This Row],[units]]="gallon_(gal)", Table2[[#This Row],[units]]="cubic_metre_(m3)"), "water", Table2[[#This Row],[type2]])</f>
        <v>electricity</v>
      </c>
      <c r="D83" s="1" t="s">
        <v>128</v>
      </c>
      <c r="E83" s="1" t="s">
        <v>68</v>
      </c>
      <c r="F83" s="8">
        <f t="shared" si="2"/>
        <v>44957</v>
      </c>
      <c r="G83" s="1" t="s">
        <v>65</v>
      </c>
      <c r="H83" s="8">
        <f t="shared" si="3"/>
        <v>44985</v>
      </c>
      <c r="I83" s="4">
        <v>79808</v>
      </c>
      <c r="J8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79808</v>
      </c>
      <c r="K83" s="4" t="str">
        <f>IF(Table2[[#This Row],[Type]]="electricity", "kilowatt_hour_(kwh)",
IF(Table2[[#This Row],[Type]]="water", "cubic_metre_(m3)",
IF(Table2[[#This Row],[Type]]="heat", "therm_(thm)",
"NA")))</f>
        <v>kilowatt_hour_(kwh)</v>
      </c>
      <c r="L83" s="1" t="s">
        <v>129</v>
      </c>
      <c r="M83" s="10">
        <f>IF(Table2[[#This Row],[Type]]="electricity", Table2[[#This Row],[Quantity_correct]]/6.6667,
IF(Table2[[#This Row],[Type]]="water", Table2[[#This Row],[Quantity_correct]]/3.333,
IF(Table2[[#This Row],[Type]]="heat", Table2[[#This Row],[Quantity_correct]]/0.8333,
"NA")))</f>
        <v>11971.140144299279</v>
      </c>
      <c r="N83" s="1">
        <v>11971.2</v>
      </c>
    </row>
    <row r="84" spans="1:14" ht="12.5" hidden="1" x14ac:dyDescent="0.25">
      <c r="A84" s="1" t="s">
        <v>8</v>
      </c>
      <c r="B84" s="1" t="s">
        <v>80</v>
      </c>
      <c r="C84" s="1" t="str">
        <f>IF(OR(Table2[[#This Row],[units]]="litre_(l)", Table2[[#This Row],[units]]="gallon_(gal)", Table2[[#This Row],[units]]="cubic_metre_(m3)"), "water", Table2[[#This Row],[type2]])</f>
        <v>electricity</v>
      </c>
      <c r="D84" s="1" t="s">
        <v>128</v>
      </c>
      <c r="E84" s="1" t="s">
        <v>65</v>
      </c>
      <c r="F84" s="8">
        <f t="shared" si="2"/>
        <v>44985</v>
      </c>
      <c r="G84" s="1" t="s">
        <v>74</v>
      </c>
      <c r="H84" s="8">
        <f t="shared" si="3"/>
        <v>45016</v>
      </c>
      <c r="I84" s="4">
        <v>2076</v>
      </c>
      <c r="J8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2076</v>
      </c>
      <c r="K84" s="4" t="str">
        <f>IF(Table2[[#This Row],[Type]]="electricity", "kilowatt_hour_(kwh)",
IF(Table2[[#This Row],[Type]]="water", "cubic_metre_(m3)",
IF(Table2[[#This Row],[Type]]="heat", "therm_(thm)",
"NA")))</f>
        <v>kilowatt_hour_(kwh)</v>
      </c>
      <c r="L84" s="1" t="s">
        <v>129</v>
      </c>
      <c r="M84" s="10">
        <f>IF(Table2[[#This Row],[Type]]="electricity", Table2[[#This Row],[Quantity_correct]]/6.6667,
IF(Table2[[#This Row],[Type]]="water", Table2[[#This Row],[Quantity_correct]]/3.333,
IF(Table2[[#This Row],[Type]]="heat", Table2[[#This Row],[Quantity_correct]]/0.8333,
"NA")))</f>
        <v>311.39844300778498</v>
      </c>
      <c r="N84" s="1">
        <v>311.39999999999998</v>
      </c>
    </row>
    <row r="85" spans="1:14" ht="12.5" hidden="1" x14ac:dyDescent="0.25">
      <c r="A85" s="1" t="s">
        <v>8</v>
      </c>
      <c r="B85" s="1" t="s">
        <v>80</v>
      </c>
      <c r="C85" s="1" t="str">
        <f>IF(OR(Table2[[#This Row],[units]]="litre_(l)", Table2[[#This Row],[units]]="gallon_(gal)", Table2[[#This Row],[units]]="cubic_metre_(m3)"), "water", Table2[[#This Row],[type2]])</f>
        <v>electricity</v>
      </c>
      <c r="D85" s="1" t="s">
        <v>128</v>
      </c>
      <c r="E85" s="1" t="s">
        <v>65</v>
      </c>
      <c r="F85" s="8">
        <f t="shared" si="2"/>
        <v>44985</v>
      </c>
      <c r="G85" s="1" t="s">
        <v>74</v>
      </c>
      <c r="H85" s="8">
        <f t="shared" si="3"/>
        <v>45016</v>
      </c>
      <c r="I85" s="4">
        <v>77103</v>
      </c>
      <c r="J8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77103</v>
      </c>
      <c r="K85" s="4" t="str">
        <f>IF(Table2[[#This Row],[Type]]="electricity", "kilowatt_hour_(kwh)",
IF(Table2[[#This Row],[Type]]="water", "cubic_metre_(m3)",
IF(Table2[[#This Row],[Type]]="heat", "therm_(thm)",
"NA")))</f>
        <v>kilowatt_hour_(kwh)</v>
      </c>
      <c r="L85" s="1" t="s">
        <v>129</v>
      </c>
      <c r="M85" s="10">
        <f>IF(Table2[[#This Row],[Type]]="electricity", Table2[[#This Row],[Quantity_correct]]/6.6667,
IF(Table2[[#This Row],[Type]]="water", Table2[[#This Row],[Quantity_correct]]/3.333,
IF(Table2[[#This Row],[Type]]="heat", Table2[[#This Row],[Quantity_correct]]/0.8333,
"NA")))</f>
        <v>11565.392173039136</v>
      </c>
      <c r="N85" s="1">
        <v>11565.45</v>
      </c>
    </row>
    <row r="86" spans="1:14" ht="12.5" hidden="1" x14ac:dyDescent="0.25">
      <c r="A86" s="1" t="s">
        <v>8</v>
      </c>
      <c r="B86" s="1" t="s">
        <v>80</v>
      </c>
      <c r="C86" s="1" t="str">
        <f>IF(OR(Table2[[#This Row],[units]]="litre_(l)", Table2[[#This Row],[units]]="gallon_(gal)", Table2[[#This Row],[units]]="cubic_metre_(m3)"), "water", Table2[[#This Row],[type2]])</f>
        <v>electricity</v>
      </c>
      <c r="D86" s="1" t="s">
        <v>128</v>
      </c>
      <c r="E86" s="1" t="s">
        <v>74</v>
      </c>
      <c r="F86" s="8">
        <f t="shared" si="2"/>
        <v>45016</v>
      </c>
      <c r="G86" s="1" t="s">
        <v>103</v>
      </c>
      <c r="H86" s="8">
        <f t="shared" si="3"/>
        <v>45046</v>
      </c>
      <c r="I86" s="4">
        <v>1790</v>
      </c>
      <c r="J8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1790</v>
      </c>
      <c r="K86" s="4" t="str">
        <f>IF(Table2[[#This Row],[Type]]="electricity", "kilowatt_hour_(kwh)",
IF(Table2[[#This Row],[Type]]="water", "cubic_metre_(m3)",
IF(Table2[[#This Row],[Type]]="heat", "therm_(thm)",
"NA")))</f>
        <v>kilowatt_hour_(kwh)</v>
      </c>
      <c r="L86" s="1" t="s">
        <v>129</v>
      </c>
      <c r="M86" s="10">
        <f>IF(Table2[[#This Row],[Type]]="electricity", Table2[[#This Row],[Quantity_correct]]/6.6667,
IF(Table2[[#This Row],[Type]]="water", Table2[[#This Row],[Quantity_correct]]/3.333,
IF(Table2[[#This Row],[Type]]="heat", Table2[[#This Row],[Quantity_correct]]/0.8333,
"NA")))</f>
        <v>268.4986575067125</v>
      </c>
      <c r="N86" s="1">
        <v>268.5</v>
      </c>
    </row>
    <row r="87" spans="1:14" ht="12.5" hidden="1" x14ac:dyDescent="0.25">
      <c r="A87" s="1" t="s">
        <v>8</v>
      </c>
      <c r="B87" s="1" t="s">
        <v>80</v>
      </c>
      <c r="C87" s="1" t="str">
        <f>IF(OR(Table2[[#This Row],[units]]="litre_(l)", Table2[[#This Row],[units]]="gallon_(gal)", Table2[[#This Row],[units]]="cubic_metre_(m3)"), "water", Table2[[#This Row],[type2]])</f>
        <v>electricity</v>
      </c>
      <c r="D87" s="1" t="s">
        <v>128</v>
      </c>
      <c r="E87" s="1" t="s">
        <v>74</v>
      </c>
      <c r="F87" s="8">
        <f t="shared" si="2"/>
        <v>45016</v>
      </c>
      <c r="G87" s="1" t="s">
        <v>103</v>
      </c>
      <c r="H87" s="8">
        <f t="shared" si="3"/>
        <v>45046</v>
      </c>
      <c r="I87" s="4">
        <v>63240</v>
      </c>
      <c r="J8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63240</v>
      </c>
      <c r="K87" s="4" t="str">
        <f>IF(Table2[[#This Row],[Type]]="electricity", "kilowatt_hour_(kwh)",
IF(Table2[[#This Row],[Type]]="water", "cubic_metre_(m3)",
IF(Table2[[#This Row],[Type]]="heat", "therm_(thm)",
"NA")))</f>
        <v>kilowatt_hour_(kwh)</v>
      </c>
      <c r="L87" s="1" t="s">
        <v>129</v>
      </c>
      <c r="M87" s="10">
        <f>IF(Table2[[#This Row],[Type]]="electricity", Table2[[#This Row],[Quantity_correct]]/6.6667,
IF(Table2[[#This Row],[Type]]="water", Table2[[#This Row],[Quantity_correct]]/3.333,
IF(Table2[[#This Row],[Type]]="heat", Table2[[#This Row],[Quantity_correct]]/0.8333,
"NA")))</f>
        <v>9485.9525702371502</v>
      </c>
      <c r="N87" s="1">
        <v>9486</v>
      </c>
    </row>
    <row r="88" spans="1:14" ht="12.5" hidden="1" x14ac:dyDescent="0.25">
      <c r="A88" s="1" t="s">
        <v>8</v>
      </c>
      <c r="B88" s="1" t="s">
        <v>80</v>
      </c>
      <c r="C88" s="1" t="str">
        <f>IF(OR(Table2[[#This Row],[units]]="litre_(l)", Table2[[#This Row],[units]]="gallon_(gal)", Table2[[#This Row],[units]]="cubic_metre_(m3)"), "water", Table2[[#This Row],[type2]])</f>
        <v>electricity</v>
      </c>
      <c r="D88" s="1" t="s">
        <v>128</v>
      </c>
      <c r="E88" s="1" t="s">
        <v>103</v>
      </c>
      <c r="F88" s="8">
        <f t="shared" si="2"/>
        <v>45046</v>
      </c>
      <c r="G88" s="1" t="s">
        <v>73</v>
      </c>
      <c r="H88" s="8">
        <f t="shared" si="3"/>
        <v>45077</v>
      </c>
      <c r="I88" s="4">
        <v>1826</v>
      </c>
      <c r="J8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1826</v>
      </c>
      <c r="K88" s="4" t="str">
        <f>IF(Table2[[#This Row],[Type]]="electricity", "kilowatt_hour_(kwh)",
IF(Table2[[#This Row],[Type]]="water", "cubic_metre_(m3)",
IF(Table2[[#This Row],[Type]]="heat", "therm_(thm)",
"NA")))</f>
        <v>kilowatt_hour_(kwh)</v>
      </c>
      <c r="L88" s="1" t="s">
        <v>129</v>
      </c>
      <c r="M88" s="10">
        <f>IF(Table2[[#This Row],[Type]]="electricity", Table2[[#This Row],[Quantity_correct]]/6.6667,
IF(Table2[[#This Row],[Type]]="water", Table2[[#This Row],[Quantity_correct]]/3.333,
IF(Table2[[#This Row],[Type]]="heat", Table2[[#This Row],[Quantity_correct]]/0.8333,
"NA")))</f>
        <v>273.8986305068475</v>
      </c>
      <c r="N88" s="1">
        <v>273.89999999999998</v>
      </c>
    </row>
    <row r="89" spans="1:14" ht="12.5" hidden="1" x14ac:dyDescent="0.25">
      <c r="A89" s="1" t="s">
        <v>8</v>
      </c>
      <c r="B89" s="1" t="s">
        <v>80</v>
      </c>
      <c r="C89" s="1" t="str">
        <f>IF(OR(Table2[[#This Row],[units]]="litre_(l)", Table2[[#This Row],[units]]="gallon_(gal)", Table2[[#This Row],[units]]="cubic_metre_(m3)"), "water", Table2[[#This Row],[type2]])</f>
        <v>electricity</v>
      </c>
      <c r="D89" s="1" t="s">
        <v>128</v>
      </c>
      <c r="E89" s="1" t="s">
        <v>103</v>
      </c>
      <c r="F89" s="8">
        <f t="shared" si="2"/>
        <v>45046</v>
      </c>
      <c r="G89" s="1" t="s">
        <v>73</v>
      </c>
      <c r="H89" s="8">
        <f t="shared" si="3"/>
        <v>45077</v>
      </c>
      <c r="I89" s="4">
        <v>61980</v>
      </c>
      <c r="J8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61980</v>
      </c>
      <c r="K89" s="4" t="str">
        <f>IF(Table2[[#This Row],[Type]]="electricity", "kilowatt_hour_(kwh)",
IF(Table2[[#This Row],[Type]]="water", "cubic_metre_(m3)",
IF(Table2[[#This Row],[Type]]="heat", "therm_(thm)",
"NA")))</f>
        <v>kilowatt_hour_(kwh)</v>
      </c>
      <c r="L89" s="1" t="s">
        <v>129</v>
      </c>
      <c r="M89" s="10">
        <f>IF(Table2[[#This Row],[Type]]="electricity", Table2[[#This Row],[Quantity_correct]]/6.6667,
IF(Table2[[#This Row],[Type]]="water", Table2[[#This Row],[Quantity_correct]]/3.333,
IF(Table2[[#This Row],[Type]]="heat", Table2[[#This Row],[Quantity_correct]]/0.8333,
"NA")))</f>
        <v>9296.9535152324243</v>
      </c>
      <c r="N89" s="1">
        <v>9297</v>
      </c>
    </row>
    <row r="90" spans="1:14" ht="12.5" hidden="1" x14ac:dyDescent="0.25">
      <c r="A90" s="1" t="s">
        <v>8</v>
      </c>
      <c r="B90" s="1" t="s">
        <v>80</v>
      </c>
      <c r="C90" s="1" t="str">
        <f>IF(OR(Table2[[#This Row],[units]]="litre_(l)", Table2[[#This Row],[units]]="gallon_(gal)", Table2[[#This Row],[units]]="cubic_metre_(m3)"), "water", Table2[[#This Row],[type2]])</f>
        <v>electricity</v>
      </c>
      <c r="D90" s="1" t="s">
        <v>128</v>
      </c>
      <c r="E90" s="1" t="s">
        <v>73</v>
      </c>
      <c r="F90" s="8">
        <f t="shared" si="2"/>
        <v>45077</v>
      </c>
      <c r="G90" s="1" t="s">
        <v>69</v>
      </c>
      <c r="H90" s="8">
        <f t="shared" si="3"/>
        <v>45107</v>
      </c>
      <c r="I90" s="4">
        <v>1912</v>
      </c>
      <c r="J9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1912</v>
      </c>
      <c r="K90" s="4" t="str">
        <f>IF(Table2[[#This Row],[Type]]="electricity", "kilowatt_hour_(kwh)",
IF(Table2[[#This Row],[Type]]="water", "cubic_metre_(m3)",
IF(Table2[[#This Row],[Type]]="heat", "therm_(thm)",
"NA")))</f>
        <v>kilowatt_hour_(kwh)</v>
      </c>
      <c r="L90" s="1" t="s">
        <v>129</v>
      </c>
      <c r="M90" s="10">
        <f>IF(Table2[[#This Row],[Type]]="electricity", Table2[[#This Row],[Quantity_correct]]/6.6667,
IF(Table2[[#This Row],[Type]]="water", Table2[[#This Row],[Quantity_correct]]/3.333,
IF(Table2[[#This Row],[Type]]="heat", Table2[[#This Row],[Quantity_correct]]/0.8333,
"NA")))</f>
        <v>286.79856600717</v>
      </c>
      <c r="N90" s="1">
        <v>286.8</v>
      </c>
    </row>
    <row r="91" spans="1:14" ht="12.5" hidden="1" x14ac:dyDescent="0.25">
      <c r="A91" s="1" t="s">
        <v>8</v>
      </c>
      <c r="B91" s="1" t="s">
        <v>80</v>
      </c>
      <c r="C91" s="1" t="str">
        <f>IF(OR(Table2[[#This Row],[units]]="litre_(l)", Table2[[#This Row],[units]]="gallon_(gal)", Table2[[#This Row],[units]]="cubic_metre_(m3)"), "water", Table2[[#This Row],[type2]])</f>
        <v>electricity</v>
      </c>
      <c r="D91" s="1" t="s">
        <v>128</v>
      </c>
      <c r="E91" s="1" t="s">
        <v>73</v>
      </c>
      <c r="F91" s="8">
        <f t="shared" si="2"/>
        <v>45077</v>
      </c>
      <c r="G91" s="1" t="s">
        <v>69</v>
      </c>
      <c r="H91" s="8">
        <f t="shared" si="3"/>
        <v>45107</v>
      </c>
      <c r="I91" s="4">
        <v>59780</v>
      </c>
      <c r="J9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59780</v>
      </c>
      <c r="K91" s="4" t="str">
        <f>IF(Table2[[#This Row],[Type]]="electricity", "kilowatt_hour_(kwh)",
IF(Table2[[#This Row],[Type]]="water", "cubic_metre_(m3)",
IF(Table2[[#This Row],[Type]]="heat", "therm_(thm)",
"NA")))</f>
        <v>kilowatt_hour_(kwh)</v>
      </c>
      <c r="L91" s="1" t="s">
        <v>129</v>
      </c>
      <c r="M91" s="10">
        <f>IF(Table2[[#This Row],[Type]]="electricity", Table2[[#This Row],[Quantity_correct]]/6.6667,
IF(Table2[[#This Row],[Type]]="water", Table2[[#This Row],[Quantity_correct]]/3.333,
IF(Table2[[#This Row],[Type]]="heat", Table2[[#This Row],[Quantity_correct]]/0.8333,
"NA")))</f>
        <v>8966.9551652241753</v>
      </c>
      <c r="N91" s="1">
        <v>8967</v>
      </c>
    </row>
    <row r="92" spans="1:14" ht="12.5" hidden="1" x14ac:dyDescent="0.25">
      <c r="A92" s="1" t="s">
        <v>8</v>
      </c>
      <c r="B92" s="1" t="s">
        <v>80</v>
      </c>
      <c r="C92" s="1" t="str">
        <f>IF(OR(Table2[[#This Row],[units]]="litre_(l)", Table2[[#This Row],[units]]="gallon_(gal)", Table2[[#This Row],[units]]="cubic_metre_(m3)"), "water", Table2[[#This Row],[type2]])</f>
        <v>electricity</v>
      </c>
      <c r="D92" s="1" t="s">
        <v>128</v>
      </c>
      <c r="E92" s="3">
        <v>44932</v>
      </c>
      <c r="F92" s="8">
        <f t="shared" si="2"/>
        <v>45078</v>
      </c>
      <c r="G92" s="1" t="s">
        <v>69</v>
      </c>
      <c r="H92" s="8">
        <f t="shared" si="3"/>
        <v>45107</v>
      </c>
      <c r="I92" s="5">
        <v>19897.490000000002</v>
      </c>
      <c r="J9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19897.490000000002</v>
      </c>
      <c r="K92" s="5" t="str">
        <f>IF(Table2[[#This Row],[Type]]="electricity", "kilowatt_hour_(kwh)",
IF(Table2[[#This Row],[Type]]="water", "cubic_metre_(m3)",
IF(Table2[[#This Row],[Type]]="heat", "therm_(thm)",
"NA")))</f>
        <v>kilowatt_hour_(kwh)</v>
      </c>
      <c r="L92" s="1" t="s">
        <v>129</v>
      </c>
      <c r="M92" s="10">
        <f>IF(Table2[[#This Row],[Type]]="electricity", Table2[[#This Row],[Quantity_correct]]/6.6667,
IF(Table2[[#This Row],[Type]]="water", Table2[[#This Row],[Quantity_correct]]/3.333,
IF(Table2[[#This Row],[Type]]="heat", Table2[[#This Row],[Quantity_correct]]/0.8333,
"NA")))</f>
        <v>2984.6085769571155</v>
      </c>
      <c r="N92" s="1">
        <v>2984.6235000000001</v>
      </c>
    </row>
    <row r="93" spans="1:14" ht="12.5" hidden="1" x14ac:dyDescent="0.25">
      <c r="A93" s="1" t="s">
        <v>8</v>
      </c>
      <c r="B93" s="1" t="s">
        <v>80</v>
      </c>
      <c r="C93" s="1" t="str">
        <f>IF(OR(Table2[[#This Row],[units]]="litre_(l)", Table2[[#This Row],[units]]="gallon_(gal)", Table2[[#This Row],[units]]="cubic_metre_(m3)"), "water", Table2[[#This Row],[type2]])</f>
        <v>electricity</v>
      </c>
      <c r="D93" s="1" t="s">
        <v>128</v>
      </c>
      <c r="E93" s="1" t="s">
        <v>69</v>
      </c>
      <c r="F93" s="8">
        <f t="shared" si="2"/>
        <v>45107</v>
      </c>
      <c r="G93" s="1" t="s">
        <v>71</v>
      </c>
      <c r="H93" s="8">
        <f t="shared" si="3"/>
        <v>45138</v>
      </c>
      <c r="I93" s="4">
        <v>2598</v>
      </c>
      <c r="J9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2598</v>
      </c>
      <c r="K93" s="4" t="str">
        <f>IF(Table2[[#This Row],[Type]]="electricity", "kilowatt_hour_(kwh)",
IF(Table2[[#This Row],[Type]]="water", "cubic_metre_(m3)",
IF(Table2[[#This Row],[Type]]="heat", "therm_(thm)",
"NA")))</f>
        <v>kilowatt_hour_(kwh)</v>
      </c>
      <c r="L93" s="1" t="s">
        <v>129</v>
      </c>
      <c r="M93" s="10">
        <f>IF(Table2[[#This Row],[Type]]="electricity", Table2[[#This Row],[Quantity_correct]]/6.6667,
IF(Table2[[#This Row],[Type]]="water", Table2[[#This Row],[Quantity_correct]]/3.333,
IF(Table2[[#This Row],[Type]]="heat", Table2[[#This Row],[Quantity_correct]]/0.8333,
"NA")))</f>
        <v>389.69805150974247</v>
      </c>
      <c r="N93" s="1">
        <v>389.7</v>
      </c>
    </row>
    <row r="94" spans="1:14" ht="12.5" hidden="1" x14ac:dyDescent="0.25">
      <c r="A94" s="1" t="s">
        <v>8</v>
      </c>
      <c r="B94" s="1" t="s">
        <v>80</v>
      </c>
      <c r="C94" s="1" t="str">
        <f>IF(OR(Table2[[#This Row],[units]]="litre_(l)", Table2[[#This Row],[units]]="gallon_(gal)", Table2[[#This Row],[units]]="cubic_metre_(m3)"), "water", Table2[[#This Row],[type2]])</f>
        <v>electricity</v>
      </c>
      <c r="D94" s="1" t="s">
        <v>128</v>
      </c>
      <c r="E94" s="1" t="s">
        <v>69</v>
      </c>
      <c r="F94" s="8">
        <f t="shared" si="2"/>
        <v>45107</v>
      </c>
      <c r="G94" s="1" t="s">
        <v>71</v>
      </c>
      <c r="H94" s="8">
        <f t="shared" si="3"/>
        <v>45138</v>
      </c>
      <c r="I94" s="4">
        <v>64416</v>
      </c>
      <c r="J9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64416</v>
      </c>
      <c r="K94" s="4" t="str">
        <f>IF(Table2[[#This Row],[Type]]="electricity", "kilowatt_hour_(kwh)",
IF(Table2[[#This Row],[Type]]="water", "cubic_metre_(m3)",
IF(Table2[[#This Row],[Type]]="heat", "therm_(thm)",
"NA")))</f>
        <v>kilowatt_hour_(kwh)</v>
      </c>
      <c r="L94" s="1" t="s">
        <v>129</v>
      </c>
      <c r="M94" s="10">
        <f>IF(Table2[[#This Row],[Type]]="electricity", Table2[[#This Row],[Quantity_correct]]/6.6667,
IF(Table2[[#This Row],[Type]]="water", Table2[[#This Row],[Quantity_correct]]/3.333,
IF(Table2[[#This Row],[Type]]="heat", Table2[[#This Row],[Quantity_correct]]/0.8333,
"NA")))</f>
        <v>9662.3516882415588</v>
      </c>
      <c r="N94" s="1">
        <v>9662.4</v>
      </c>
    </row>
    <row r="95" spans="1:14" ht="12.5" hidden="1" x14ac:dyDescent="0.25">
      <c r="A95" s="1" t="s">
        <v>8</v>
      </c>
      <c r="B95" s="1" t="s">
        <v>80</v>
      </c>
      <c r="C95" s="1" t="str">
        <f>IF(OR(Table2[[#This Row],[units]]="litre_(l)", Table2[[#This Row],[units]]="gallon_(gal)", Table2[[#This Row],[units]]="cubic_metre_(m3)"), "water", Table2[[#This Row],[type2]])</f>
        <v>electricity</v>
      </c>
      <c r="D95" s="1" t="s">
        <v>128</v>
      </c>
      <c r="E95" s="3">
        <v>44933</v>
      </c>
      <c r="F95" s="8">
        <f t="shared" si="2"/>
        <v>45108</v>
      </c>
      <c r="G95" s="1" t="s">
        <v>71</v>
      </c>
      <c r="H95" s="8">
        <f t="shared" si="3"/>
        <v>45138</v>
      </c>
      <c r="I95" s="5">
        <v>18975.43</v>
      </c>
      <c r="J9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18975.43</v>
      </c>
      <c r="K95" s="5" t="str">
        <f>IF(Table2[[#This Row],[Type]]="electricity", "kilowatt_hour_(kwh)",
IF(Table2[[#This Row],[Type]]="water", "cubic_metre_(m3)",
IF(Table2[[#This Row],[Type]]="heat", "therm_(thm)",
"NA")))</f>
        <v>kilowatt_hour_(kwh)</v>
      </c>
      <c r="L95" s="1" t="s">
        <v>129</v>
      </c>
      <c r="M95" s="10">
        <f>IF(Table2[[#This Row],[Type]]="electricity", Table2[[#This Row],[Quantity_correct]]/6.6667,
IF(Table2[[#This Row],[Type]]="water", Table2[[#This Row],[Quantity_correct]]/3.333,
IF(Table2[[#This Row],[Type]]="heat", Table2[[#This Row],[Quantity_correct]]/0.8333,
"NA")))</f>
        <v>2846.3002684986577</v>
      </c>
      <c r="N95" s="1">
        <v>2846.3145</v>
      </c>
    </row>
    <row r="96" spans="1:14" ht="12.5" hidden="1" x14ac:dyDescent="0.25">
      <c r="A96" s="1" t="s">
        <v>8</v>
      </c>
      <c r="B96" s="1" t="s">
        <v>80</v>
      </c>
      <c r="C96" s="1" t="str">
        <f>IF(OR(Table2[[#This Row],[units]]="litre_(l)", Table2[[#This Row],[units]]="gallon_(gal)", Table2[[#This Row],[units]]="cubic_metre_(m3)"), "water", Table2[[#This Row],[type2]])</f>
        <v>electricity</v>
      </c>
      <c r="D96" s="1" t="s">
        <v>128</v>
      </c>
      <c r="E96" s="1" t="s">
        <v>71</v>
      </c>
      <c r="F96" s="8">
        <f t="shared" si="2"/>
        <v>45138</v>
      </c>
      <c r="G96" s="1" t="s">
        <v>156</v>
      </c>
      <c r="H96" s="8">
        <f t="shared" si="3"/>
        <v>45168</v>
      </c>
      <c r="I96" s="4">
        <v>45398</v>
      </c>
      <c r="J9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45398</v>
      </c>
      <c r="K96" s="4" t="str">
        <f>IF(Table2[[#This Row],[Type]]="electricity", "kilowatt_hour_(kwh)",
IF(Table2[[#This Row],[Type]]="water", "cubic_metre_(m3)",
IF(Table2[[#This Row],[Type]]="heat", "therm_(thm)",
"NA")))</f>
        <v>kilowatt_hour_(kwh)</v>
      </c>
      <c r="L96" s="1" t="s">
        <v>129</v>
      </c>
      <c r="M96" s="10">
        <f>IF(Table2[[#This Row],[Type]]="electricity", Table2[[#This Row],[Quantity_correct]]/6.6667,
IF(Table2[[#This Row],[Type]]="water", Table2[[#This Row],[Quantity_correct]]/3.333,
IF(Table2[[#This Row],[Type]]="heat", Table2[[#This Row],[Quantity_correct]]/0.8333,
"NA")))</f>
        <v>6809.6659516702421</v>
      </c>
      <c r="N96" s="1">
        <v>6809.7</v>
      </c>
    </row>
    <row r="97" spans="1:14" ht="12.5" hidden="1" x14ac:dyDescent="0.25">
      <c r="A97" s="1" t="s">
        <v>8</v>
      </c>
      <c r="B97" s="1" t="s">
        <v>80</v>
      </c>
      <c r="C97" s="1" t="str">
        <f>IF(OR(Table2[[#This Row],[units]]="litre_(l)", Table2[[#This Row],[units]]="gallon_(gal)", Table2[[#This Row],[units]]="cubic_metre_(m3)"), "water", Table2[[#This Row],[type2]])</f>
        <v>electricity</v>
      </c>
      <c r="D97" s="1" t="s">
        <v>128</v>
      </c>
      <c r="E97" s="1" t="s">
        <v>71</v>
      </c>
      <c r="F97" s="8">
        <f t="shared" si="2"/>
        <v>45138</v>
      </c>
      <c r="G97" s="1" t="s">
        <v>72</v>
      </c>
      <c r="H97" s="8">
        <f t="shared" si="3"/>
        <v>45169</v>
      </c>
      <c r="I97" s="4">
        <v>1770</v>
      </c>
      <c r="J9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1770</v>
      </c>
      <c r="K97" s="4" t="str">
        <f>IF(Table2[[#This Row],[Type]]="electricity", "kilowatt_hour_(kwh)",
IF(Table2[[#This Row],[Type]]="water", "cubic_metre_(m3)",
IF(Table2[[#This Row],[Type]]="heat", "therm_(thm)",
"NA")))</f>
        <v>kilowatt_hour_(kwh)</v>
      </c>
      <c r="L97" s="1" t="s">
        <v>129</v>
      </c>
      <c r="M97" s="10">
        <f>IF(Table2[[#This Row],[Type]]="electricity", Table2[[#This Row],[Quantity_correct]]/6.6667,
IF(Table2[[#This Row],[Type]]="water", Table2[[#This Row],[Quantity_correct]]/3.333,
IF(Table2[[#This Row],[Type]]="heat", Table2[[#This Row],[Quantity_correct]]/0.8333,
"NA")))</f>
        <v>265.49867250663749</v>
      </c>
      <c r="N97" s="1">
        <v>265.5</v>
      </c>
    </row>
    <row r="98" spans="1:14" ht="12.5" hidden="1" x14ac:dyDescent="0.25">
      <c r="A98" s="1" t="s">
        <v>8</v>
      </c>
      <c r="B98" s="1" t="s">
        <v>80</v>
      </c>
      <c r="C98" s="1" t="str">
        <f>IF(OR(Table2[[#This Row],[units]]="litre_(l)", Table2[[#This Row],[units]]="gallon_(gal)", Table2[[#This Row],[units]]="cubic_metre_(m3)"), "water", Table2[[#This Row],[type2]])</f>
        <v>electricity</v>
      </c>
      <c r="D98" s="1" t="s">
        <v>128</v>
      </c>
      <c r="E98" s="3">
        <v>44934</v>
      </c>
      <c r="F98" s="8">
        <f t="shared" si="2"/>
        <v>45139</v>
      </c>
      <c r="G98" s="1" t="s">
        <v>72</v>
      </c>
      <c r="H98" s="8">
        <f t="shared" si="3"/>
        <v>45169</v>
      </c>
      <c r="I98" s="5">
        <v>14329.2</v>
      </c>
      <c r="J9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14329.2</v>
      </c>
      <c r="K98" s="5" t="str">
        <f>IF(Table2[[#This Row],[Type]]="electricity", "kilowatt_hour_(kwh)",
IF(Table2[[#This Row],[Type]]="water", "cubic_metre_(m3)",
IF(Table2[[#This Row],[Type]]="heat", "therm_(thm)",
"NA")))</f>
        <v>kilowatt_hour_(kwh)</v>
      </c>
      <c r="L98" s="1" t="s">
        <v>129</v>
      </c>
      <c r="M98" s="10">
        <f>IF(Table2[[#This Row],[Type]]="electricity", Table2[[#This Row],[Quantity_correct]]/6.6667,
IF(Table2[[#This Row],[Type]]="water", Table2[[#This Row],[Quantity_correct]]/3.333,
IF(Table2[[#This Row],[Type]]="heat", Table2[[#This Row],[Quantity_correct]]/0.8333,
"NA")))</f>
        <v>2149.3692531537345</v>
      </c>
      <c r="N98" s="1">
        <v>2149.38</v>
      </c>
    </row>
    <row r="99" spans="1:14" ht="12.5" hidden="1" x14ac:dyDescent="0.25">
      <c r="A99" s="1" t="s">
        <v>8</v>
      </c>
      <c r="B99" s="1" t="s">
        <v>80</v>
      </c>
      <c r="C99" s="1" t="str">
        <f>IF(OR(Table2[[#This Row],[units]]="litre_(l)", Table2[[#This Row],[units]]="gallon_(gal)", Table2[[#This Row],[units]]="cubic_metre_(m3)"), "water", Table2[[#This Row],[type2]])</f>
        <v>electricity</v>
      </c>
      <c r="D99" s="1" t="s">
        <v>128</v>
      </c>
      <c r="E99" s="1" t="s">
        <v>156</v>
      </c>
      <c r="F99" s="8">
        <f t="shared" si="2"/>
        <v>45168</v>
      </c>
      <c r="G99" s="1" t="s">
        <v>72</v>
      </c>
      <c r="H99" s="8">
        <f t="shared" si="3"/>
        <v>45169</v>
      </c>
      <c r="I99" s="4">
        <v>1900</v>
      </c>
      <c r="J9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1900</v>
      </c>
      <c r="K99" s="4" t="str">
        <f>IF(Table2[[#This Row],[Type]]="electricity", "kilowatt_hour_(kwh)",
IF(Table2[[#This Row],[Type]]="water", "cubic_metre_(m3)",
IF(Table2[[#This Row],[Type]]="heat", "therm_(thm)",
"NA")))</f>
        <v>kilowatt_hour_(kwh)</v>
      </c>
      <c r="L99" s="1" t="s">
        <v>129</v>
      </c>
      <c r="M99" s="10">
        <f>IF(Table2[[#This Row],[Type]]="electricity", Table2[[#This Row],[Quantity_correct]]/6.6667,
IF(Table2[[#This Row],[Type]]="water", Table2[[#This Row],[Quantity_correct]]/3.333,
IF(Table2[[#This Row],[Type]]="heat", Table2[[#This Row],[Quantity_correct]]/0.8333,
"NA")))</f>
        <v>284.998575007125</v>
      </c>
      <c r="N99" s="1">
        <v>285</v>
      </c>
    </row>
    <row r="100" spans="1:14" ht="12.5" hidden="1" x14ac:dyDescent="0.25">
      <c r="A100" s="1" t="s">
        <v>8</v>
      </c>
      <c r="B100" s="1" t="s">
        <v>80</v>
      </c>
      <c r="C100" s="1" t="str">
        <f>IF(OR(Table2[[#This Row],[units]]="litre_(l)", Table2[[#This Row],[units]]="gallon_(gal)", Table2[[#This Row],[units]]="cubic_metre_(m3)"), "water", Table2[[#This Row],[type2]])</f>
        <v>electricity</v>
      </c>
      <c r="D100" s="1" t="s">
        <v>128</v>
      </c>
      <c r="E100" s="3">
        <v>44935</v>
      </c>
      <c r="F100" s="8">
        <f t="shared" si="2"/>
        <v>45170</v>
      </c>
      <c r="G100" s="1" t="s">
        <v>67</v>
      </c>
      <c r="H100" s="8">
        <f t="shared" si="3"/>
        <v>45199</v>
      </c>
      <c r="I100" s="4">
        <v>1720</v>
      </c>
      <c r="J10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1720</v>
      </c>
      <c r="K100" s="4" t="str">
        <f>IF(Table2[[#This Row],[Type]]="electricity", "kilowatt_hour_(kwh)",
IF(Table2[[#This Row],[Type]]="water", "cubic_metre_(m3)",
IF(Table2[[#This Row],[Type]]="heat", "therm_(thm)",
"NA")))</f>
        <v>kilowatt_hour_(kwh)</v>
      </c>
      <c r="L100" s="1" t="s">
        <v>129</v>
      </c>
      <c r="M100" s="10">
        <f>IF(Table2[[#This Row],[Type]]="electricity", Table2[[#This Row],[Quantity_correct]]/6.6667,
IF(Table2[[#This Row],[Type]]="water", Table2[[#This Row],[Quantity_correct]]/3.333,
IF(Table2[[#This Row],[Type]]="heat", Table2[[#This Row],[Quantity_correct]]/0.8333,
"NA")))</f>
        <v>257.99871000644998</v>
      </c>
      <c r="N100" s="1">
        <v>258</v>
      </c>
    </row>
    <row r="101" spans="1:14" ht="12.5" hidden="1" x14ac:dyDescent="0.25">
      <c r="A101" s="1" t="s">
        <v>8</v>
      </c>
      <c r="B101" s="1" t="s">
        <v>80</v>
      </c>
      <c r="C101" s="1" t="str">
        <f>IF(OR(Table2[[#This Row],[units]]="litre_(l)", Table2[[#This Row],[units]]="gallon_(gal)", Table2[[#This Row],[units]]="cubic_metre_(m3)"), "water", Table2[[#This Row],[type2]])</f>
        <v>electricity</v>
      </c>
      <c r="D101" s="1" t="s">
        <v>128</v>
      </c>
      <c r="E101" s="3">
        <v>44935</v>
      </c>
      <c r="F101" s="8">
        <f t="shared" si="2"/>
        <v>45170</v>
      </c>
      <c r="G101" s="1" t="s">
        <v>67</v>
      </c>
      <c r="H101" s="8">
        <f t="shared" si="3"/>
        <v>45199</v>
      </c>
      <c r="I101" s="5">
        <v>15362.22</v>
      </c>
      <c r="J10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15362.22</v>
      </c>
      <c r="K101" s="5" t="str">
        <f>IF(Table2[[#This Row],[Type]]="electricity", "kilowatt_hour_(kwh)",
IF(Table2[[#This Row],[Type]]="water", "cubic_metre_(m3)",
IF(Table2[[#This Row],[Type]]="heat", "therm_(thm)",
"NA")))</f>
        <v>kilowatt_hour_(kwh)</v>
      </c>
      <c r="L101" s="1" t="s">
        <v>129</v>
      </c>
      <c r="M101" s="10">
        <f>IF(Table2[[#This Row],[Type]]="electricity", Table2[[#This Row],[Quantity_correct]]/6.6667,
IF(Table2[[#This Row],[Type]]="water", Table2[[#This Row],[Quantity_correct]]/3.333,
IF(Table2[[#This Row],[Type]]="heat", Table2[[#This Row],[Quantity_correct]]/0.8333,
"NA")))</f>
        <v>2304.3214783926082</v>
      </c>
      <c r="N101" s="1">
        <v>2304.3330000000001</v>
      </c>
    </row>
    <row r="102" spans="1:14" ht="12.5" hidden="1" x14ac:dyDescent="0.25">
      <c r="A102" s="1" t="s">
        <v>8</v>
      </c>
      <c r="B102" s="1" t="s">
        <v>80</v>
      </c>
      <c r="C102" s="1" t="str">
        <f>IF(OR(Table2[[#This Row],[units]]="litre_(l)", Table2[[#This Row],[units]]="gallon_(gal)", Table2[[#This Row],[units]]="cubic_metre_(m3)"), "water", Table2[[#This Row],[type2]])</f>
        <v>electricity</v>
      </c>
      <c r="D102" s="1" t="s">
        <v>128</v>
      </c>
      <c r="E102" s="3">
        <v>44935</v>
      </c>
      <c r="F102" s="8">
        <f t="shared" si="2"/>
        <v>45170</v>
      </c>
      <c r="G102" s="1" t="s">
        <v>67</v>
      </c>
      <c r="H102" s="8">
        <f t="shared" si="3"/>
        <v>45199</v>
      </c>
      <c r="I102" s="4">
        <v>50961</v>
      </c>
      <c r="J10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50961</v>
      </c>
      <c r="K102" s="4" t="str">
        <f>IF(Table2[[#This Row],[Type]]="electricity", "kilowatt_hour_(kwh)",
IF(Table2[[#This Row],[Type]]="water", "cubic_metre_(m3)",
IF(Table2[[#This Row],[Type]]="heat", "therm_(thm)",
"NA")))</f>
        <v>kilowatt_hour_(kwh)</v>
      </c>
      <c r="L102" s="1" t="s">
        <v>129</v>
      </c>
      <c r="M102" s="10">
        <f>IF(Table2[[#This Row],[Type]]="electricity", Table2[[#This Row],[Quantity_correct]]/6.6667,
IF(Table2[[#This Row],[Type]]="water", Table2[[#This Row],[Quantity_correct]]/3.333,
IF(Table2[[#This Row],[Type]]="heat", Table2[[#This Row],[Quantity_correct]]/0.8333,
"NA")))</f>
        <v>7644.111779441103</v>
      </c>
      <c r="N102" s="1">
        <v>7644.15</v>
      </c>
    </row>
    <row r="103" spans="1:14" ht="12.5" hidden="1" x14ac:dyDescent="0.25">
      <c r="A103" s="1" t="s">
        <v>8</v>
      </c>
      <c r="B103" s="1" t="s">
        <v>80</v>
      </c>
      <c r="C103" s="1" t="str">
        <f>IF(OR(Table2[[#This Row],[units]]="litre_(l)", Table2[[#This Row],[units]]="gallon_(gal)", Table2[[#This Row],[units]]="cubic_metre_(m3)"), "water", Table2[[#This Row],[type2]])</f>
        <v>electricity</v>
      </c>
      <c r="D103" s="1" t="s">
        <v>128</v>
      </c>
      <c r="E103" s="3">
        <v>44936</v>
      </c>
      <c r="F103" s="8">
        <f t="shared" si="2"/>
        <v>45200</v>
      </c>
      <c r="G103" s="1" t="s">
        <v>75</v>
      </c>
      <c r="H103" s="8">
        <f t="shared" si="3"/>
        <v>45230</v>
      </c>
      <c r="I103" s="4">
        <v>1787</v>
      </c>
      <c r="J10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1787</v>
      </c>
      <c r="K103" s="4" t="str">
        <f>IF(Table2[[#This Row],[Type]]="electricity", "kilowatt_hour_(kwh)",
IF(Table2[[#This Row],[Type]]="water", "cubic_metre_(m3)",
IF(Table2[[#This Row],[Type]]="heat", "therm_(thm)",
"NA")))</f>
        <v>kilowatt_hour_(kwh)</v>
      </c>
      <c r="L103" s="1" t="s">
        <v>129</v>
      </c>
      <c r="M103" s="10">
        <f>IF(Table2[[#This Row],[Type]]="electricity", Table2[[#This Row],[Quantity_correct]]/6.6667,
IF(Table2[[#This Row],[Type]]="water", Table2[[#This Row],[Quantity_correct]]/3.333,
IF(Table2[[#This Row],[Type]]="heat", Table2[[#This Row],[Quantity_correct]]/0.8333,
"NA")))</f>
        <v>268.04865975670123</v>
      </c>
      <c r="N103" s="1">
        <v>268.05</v>
      </c>
    </row>
    <row r="104" spans="1:14" ht="12.5" hidden="1" x14ac:dyDescent="0.25">
      <c r="A104" s="1" t="s">
        <v>8</v>
      </c>
      <c r="B104" s="1" t="s">
        <v>80</v>
      </c>
      <c r="C104" s="1" t="str">
        <f>IF(OR(Table2[[#This Row],[units]]="litre_(l)", Table2[[#This Row],[units]]="gallon_(gal)", Table2[[#This Row],[units]]="cubic_metre_(m3)"), "water", Table2[[#This Row],[type2]])</f>
        <v>electricity</v>
      </c>
      <c r="D104" s="1" t="s">
        <v>128</v>
      </c>
      <c r="E104" s="3">
        <v>44936</v>
      </c>
      <c r="F104" s="8">
        <f t="shared" si="2"/>
        <v>45200</v>
      </c>
      <c r="G104" s="1" t="s">
        <v>75</v>
      </c>
      <c r="H104" s="8">
        <f t="shared" si="3"/>
        <v>45230</v>
      </c>
      <c r="I104" s="5">
        <v>11790.07</v>
      </c>
      <c r="J10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11790.07</v>
      </c>
      <c r="K104" s="5" t="str">
        <f>IF(Table2[[#This Row],[Type]]="electricity", "kilowatt_hour_(kwh)",
IF(Table2[[#This Row],[Type]]="water", "cubic_metre_(m3)",
IF(Table2[[#This Row],[Type]]="heat", "therm_(thm)",
"NA")))</f>
        <v>kilowatt_hour_(kwh)</v>
      </c>
      <c r="L104" s="1" t="s">
        <v>129</v>
      </c>
      <c r="M104" s="10">
        <f>IF(Table2[[#This Row],[Type]]="electricity", Table2[[#This Row],[Quantity_correct]]/6.6667,
IF(Table2[[#This Row],[Type]]="water", Table2[[#This Row],[Quantity_correct]]/3.333,
IF(Table2[[#This Row],[Type]]="heat", Table2[[#This Row],[Quantity_correct]]/0.8333,
"NA")))</f>
        <v>1768.5016574917126</v>
      </c>
      <c r="N104" s="1">
        <v>1768.5105000000001</v>
      </c>
    </row>
    <row r="105" spans="1:14" ht="12.5" hidden="1" x14ac:dyDescent="0.25">
      <c r="A105" s="1" t="s">
        <v>8</v>
      </c>
      <c r="B105" s="1" t="s">
        <v>80</v>
      </c>
      <c r="C105" s="1" t="str">
        <f>IF(OR(Table2[[#This Row],[units]]="litre_(l)", Table2[[#This Row],[units]]="gallon_(gal)", Table2[[#This Row],[units]]="cubic_metre_(m3)"), "water", Table2[[#This Row],[type2]])</f>
        <v>electricity</v>
      </c>
      <c r="D105" s="1" t="s">
        <v>128</v>
      </c>
      <c r="E105" s="3">
        <v>44936</v>
      </c>
      <c r="F105" s="8">
        <f t="shared" si="2"/>
        <v>45200</v>
      </c>
      <c r="G105" s="1" t="s">
        <v>75</v>
      </c>
      <c r="H105" s="8">
        <f t="shared" si="3"/>
        <v>45230</v>
      </c>
      <c r="I105" s="4">
        <v>50305</v>
      </c>
      <c r="J10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50305</v>
      </c>
      <c r="K105" s="4" t="str">
        <f>IF(Table2[[#This Row],[Type]]="electricity", "kilowatt_hour_(kwh)",
IF(Table2[[#This Row],[Type]]="water", "cubic_metre_(m3)",
IF(Table2[[#This Row],[Type]]="heat", "therm_(thm)",
"NA")))</f>
        <v>kilowatt_hour_(kwh)</v>
      </c>
      <c r="L105" s="1" t="s">
        <v>129</v>
      </c>
      <c r="M105" s="10">
        <f>IF(Table2[[#This Row],[Type]]="electricity", Table2[[#This Row],[Quantity_correct]]/6.6667,
IF(Table2[[#This Row],[Type]]="water", Table2[[#This Row],[Quantity_correct]]/3.333,
IF(Table2[[#This Row],[Type]]="heat", Table2[[#This Row],[Quantity_correct]]/0.8333,
"NA")))</f>
        <v>7545.7122714386433</v>
      </c>
      <c r="N105" s="1">
        <v>7545.75</v>
      </c>
    </row>
    <row r="106" spans="1:14" ht="12.5" hidden="1" x14ac:dyDescent="0.25">
      <c r="A106" s="1" t="s">
        <v>8</v>
      </c>
      <c r="B106" s="1" t="s">
        <v>80</v>
      </c>
      <c r="C106" s="1" t="str">
        <f>IF(OR(Table2[[#This Row],[units]]="litre_(l)", Table2[[#This Row],[units]]="gallon_(gal)", Table2[[#This Row],[units]]="cubic_metre_(m3)"), "water", Table2[[#This Row],[type2]])</f>
        <v>electricity</v>
      </c>
      <c r="D106" s="1" t="s">
        <v>128</v>
      </c>
      <c r="E106" s="3">
        <v>44937</v>
      </c>
      <c r="F106" s="8">
        <f t="shared" si="2"/>
        <v>45231</v>
      </c>
      <c r="G106" s="1" t="s">
        <v>56</v>
      </c>
      <c r="H106" s="8">
        <f t="shared" si="3"/>
        <v>45260</v>
      </c>
      <c r="I106" s="4">
        <v>1724</v>
      </c>
      <c r="J10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1724</v>
      </c>
      <c r="K106" s="4" t="str">
        <f>IF(Table2[[#This Row],[Type]]="electricity", "kilowatt_hour_(kwh)",
IF(Table2[[#This Row],[Type]]="water", "cubic_metre_(m3)",
IF(Table2[[#This Row],[Type]]="heat", "therm_(thm)",
"NA")))</f>
        <v>kilowatt_hour_(kwh)</v>
      </c>
      <c r="L106" s="1" t="s">
        <v>129</v>
      </c>
      <c r="M106" s="10">
        <f>IF(Table2[[#This Row],[Type]]="electricity", Table2[[#This Row],[Quantity_correct]]/6.6667,
IF(Table2[[#This Row],[Type]]="water", Table2[[#This Row],[Quantity_correct]]/3.333,
IF(Table2[[#This Row],[Type]]="heat", Table2[[#This Row],[Quantity_correct]]/0.8333,
"NA")))</f>
        <v>258.59870700646496</v>
      </c>
      <c r="N106" s="1">
        <v>258.60000000000002</v>
      </c>
    </row>
    <row r="107" spans="1:14" ht="12.5" hidden="1" x14ac:dyDescent="0.25">
      <c r="A107" s="1" t="s">
        <v>8</v>
      </c>
      <c r="B107" s="1" t="s">
        <v>80</v>
      </c>
      <c r="C107" s="1" t="str">
        <f>IF(OR(Table2[[#This Row],[units]]="litre_(l)", Table2[[#This Row],[units]]="gallon_(gal)", Table2[[#This Row],[units]]="cubic_metre_(m3)"), "water", Table2[[#This Row],[type2]])</f>
        <v>electricity</v>
      </c>
      <c r="D107" s="1" t="s">
        <v>128</v>
      </c>
      <c r="E107" s="3">
        <v>44937</v>
      </c>
      <c r="F107" s="8">
        <f t="shared" si="2"/>
        <v>45231</v>
      </c>
      <c r="G107" s="1" t="s">
        <v>56</v>
      </c>
      <c r="H107" s="8">
        <f t="shared" si="3"/>
        <v>45260</v>
      </c>
      <c r="I107" s="5">
        <v>10142.35</v>
      </c>
      <c r="J10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10142.35</v>
      </c>
      <c r="K107" s="5" t="str">
        <f>IF(Table2[[#This Row],[Type]]="electricity", "kilowatt_hour_(kwh)",
IF(Table2[[#This Row],[Type]]="water", "cubic_metre_(m3)",
IF(Table2[[#This Row],[Type]]="heat", "therm_(thm)",
"NA")))</f>
        <v>kilowatt_hour_(kwh)</v>
      </c>
      <c r="L107" s="1" t="s">
        <v>129</v>
      </c>
      <c r="M107" s="10">
        <f>IF(Table2[[#This Row],[Type]]="electricity", Table2[[#This Row],[Quantity_correct]]/6.6667,
IF(Table2[[#This Row],[Type]]="water", Table2[[#This Row],[Quantity_correct]]/3.333,
IF(Table2[[#This Row],[Type]]="heat", Table2[[#This Row],[Quantity_correct]]/0.8333,
"NA")))</f>
        <v>1521.3448932755337</v>
      </c>
      <c r="N107" s="1">
        <v>1521.3525</v>
      </c>
    </row>
    <row r="108" spans="1:14" ht="12.5" hidden="1" x14ac:dyDescent="0.25">
      <c r="A108" s="1" t="s">
        <v>8</v>
      </c>
      <c r="B108" s="1" t="s">
        <v>80</v>
      </c>
      <c r="C108" s="1" t="str">
        <f>IF(OR(Table2[[#This Row],[units]]="litre_(l)", Table2[[#This Row],[units]]="gallon_(gal)", Table2[[#This Row],[units]]="cubic_metre_(m3)"), "water", Table2[[#This Row],[type2]])</f>
        <v>electricity</v>
      </c>
      <c r="D108" s="1" t="s">
        <v>128</v>
      </c>
      <c r="E108" s="3">
        <v>44937</v>
      </c>
      <c r="F108" s="8">
        <f t="shared" si="2"/>
        <v>45231</v>
      </c>
      <c r="G108" s="1" t="s">
        <v>56</v>
      </c>
      <c r="H108" s="8">
        <f t="shared" si="3"/>
        <v>45260</v>
      </c>
      <c r="I108" s="4">
        <v>59924</v>
      </c>
      <c r="J10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59924</v>
      </c>
      <c r="K108" s="4" t="str">
        <f>IF(Table2[[#This Row],[Type]]="electricity", "kilowatt_hour_(kwh)",
IF(Table2[[#This Row],[Type]]="water", "cubic_metre_(m3)",
IF(Table2[[#This Row],[Type]]="heat", "therm_(thm)",
"NA")))</f>
        <v>kilowatt_hour_(kwh)</v>
      </c>
      <c r="L108" s="1" t="s">
        <v>129</v>
      </c>
      <c r="M108" s="10">
        <f>IF(Table2[[#This Row],[Type]]="electricity", Table2[[#This Row],[Quantity_correct]]/6.6667,
IF(Table2[[#This Row],[Type]]="water", Table2[[#This Row],[Quantity_correct]]/3.333,
IF(Table2[[#This Row],[Type]]="heat", Table2[[#This Row],[Quantity_correct]]/0.8333,
"NA")))</f>
        <v>8988.5550572247139</v>
      </c>
      <c r="N108" s="1">
        <v>8988.6</v>
      </c>
    </row>
    <row r="109" spans="1:14" ht="12.5" hidden="1" x14ac:dyDescent="0.25">
      <c r="A109" s="1" t="s">
        <v>8</v>
      </c>
      <c r="B109" s="1" t="s">
        <v>80</v>
      </c>
      <c r="C109" s="1" t="str">
        <f>IF(OR(Table2[[#This Row],[units]]="litre_(l)", Table2[[#This Row],[units]]="gallon_(gal)", Table2[[#This Row],[units]]="cubic_metre_(m3)"), "water", Table2[[#This Row],[type2]])</f>
        <v>electricity</v>
      </c>
      <c r="D109" s="1" t="s">
        <v>128</v>
      </c>
      <c r="E109" s="3">
        <v>44938</v>
      </c>
      <c r="F109" s="8">
        <f t="shared" si="2"/>
        <v>45261</v>
      </c>
      <c r="G109" s="1" t="s">
        <v>45</v>
      </c>
      <c r="H109" s="8">
        <f t="shared" si="3"/>
        <v>45291</v>
      </c>
      <c r="I109" s="4">
        <v>2264</v>
      </c>
      <c r="J10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2264</v>
      </c>
      <c r="K109" s="4" t="str">
        <f>IF(Table2[[#This Row],[Type]]="electricity", "kilowatt_hour_(kwh)",
IF(Table2[[#This Row],[Type]]="water", "cubic_metre_(m3)",
IF(Table2[[#This Row],[Type]]="heat", "therm_(thm)",
"NA")))</f>
        <v>kilowatt_hour_(kwh)</v>
      </c>
      <c r="L109" s="1" t="s">
        <v>129</v>
      </c>
      <c r="M109" s="10">
        <f>IF(Table2[[#This Row],[Type]]="electricity", Table2[[#This Row],[Quantity_correct]]/6.6667,
IF(Table2[[#This Row],[Type]]="water", Table2[[#This Row],[Quantity_correct]]/3.333,
IF(Table2[[#This Row],[Type]]="heat", Table2[[#This Row],[Quantity_correct]]/0.8333,
"NA")))</f>
        <v>339.59830200848995</v>
      </c>
      <c r="N109" s="1">
        <v>339.6</v>
      </c>
    </row>
    <row r="110" spans="1:14" ht="12.5" hidden="1" x14ac:dyDescent="0.25">
      <c r="A110" s="1" t="s">
        <v>8</v>
      </c>
      <c r="B110" s="1" t="s">
        <v>80</v>
      </c>
      <c r="C110" s="1" t="str">
        <f>IF(OR(Table2[[#This Row],[units]]="litre_(l)", Table2[[#This Row],[units]]="gallon_(gal)", Table2[[#This Row],[units]]="cubic_metre_(m3)"), "water", Table2[[#This Row],[type2]])</f>
        <v>electricity</v>
      </c>
      <c r="D110" s="1" t="s">
        <v>128</v>
      </c>
      <c r="E110" s="3">
        <v>44938</v>
      </c>
      <c r="F110" s="8">
        <f t="shared" si="2"/>
        <v>45261</v>
      </c>
      <c r="G110" s="1" t="s">
        <v>45</v>
      </c>
      <c r="H110" s="8">
        <f t="shared" si="3"/>
        <v>45291</v>
      </c>
      <c r="I110" s="5">
        <v>6799.38</v>
      </c>
      <c r="J11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6799.38</v>
      </c>
      <c r="K110" s="5" t="str">
        <f>IF(Table2[[#This Row],[Type]]="electricity", "kilowatt_hour_(kwh)",
IF(Table2[[#This Row],[Type]]="water", "cubic_metre_(m3)",
IF(Table2[[#This Row],[Type]]="heat", "therm_(thm)",
"NA")))</f>
        <v>kilowatt_hour_(kwh)</v>
      </c>
      <c r="L110" s="1" t="s">
        <v>129</v>
      </c>
      <c r="M110" s="10">
        <f>IF(Table2[[#This Row],[Type]]="electricity", Table2[[#This Row],[Quantity_correct]]/6.6667,
IF(Table2[[#This Row],[Type]]="water", Table2[[#This Row],[Quantity_correct]]/3.333,
IF(Table2[[#This Row],[Type]]="heat", Table2[[#This Row],[Quantity_correct]]/0.8333,
"NA")))</f>
        <v>1019.9019004904976</v>
      </c>
      <c r="N110" s="1">
        <v>1019.907</v>
      </c>
    </row>
    <row r="111" spans="1:14" ht="12.5" hidden="1" x14ac:dyDescent="0.25">
      <c r="A111" s="1" t="s">
        <v>8</v>
      </c>
      <c r="B111" s="1" t="s">
        <v>80</v>
      </c>
      <c r="C111" s="1" t="str">
        <f>IF(OR(Table2[[#This Row],[units]]="litre_(l)", Table2[[#This Row],[units]]="gallon_(gal)", Table2[[#This Row],[units]]="cubic_metre_(m3)"), "water", Table2[[#This Row],[type2]])</f>
        <v>electricity</v>
      </c>
      <c r="D111" s="1" t="s">
        <v>128</v>
      </c>
      <c r="E111" s="3">
        <v>44938</v>
      </c>
      <c r="F111" s="8">
        <f t="shared" si="2"/>
        <v>45261</v>
      </c>
      <c r="G111" s="1" t="s">
        <v>45</v>
      </c>
      <c r="H111" s="8">
        <f t="shared" si="3"/>
        <v>45291</v>
      </c>
      <c r="I111" s="4">
        <v>55553</v>
      </c>
      <c r="J11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55553</v>
      </c>
      <c r="K111" s="4" t="str">
        <f>IF(Table2[[#This Row],[Type]]="electricity", "kilowatt_hour_(kwh)",
IF(Table2[[#This Row],[Type]]="water", "cubic_metre_(m3)",
IF(Table2[[#This Row],[Type]]="heat", "therm_(thm)",
"NA")))</f>
        <v>kilowatt_hour_(kwh)</v>
      </c>
      <c r="L111" s="1" t="s">
        <v>129</v>
      </c>
      <c r="M111" s="10">
        <f>IF(Table2[[#This Row],[Type]]="electricity", Table2[[#This Row],[Quantity_correct]]/6.6667,
IF(Table2[[#This Row],[Type]]="water", Table2[[#This Row],[Quantity_correct]]/3.333,
IF(Table2[[#This Row],[Type]]="heat", Table2[[#This Row],[Quantity_correct]]/0.8333,
"NA")))</f>
        <v>8332.9083354583236</v>
      </c>
      <c r="N111" s="1">
        <v>8332.9500000000007</v>
      </c>
    </row>
    <row r="112" spans="1:14" ht="12.5" hidden="1" x14ac:dyDescent="0.25">
      <c r="A112" s="1" t="s">
        <v>8</v>
      </c>
      <c r="B112" s="1" t="s">
        <v>80</v>
      </c>
      <c r="C112" s="1" t="str">
        <f>IF(OR(Table2[[#This Row],[units]]="litre_(l)", Table2[[#This Row],[units]]="gallon_(gal)", Table2[[#This Row],[units]]="cubic_metre_(m3)"), "water", Table2[[#This Row],[type2]])</f>
        <v>water</v>
      </c>
      <c r="D112" s="1" t="s">
        <v>140</v>
      </c>
      <c r="E112" s="3">
        <v>44562</v>
      </c>
      <c r="F112" s="8">
        <f t="shared" si="2"/>
        <v>44562</v>
      </c>
      <c r="G112" s="1" t="s">
        <v>51</v>
      </c>
      <c r="H112" s="8">
        <f t="shared" si="3"/>
        <v>44926</v>
      </c>
      <c r="I112" s="4">
        <v>59810</v>
      </c>
      <c r="J11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59.81</v>
      </c>
      <c r="K112" s="4" t="str">
        <f>IF(Table2[[#This Row],[Type]]="electricity", "kilowatt_hour_(kwh)",
IF(Table2[[#This Row],[Type]]="water", "cubic_metre_(m3)",
IF(Table2[[#This Row],[Type]]="heat", "therm_(thm)",
"NA")))</f>
        <v>cubic_metre_(m3)</v>
      </c>
      <c r="L112" s="1" t="s">
        <v>157</v>
      </c>
      <c r="M112" s="10">
        <f>IF(Table2[[#This Row],[Type]]="electricity", Table2[[#This Row],[Quantity_correct]]/6.6667,
IF(Table2[[#This Row],[Type]]="water", Table2[[#This Row],[Quantity_correct]]/3.333,
IF(Table2[[#This Row],[Type]]="heat", Table2[[#This Row],[Quantity_correct]]/0.8333,
"NA")))</f>
        <v>17.944794479447946</v>
      </c>
      <c r="N112" s="1">
        <v>71772</v>
      </c>
    </row>
    <row r="113" spans="1:14" ht="12.5" hidden="1" x14ac:dyDescent="0.25">
      <c r="A113" s="1" t="s">
        <v>8</v>
      </c>
      <c r="B113" s="1" t="s">
        <v>80</v>
      </c>
      <c r="C113" s="1" t="str">
        <f>IF(OR(Table2[[#This Row],[units]]="litre_(l)", Table2[[#This Row],[units]]="gallon_(gal)", Table2[[#This Row],[units]]="cubic_metre_(m3)"), "water", Table2[[#This Row],[type2]])</f>
        <v>water</v>
      </c>
      <c r="D113" s="1" t="s">
        <v>140</v>
      </c>
      <c r="E113" s="1" t="s">
        <v>158</v>
      </c>
      <c r="F113" s="8">
        <f t="shared" si="2"/>
        <v>44943</v>
      </c>
      <c r="G113" s="3">
        <v>45140</v>
      </c>
      <c r="H113" s="8">
        <f t="shared" si="3"/>
        <v>44965</v>
      </c>
      <c r="I113" s="4">
        <v>15000</v>
      </c>
      <c r="J11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v>
      </c>
      <c r="K113" s="4" t="str">
        <f>IF(Table2[[#This Row],[Type]]="electricity", "kilowatt_hour_(kwh)",
IF(Table2[[#This Row],[Type]]="water", "cubic_metre_(m3)",
IF(Table2[[#This Row],[Type]]="heat", "therm_(thm)",
"NA")))</f>
        <v>cubic_metre_(m3)</v>
      </c>
      <c r="L113" s="1" t="s">
        <v>157</v>
      </c>
      <c r="M113" s="10">
        <f>IF(Table2[[#This Row],[Type]]="electricity", Table2[[#This Row],[Quantity_correct]]/6.6667,
IF(Table2[[#This Row],[Type]]="water", Table2[[#This Row],[Quantity_correct]]/3.333,
IF(Table2[[#This Row],[Type]]="heat", Table2[[#This Row],[Quantity_correct]]/0.8333,
"NA")))</f>
        <v>4.5004500450045004</v>
      </c>
      <c r="N113" s="1">
        <v>18000</v>
      </c>
    </row>
    <row r="114" spans="1:14" ht="12.5" hidden="1" x14ac:dyDescent="0.25">
      <c r="A114" s="1" t="s">
        <v>8</v>
      </c>
      <c r="B114" s="1" t="s">
        <v>80</v>
      </c>
      <c r="C114" s="1" t="str">
        <f>IF(OR(Table2[[#This Row],[units]]="litre_(l)", Table2[[#This Row],[units]]="gallon_(gal)", Table2[[#This Row],[units]]="cubic_metre_(m3)"), "water", Table2[[#This Row],[type2]])</f>
        <v>water</v>
      </c>
      <c r="D114" s="1" t="s">
        <v>140</v>
      </c>
      <c r="E114" s="3">
        <v>45140</v>
      </c>
      <c r="F114" s="8">
        <f t="shared" si="2"/>
        <v>44965</v>
      </c>
      <c r="G114" s="3">
        <v>45110</v>
      </c>
      <c r="H114" s="8">
        <f t="shared" si="3"/>
        <v>44992</v>
      </c>
      <c r="I114" s="4">
        <v>18995</v>
      </c>
      <c r="J11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18.995000000000001</v>
      </c>
      <c r="K114" s="4" t="str">
        <f>IF(Table2[[#This Row],[Type]]="electricity", "kilowatt_hour_(kwh)",
IF(Table2[[#This Row],[Type]]="water", "cubic_metre_(m3)",
IF(Table2[[#This Row],[Type]]="heat", "therm_(thm)",
"NA")))</f>
        <v>cubic_metre_(m3)</v>
      </c>
      <c r="L114" s="1" t="s">
        <v>157</v>
      </c>
      <c r="M114" s="10">
        <f>IF(Table2[[#This Row],[Type]]="electricity", Table2[[#This Row],[Quantity_correct]]/6.6667,
IF(Table2[[#This Row],[Type]]="water", Table2[[#This Row],[Quantity_correct]]/3.333,
IF(Table2[[#This Row],[Type]]="heat", Table2[[#This Row],[Quantity_correct]]/0.8333,
"NA")))</f>
        <v>5.6990699069906992</v>
      </c>
      <c r="N114" s="1">
        <v>22794</v>
      </c>
    </row>
    <row r="115" spans="1:14" ht="12.5" hidden="1" x14ac:dyDescent="0.25">
      <c r="A115" s="1" t="s">
        <v>8</v>
      </c>
      <c r="B115" s="1" t="s">
        <v>80</v>
      </c>
      <c r="C115" s="1" t="str">
        <f>IF(OR(Table2[[#This Row],[units]]="litre_(l)", Table2[[#This Row],[units]]="gallon_(gal)", Table2[[#This Row],[units]]="cubic_metre_(m3)"), "water", Table2[[#This Row],[type2]])</f>
        <v>water</v>
      </c>
      <c r="D115" s="1" t="s">
        <v>140</v>
      </c>
      <c r="E115" s="3">
        <v>45110</v>
      </c>
      <c r="F115" s="8">
        <f t="shared" si="2"/>
        <v>44992</v>
      </c>
      <c r="G115" s="3">
        <v>44967</v>
      </c>
      <c r="H115" s="8">
        <f t="shared" si="3"/>
        <v>45201</v>
      </c>
      <c r="I115" s="4">
        <v>18997</v>
      </c>
      <c r="J11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18.997</v>
      </c>
      <c r="K115" s="4" t="str">
        <f>IF(Table2[[#This Row],[Type]]="electricity", "kilowatt_hour_(kwh)",
IF(Table2[[#This Row],[Type]]="water", "cubic_metre_(m3)",
IF(Table2[[#This Row],[Type]]="heat", "therm_(thm)",
"NA")))</f>
        <v>cubic_metre_(m3)</v>
      </c>
      <c r="L115" s="1" t="s">
        <v>157</v>
      </c>
      <c r="M115" s="10">
        <f>IF(Table2[[#This Row],[Type]]="electricity", Table2[[#This Row],[Quantity_correct]]/6.6667,
IF(Table2[[#This Row],[Type]]="water", Table2[[#This Row],[Quantity_correct]]/3.333,
IF(Table2[[#This Row],[Type]]="heat", Table2[[#This Row],[Quantity_correct]]/0.8333,
"NA")))</f>
        <v>5.6996699669966997</v>
      </c>
      <c r="N115" s="1">
        <v>22796.400000000001</v>
      </c>
    </row>
    <row r="116" spans="1:14" ht="12.5" hidden="1" x14ac:dyDescent="0.25">
      <c r="A116" s="1" t="s">
        <v>8</v>
      </c>
      <c r="B116" s="1" t="s">
        <v>80</v>
      </c>
      <c r="C116" s="1" t="str">
        <f>IF(OR(Table2[[#This Row],[units]]="litre_(l)", Table2[[#This Row],[units]]="gallon_(gal)", Table2[[#This Row],[units]]="cubic_metre_(m3)"), "water", Table2[[#This Row],[type2]])</f>
        <v>water</v>
      </c>
      <c r="D116" s="1" t="s">
        <v>140</v>
      </c>
      <c r="E116" s="3">
        <v>44967</v>
      </c>
      <c r="F116" s="8">
        <f t="shared" si="2"/>
        <v>45201</v>
      </c>
      <c r="G116" s="1" t="s">
        <v>159</v>
      </c>
      <c r="H116" s="8">
        <f t="shared" si="3"/>
        <v>45258</v>
      </c>
      <c r="I116" s="4">
        <v>14995</v>
      </c>
      <c r="J11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14.995000000000001</v>
      </c>
      <c r="K116" s="4" t="str">
        <f>IF(Table2[[#This Row],[Type]]="electricity", "kilowatt_hour_(kwh)",
IF(Table2[[#This Row],[Type]]="water", "cubic_metre_(m3)",
IF(Table2[[#This Row],[Type]]="heat", "therm_(thm)",
"NA")))</f>
        <v>cubic_metre_(m3)</v>
      </c>
      <c r="L116" s="1" t="s">
        <v>157</v>
      </c>
      <c r="M116" s="10">
        <f>IF(Table2[[#This Row],[Type]]="electricity", Table2[[#This Row],[Quantity_correct]]/6.6667,
IF(Table2[[#This Row],[Type]]="water", Table2[[#This Row],[Quantity_correct]]/3.333,
IF(Table2[[#This Row],[Type]]="heat", Table2[[#This Row],[Quantity_correct]]/0.8333,
"NA")))</f>
        <v>4.498949894989499</v>
      </c>
      <c r="N116" s="1">
        <v>17994</v>
      </c>
    </row>
    <row r="117" spans="1:14" ht="12.5" hidden="1" x14ac:dyDescent="0.25">
      <c r="A117" s="1" t="s">
        <v>8</v>
      </c>
      <c r="B117" s="1" t="s">
        <v>80</v>
      </c>
      <c r="C117" s="1" t="str">
        <f>IF(OR(Table2[[#This Row],[units]]="litre_(l)", Table2[[#This Row],[units]]="gallon_(gal)", Table2[[#This Row],[units]]="cubic_metre_(m3)"), "water", Table2[[#This Row],[type2]])</f>
        <v>water</v>
      </c>
      <c r="D117" s="1" t="s">
        <v>140</v>
      </c>
      <c r="E117" s="1" t="s">
        <v>159</v>
      </c>
      <c r="F117" s="8">
        <f t="shared" si="2"/>
        <v>45258</v>
      </c>
      <c r="G117" s="1" t="s">
        <v>159</v>
      </c>
      <c r="H117" s="8">
        <f t="shared" si="3"/>
        <v>45258</v>
      </c>
      <c r="I117" s="4">
        <v>15054</v>
      </c>
      <c r="J11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15.054</v>
      </c>
      <c r="K117" s="4" t="str">
        <f>IF(Table2[[#This Row],[Type]]="electricity", "kilowatt_hour_(kwh)",
IF(Table2[[#This Row],[Type]]="water", "cubic_metre_(m3)",
IF(Table2[[#This Row],[Type]]="heat", "therm_(thm)",
"NA")))</f>
        <v>cubic_metre_(m3)</v>
      </c>
      <c r="L117" s="1" t="s">
        <v>157</v>
      </c>
      <c r="M117" s="10">
        <f>IF(Table2[[#This Row],[Type]]="electricity", Table2[[#This Row],[Quantity_correct]]/6.6667,
IF(Table2[[#This Row],[Type]]="water", Table2[[#This Row],[Quantity_correct]]/3.333,
IF(Table2[[#This Row],[Type]]="heat", Table2[[#This Row],[Quantity_correct]]/0.8333,
"NA")))</f>
        <v>4.5166516651665161</v>
      </c>
      <c r="N117" s="1">
        <v>18064.8</v>
      </c>
    </row>
    <row r="118" spans="1:14" ht="12.5" hidden="1" x14ac:dyDescent="0.25">
      <c r="A118" s="1" t="s">
        <v>8</v>
      </c>
      <c r="B118" s="1" t="s">
        <v>80</v>
      </c>
      <c r="C118" s="1" t="str">
        <f>IF(OR(Table2[[#This Row],[units]]="litre_(l)", Table2[[#This Row],[units]]="gallon_(gal)", Table2[[#This Row],[units]]="cubic_metre_(m3)"), "water", Table2[[#This Row],[type2]])</f>
        <v>water</v>
      </c>
      <c r="D118" s="1" t="s">
        <v>130</v>
      </c>
      <c r="E118" s="3">
        <v>44386</v>
      </c>
      <c r="F118" s="8">
        <f t="shared" si="2"/>
        <v>44446</v>
      </c>
      <c r="G118" s="1" t="s">
        <v>153</v>
      </c>
      <c r="H118" s="8">
        <f t="shared" si="3"/>
        <v>44606</v>
      </c>
      <c r="I118" s="1">
        <v>5</v>
      </c>
      <c r="J11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118" s="4" t="str">
        <f>IF(Table2[[#This Row],[Type]]="electricity", "kilowatt_hour_(kwh)",
IF(Table2[[#This Row],[Type]]="water", "cubic_metre_(m3)",
IF(Table2[[#This Row],[Type]]="heat", "therm_(thm)",
"NA")))</f>
        <v>cubic_metre_(m3)</v>
      </c>
      <c r="L118" s="1" t="s">
        <v>133</v>
      </c>
      <c r="M118" s="10">
        <f>IF(Table2[[#This Row],[Type]]="electricity", Table2[[#This Row],[Quantity_correct]]/6.6667,
IF(Table2[[#This Row],[Type]]="water", Table2[[#This Row],[Quantity_correct]]/3.333,
IF(Table2[[#This Row],[Type]]="heat", Table2[[#This Row],[Quantity_correct]]/0.8333,
"NA")))</f>
        <v>1.5001500150015001</v>
      </c>
      <c r="N118" s="1">
        <v>1.5</v>
      </c>
    </row>
    <row r="119" spans="1:14" ht="12.5" hidden="1" x14ac:dyDescent="0.25">
      <c r="A119" s="1" t="s">
        <v>8</v>
      </c>
      <c r="B119" s="1" t="s">
        <v>80</v>
      </c>
      <c r="C119" s="1" t="str">
        <f>IF(OR(Table2[[#This Row],[units]]="litre_(l)", Table2[[#This Row],[units]]="gallon_(gal)", Table2[[#This Row],[units]]="cubic_metre_(m3)"), "water", Table2[[#This Row],[type2]])</f>
        <v>water</v>
      </c>
      <c r="D119" s="1" t="s">
        <v>130</v>
      </c>
      <c r="E119" s="3">
        <v>44419</v>
      </c>
      <c r="F119" s="8">
        <f t="shared" si="2"/>
        <v>44508</v>
      </c>
      <c r="G119" s="1" t="s">
        <v>153</v>
      </c>
      <c r="H119" s="8">
        <f t="shared" si="3"/>
        <v>44606</v>
      </c>
      <c r="I119" s="1">
        <v>71</v>
      </c>
      <c r="J11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71</v>
      </c>
      <c r="K119" s="4" t="str">
        <f>IF(Table2[[#This Row],[Type]]="electricity", "kilowatt_hour_(kwh)",
IF(Table2[[#This Row],[Type]]="water", "cubic_metre_(m3)",
IF(Table2[[#This Row],[Type]]="heat", "therm_(thm)",
"NA")))</f>
        <v>cubic_metre_(m3)</v>
      </c>
      <c r="L119" s="1" t="s">
        <v>133</v>
      </c>
      <c r="M119" s="10">
        <f>IF(Table2[[#This Row],[Type]]="electricity", Table2[[#This Row],[Quantity_correct]]/6.6667,
IF(Table2[[#This Row],[Type]]="water", Table2[[#This Row],[Quantity_correct]]/3.333,
IF(Table2[[#This Row],[Type]]="heat", Table2[[#This Row],[Quantity_correct]]/0.8333,
"NA")))</f>
        <v>21.3021302130213</v>
      </c>
      <c r="N119" s="1">
        <v>21.3</v>
      </c>
    </row>
    <row r="120" spans="1:14" ht="12.5" hidden="1" x14ac:dyDescent="0.25">
      <c r="A120" s="1" t="s">
        <v>8</v>
      </c>
      <c r="B120" s="1" t="s">
        <v>80</v>
      </c>
      <c r="C120" s="1" t="str">
        <f>IF(OR(Table2[[#This Row],[units]]="litre_(l)", Table2[[#This Row],[units]]="gallon_(gal)", Table2[[#This Row],[units]]="cubic_metre_(m3)"), "water", Table2[[#This Row],[type2]])</f>
        <v>water</v>
      </c>
      <c r="D120" s="1" t="s">
        <v>130</v>
      </c>
      <c r="E120" s="3">
        <v>44419</v>
      </c>
      <c r="F120" s="8">
        <f t="shared" si="2"/>
        <v>44508</v>
      </c>
      <c r="G120" s="1" t="s">
        <v>153</v>
      </c>
      <c r="H120" s="8">
        <f t="shared" si="3"/>
        <v>44606</v>
      </c>
      <c r="I120" s="1">
        <v>161</v>
      </c>
      <c r="J12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161</v>
      </c>
      <c r="K120" s="4" t="str">
        <f>IF(Table2[[#This Row],[Type]]="electricity", "kilowatt_hour_(kwh)",
IF(Table2[[#This Row],[Type]]="water", "cubic_metre_(m3)",
IF(Table2[[#This Row],[Type]]="heat", "therm_(thm)",
"NA")))</f>
        <v>cubic_metre_(m3)</v>
      </c>
      <c r="L120" s="1" t="s">
        <v>133</v>
      </c>
      <c r="M120" s="10">
        <f>IF(Table2[[#This Row],[Type]]="electricity", Table2[[#This Row],[Quantity_correct]]/6.6667,
IF(Table2[[#This Row],[Type]]="water", Table2[[#This Row],[Quantity_correct]]/3.333,
IF(Table2[[#This Row],[Type]]="heat", Table2[[#This Row],[Quantity_correct]]/0.8333,
"NA")))</f>
        <v>48.304830483048299</v>
      </c>
      <c r="N120" s="1">
        <v>48.3</v>
      </c>
    </row>
    <row r="121" spans="1:14" ht="12.5" hidden="1" x14ac:dyDescent="0.25">
      <c r="A121" s="1" t="s">
        <v>8</v>
      </c>
      <c r="B121" s="1" t="s">
        <v>80</v>
      </c>
      <c r="C121" s="1" t="str">
        <f>IF(OR(Table2[[#This Row],[units]]="litre_(l)", Table2[[#This Row],[units]]="gallon_(gal)", Table2[[#This Row],[units]]="cubic_metre_(m3)"), "water", Table2[[#This Row],[type2]])</f>
        <v>water</v>
      </c>
      <c r="D121" s="1" t="s">
        <v>130</v>
      </c>
      <c r="E121" s="1" t="s">
        <v>153</v>
      </c>
      <c r="F121" s="8">
        <f t="shared" si="2"/>
        <v>44606</v>
      </c>
      <c r="G121" s="3">
        <v>44656</v>
      </c>
      <c r="H121" s="8">
        <f t="shared" si="3"/>
        <v>44685</v>
      </c>
      <c r="I121" s="1">
        <v>64</v>
      </c>
      <c r="J12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64</v>
      </c>
      <c r="K121" s="4" t="str">
        <f>IF(Table2[[#This Row],[Type]]="electricity", "kilowatt_hour_(kwh)",
IF(Table2[[#This Row],[Type]]="water", "cubic_metre_(m3)",
IF(Table2[[#This Row],[Type]]="heat", "therm_(thm)",
"NA")))</f>
        <v>cubic_metre_(m3)</v>
      </c>
      <c r="L121" s="1" t="s">
        <v>133</v>
      </c>
      <c r="M121" s="10">
        <f>IF(Table2[[#This Row],[Type]]="electricity", Table2[[#This Row],[Quantity_correct]]/6.6667,
IF(Table2[[#This Row],[Type]]="water", Table2[[#This Row],[Quantity_correct]]/3.333,
IF(Table2[[#This Row],[Type]]="heat", Table2[[#This Row],[Quantity_correct]]/0.8333,
"NA")))</f>
        <v>19.201920192019202</v>
      </c>
      <c r="N121" s="1">
        <v>19.2</v>
      </c>
    </row>
    <row r="122" spans="1:14" ht="12.5" hidden="1" x14ac:dyDescent="0.25">
      <c r="A122" s="1" t="s">
        <v>8</v>
      </c>
      <c r="B122" s="1" t="s">
        <v>80</v>
      </c>
      <c r="C122" s="1" t="str">
        <f>IF(OR(Table2[[#This Row],[units]]="litre_(l)", Table2[[#This Row],[units]]="gallon_(gal)", Table2[[#This Row],[units]]="cubic_metre_(m3)"), "water", Table2[[#This Row],[type2]])</f>
        <v>water</v>
      </c>
      <c r="D122" s="1" t="s">
        <v>130</v>
      </c>
      <c r="E122" s="1" t="s">
        <v>153</v>
      </c>
      <c r="F122" s="8">
        <f t="shared" si="2"/>
        <v>44606</v>
      </c>
      <c r="G122" s="3">
        <v>44656</v>
      </c>
      <c r="H122" s="8">
        <f t="shared" si="3"/>
        <v>44685</v>
      </c>
      <c r="I122" s="1">
        <v>67</v>
      </c>
      <c r="J12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67</v>
      </c>
      <c r="K122" s="4" t="str">
        <f>IF(Table2[[#This Row],[Type]]="electricity", "kilowatt_hour_(kwh)",
IF(Table2[[#This Row],[Type]]="water", "cubic_metre_(m3)",
IF(Table2[[#This Row],[Type]]="heat", "therm_(thm)",
"NA")))</f>
        <v>cubic_metre_(m3)</v>
      </c>
      <c r="L122" s="1" t="s">
        <v>133</v>
      </c>
      <c r="M122" s="10">
        <f>IF(Table2[[#This Row],[Type]]="electricity", Table2[[#This Row],[Quantity_correct]]/6.6667,
IF(Table2[[#This Row],[Type]]="water", Table2[[#This Row],[Quantity_correct]]/3.333,
IF(Table2[[#This Row],[Type]]="heat", Table2[[#This Row],[Quantity_correct]]/0.8333,
"NA")))</f>
        <v>20.1020102010201</v>
      </c>
      <c r="N122" s="1">
        <v>20.100000000000001</v>
      </c>
    </row>
    <row r="123" spans="1:14" ht="12.5" hidden="1" x14ac:dyDescent="0.25">
      <c r="A123" s="1" t="s">
        <v>8</v>
      </c>
      <c r="B123" s="1" t="s">
        <v>80</v>
      </c>
      <c r="C123" s="1" t="str">
        <f>IF(OR(Table2[[#This Row],[units]]="litre_(l)", Table2[[#This Row],[units]]="gallon_(gal)", Table2[[#This Row],[units]]="cubic_metre_(m3)"), "water", Table2[[#This Row],[type2]])</f>
        <v>water</v>
      </c>
      <c r="D123" s="1" t="s">
        <v>130</v>
      </c>
      <c r="E123" s="1" t="s">
        <v>153</v>
      </c>
      <c r="F123" s="8">
        <f t="shared" si="2"/>
        <v>44606</v>
      </c>
      <c r="G123" s="3">
        <v>44656</v>
      </c>
      <c r="H123" s="8">
        <f t="shared" si="3"/>
        <v>44685</v>
      </c>
      <c r="I123" s="1">
        <v>209</v>
      </c>
      <c r="J12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209</v>
      </c>
      <c r="K123" s="4" t="str">
        <f>IF(Table2[[#This Row],[Type]]="electricity", "kilowatt_hour_(kwh)",
IF(Table2[[#This Row],[Type]]="water", "cubic_metre_(m3)",
IF(Table2[[#This Row],[Type]]="heat", "therm_(thm)",
"NA")))</f>
        <v>cubic_metre_(m3)</v>
      </c>
      <c r="L123" s="1" t="s">
        <v>133</v>
      </c>
      <c r="M123" s="10">
        <f>IF(Table2[[#This Row],[Type]]="electricity", Table2[[#This Row],[Quantity_correct]]/6.6667,
IF(Table2[[#This Row],[Type]]="water", Table2[[#This Row],[Quantity_correct]]/3.333,
IF(Table2[[#This Row],[Type]]="heat", Table2[[#This Row],[Quantity_correct]]/0.8333,
"NA")))</f>
        <v>62.7062706270627</v>
      </c>
      <c r="N123" s="1">
        <v>62.7</v>
      </c>
    </row>
    <row r="124" spans="1:14" ht="12.5" hidden="1" x14ac:dyDescent="0.25">
      <c r="A124" s="1" t="s">
        <v>8</v>
      </c>
      <c r="B124" s="1" t="s">
        <v>80</v>
      </c>
      <c r="C124" s="1" t="str">
        <f>IF(OR(Table2[[#This Row],[units]]="litre_(l)", Table2[[#This Row],[units]]="gallon_(gal)", Table2[[#This Row],[units]]="cubic_metre_(m3)"), "water", Table2[[#This Row],[type2]])</f>
        <v>water</v>
      </c>
      <c r="D124" s="1" t="s">
        <v>130</v>
      </c>
      <c r="E124" s="1" t="s">
        <v>153</v>
      </c>
      <c r="F124" s="8">
        <f t="shared" si="2"/>
        <v>44606</v>
      </c>
      <c r="G124" s="3">
        <v>44689</v>
      </c>
      <c r="H124" s="8">
        <f t="shared" si="3"/>
        <v>44778</v>
      </c>
      <c r="I124" s="1">
        <v>9</v>
      </c>
      <c r="J12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v>
      </c>
      <c r="K124" s="4" t="str">
        <f>IF(Table2[[#This Row],[Type]]="electricity", "kilowatt_hour_(kwh)",
IF(Table2[[#This Row],[Type]]="water", "cubic_metre_(m3)",
IF(Table2[[#This Row],[Type]]="heat", "therm_(thm)",
"NA")))</f>
        <v>cubic_metre_(m3)</v>
      </c>
      <c r="L124" s="1" t="s">
        <v>133</v>
      </c>
      <c r="M124" s="10">
        <f>IF(Table2[[#This Row],[Type]]="electricity", Table2[[#This Row],[Quantity_correct]]/6.6667,
IF(Table2[[#This Row],[Type]]="water", Table2[[#This Row],[Quantity_correct]]/3.333,
IF(Table2[[#This Row],[Type]]="heat", Table2[[#This Row],[Quantity_correct]]/0.8333,
"NA")))</f>
        <v>2.7002700270027002</v>
      </c>
      <c r="N124" s="1">
        <v>2.7</v>
      </c>
    </row>
    <row r="125" spans="1:14" ht="12.5" hidden="1" x14ac:dyDescent="0.25">
      <c r="A125" s="1" t="s">
        <v>8</v>
      </c>
      <c r="B125" s="1" t="s">
        <v>80</v>
      </c>
      <c r="C125" s="1" t="str">
        <f>IF(OR(Table2[[#This Row],[units]]="litre_(l)", Table2[[#This Row],[units]]="gallon_(gal)", Table2[[#This Row],[units]]="cubic_metre_(m3)"), "water", Table2[[#This Row],[type2]])</f>
        <v>water</v>
      </c>
      <c r="D125" s="1" t="s">
        <v>130</v>
      </c>
      <c r="E125" s="3">
        <v>44656</v>
      </c>
      <c r="F125" s="8">
        <f t="shared" si="2"/>
        <v>44685</v>
      </c>
      <c r="G125" s="3">
        <v>44689</v>
      </c>
      <c r="H125" s="8">
        <f t="shared" si="3"/>
        <v>44778</v>
      </c>
      <c r="I125" s="1">
        <v>49</v>
      </c>
      <c r="J12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49</v>
      </c>
      <c r="K125" s="4" t="str">
        <f>IF(Table2[[#This Row],[Type]]="electricity", "kilowatt_hour_(kwh)",
IF(Table2[[#This Row],[Type]]="water", "cubic_metre_(m3)",
IF(Table2[[#This Row],[Type]]="heat", "therm_(thm)",
"NA")))</f>
        <v>cubic_metre_(m3)</v>
      </c>
      <c r="L125" s="1" t="s">
        <v>133</v>
      </c>
      <c r="M125" s="10">
        <f>IF(Table2[[#This Row],[Type]]="electricity", Table2[[#This Row],[Quantity_correct]]/6.6667,
IF(Table2[[#This Row],[Type]]="water", Table2[[#This Row],[Quantity_correct]]/3.333,
IF(Table2[[#This Row],[Type]]="heat", Table2[[#This Row],[Quantity_correct]]/0.8333,
"NA")))</f>
        <v>14.701470147014701</v>
      </c>
      <c r="N125" s="1">
        <v>14.7</v>
      </c>
    </row>
    <row r="126" spans="1:14" ht="12.5" hidden="1" x14ac:dyDescent="0.25">
      <c r="A126" s="1" t="s">
        <v>8</v>
      </c>
      <c r="B126" s="1" t="s">
        <v>80</v>
      </c>
      <c r="C126" s="1" t="str">
        <f>IF(OR(Table2[[#This Row],[units]]="litre_(l)", Table2[[#This Row],[units]]="gallon_(gal)", Table2[[#This Row],[units]]="cubic_metre_(m3)"), "water", Table2[[#This Row],[type2]])</f>
        <v>water</v>
      </c>
      <c r="D126" s="1" t="s">
        <v>130</v>
      </c>
      <c r="E126" s="3">
        <v>44656</v>
      </c>
      <c r="F126" s="8">
        <f t="shared" si="2"/>
        <v>44685</v>
      </c>
      <c r="G126" s="3">
        <v>44689</v>
      </c>
      <c r="H126" s="8">
        <f t="shared" si="3"/>
        <v>44778</v>
      </c>
      <c r="I126" s="1">
        <v>367</v>
      </c>
      <c r="J12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367</v>
      </c>
      <c r="K126" s="4" t="str">
        <f>IF(Table2[[#This Row],[Type]]="electricity", "kilowatt_hour_(kwh)",
IF(Table2[[#This Row],[Type]]="water", "cubic_metre_(m3)",
IF(Table2[[#This Row],[Type]]="heat", "therm_(thm)",
"NA")))</f>
        <v>cubic_metre_(m3)</v>
      </c>
      <c r="L126" s="1" t="s">
        <v>133</v>
      </c>
      <c r="M126" s="10">
        <f>IF(Table2[[#This Row],[Type]]="electricity", Table2[[#This Row],[Quantity_correct]]/6.6667,
IF(Table2[[#This Row],[Type]]="water", Table2[[#This Row],[Quantity_correct]]/3.333,
IF(Table2[[#This Row],[Type]]="heat", Table2[[#This Row],[Quantity_correct]]/0.8333,
"NA")))</f>
        <v>110.11101110111011</v>
      </c>
      <c r="N126" s="1">
        <v>110.1</v>
      </c>
    </row>
    <row r="127" spans="1:14" ht="12.5" hidden="1" x14ac:dyDescent="0.25">
      <c r="A127" s="1" t="s">
        <v>8</v>
      </c>
      <c r="B127" s="1" t="s">
        <v>80</v>
      </c>
      <c r="C127" s="1" t="str">
        <f>IF(OR(Table2[[#This Row],[units]]="litre_(l)", Table2[[#This Row],[units]]="gallon_(gal)", Table2[[#This Row],[units]]="cubic_metre_(m3)"), "water", Table2[[#This Row],[type2]])</f>
        <v>water</v>
      </c>
      <c r="D127" s="1" t="s">
        <v>130</v>
      </c>
      <c r="E127" s="3">
        <v>44689</v>
      </c>
      <c r="F127" s="8">
        <f t="shared" si="2"/>
        <v>44778</v>
      </c>
      <c r="G127" s="3">
        <v>44815</v>
      </c>
      <c r="H127" s="8">
        <f t="shared" si="3"/>
        <v>44874</v>
      </c>
      <c r="I127" s="1">
        <v>4</v>
      </c>
      <c r="J12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127" s="4" t="str">
        <f>IF(Table2[[#This Row],[Type]]="electricity", "kilowatt_hour_(kwh)",
IF(Table2[[#This Row],[Type]]="water", "cubic_metre_(m3)",
IF(Table2[[#This Row],[Type]]="heat", "therm_(thm)",
"NA")))</f>
        <v>cubic_metre_(m3)</v>
      </c>
      <c r="L127" s="1" t="s">
        <v>133</v>
      </c>
      <c r="M127" s="10">
        <f>IF(Table2[[#This Row],[Type]]="electricity", Table2[[#This Row],[Quantity_correct]]/6.6667,
IF(Table2[[#This Row],[Type]]="water", Table2[[#This Row],[Quantity_correct]]/3.333,
IF(Table2[[#This Row],[Type]]="heat", Table2[[#This Row],[Quantity_correct]]/0.8333,
"NA")))</f>
        <v>1.2001200120012001</v>
      </c>
      <c r="N127" s="1">
        <v>1.2</v>
      </c>
    </row>
    <row r="128" spans="1:14" ht="12.5" hidden="1" x14ac:dyDescent="0.25">
      <c r="A128" s="1" t="s">
        <v>8</v>
      </c>
      <c r="B128" s="1" t="s">
        <v>80</v>
      </c>
      <c r="C128" s="1" t="str">
        <f>IF(OR(Table2[[#This Row],[units]]="litre_(l)", Table2[[#This Row],[units]]="gallon_(gal)", Table2[[#This Row],[units]]="cubic_metre_(m3)"), "water", Table2[[#This Row],[type2]])</f>
        <v>water</v>
      </c>
      <c r="D128" s="1" t="s">
        <v>130</v>
      </c>
      <c r="E128" s="3">
        <v>44689</v>
      </c>
      <c r="F128" s="8">
        <f t="shared" si="2"/>
        <v>44778</v>
      </c>
      <c r="G128" s="3">
        <v>44815</v>
      </c>
      <c r="H128" s="8">
        <f t="shared" si="3"/>
        <v>44874</v>
      </c>
      <c r="I128" s="1">
        <v>77</v>
      </c>
      <c r="J12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77</v>
      </c>
      <c r="K128" s="4" t="str">
        <f>IF(Table2[[#This Row],[Type]]="electricity", "kilowatt_hour_(kwh)",
IF(Table2[[#This Row],[Type]]="water", "cubic_metre_(m3)",
IF(Table2[[#This Row],[Type]]="heat", "therm_(thm)",
"NA")))</f>
        <v>cubic_metre_(m3)</v>
      </c>
      <c r="L128" s="1" t="s">
        <v>133</v>
      </c>
      <c r="M128" s="10">
        <f>IF(Table2[[#This Row],[Type]]="electricity", Table2[[#This Row],[Quantity_correct]]/6.6667,
IF(Table2[[#This Row],[Type]]="water", Table2[[#This Row],[Quantity_correct]]/3.333,
IF(Table2[[#This Row],[Type]]="heat", Table2[[#This Row],[Quantity_correct]]/0.8333,
"NA")))</f>
        <v>23.1023102310231</v>
      </c>
      <c r="N128" s="1">
        <v>23.1</v>
      </c>
    </row>
    <row r="129" spans="1:14" ht="12.5" hidden="1" x14ac:dyDescent="0.25">
      <c r="A129" s="1" t="s">
        <v>8</v>
      </c>
      <c r="B129" s="1" t="s">
        <v>80</v>
      </c>
      <c r="C129" s="1" t="str">
        <f>IF(OR(Table2[[#This Row],[units]]="litre_(l)", Table2[[#This Row],[units]]="gallon_(gal)", Table2[[#This Row],[units]]="cubic_metre_(m3)"), "water", Table2[[#This Row],[type2]])</f>
        <v>water</v>
      </c>
      <c r="D129" s="1" t="s">
        <v>130</v>
      </c>
      <c r="E129" s="3">
        <v>44689</v>
      </c>
      <c r="F129" s="8">
        <f t="shared" si="2"/>
        <v>44778</v>
      </c>
      <c r="G129" s="3">
        <v>44815</v>
      </c>
      <c r="H129" s="8">
        <f t="shared" si="3"/>
        <v>44874</v>
      </c>
      <c r="I129" s="1">
        <v>239</v>
      </c>
      <c r="J12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239</v>
      </c>
      <c r="K129" s="4" t="str">
        <f>IF(Table2[[#This Row],[Type]]="electricity", "kilowatt_hour_(kwh)",
IF(Table2[[#This Row],[Type]]="water", "cubic_metre_(m3)",
IF(Table2[[#This Row],[Type]]="heat", "therm_(thm)",
"NA")))</f>
        <v>cubic_metre_(m3)</v>
      </c>
      <c r="L129" s="1" t="s">
        <v>133</v>
      </c>
      <c r="M129" s="10">
        <f>IF(Table2[[#This Row],[Type]]="electricity", Table2[[#This Row],[Quantity_correct]]/6.6667,
IF(Table2[[#This Row],[Type]]="water", Table2[[#This Row],[Quantity_correct]]/3.333,
IF(Table2[[#This Row],[Type]]="heat", Table2[[#This Row],[Quantity_correct]]/0.8333,
"NA")))</f>
        <v>71.707170717071705</v>
      </c>
      <c r="N129" s="1">
        <v>71.7</v>
      </c>
    </row>
    <row r="130" spans="1:14" ht="12.5" hidden="1" x14ac:dyDescent="0.25">
      <c r="A130" s="1" t="s">
        <v>8</v>
      </c>
      <c r="B130" s="1" t="s">
        <v>80</v>
      </c>
      <c r="C130" s="1" t="str">
        <f>IF(OR(Table2[[#This Row],[units]]="litre_(l)", Table2[[#This Row],[units]]="gallon_(gal)", Table2[[#This Row],[units]]="cubic_metre_(m3)"), "water", Table2[[#This Row],[type2]])</f>
        <v>water</v>
      </c>
      <c r="D130" s="1" t="s">
        <v>130</v>
      </c>
      <c r="E130" s="3">
        <v>44815</v>
      </c>
      <c r="F130" s="8">
        <f t="shared" ref="F130:F193" si="4">DATE(RIGHT(TEXT(E130,"dd-mm-yyyy"),4), LEFT(TEXT(E130,"dd-mm-yyyy"),2),MID(TEXT(E130,"dd-mm-yyyy"),4,2))</f>
        <v>44874</v>
      </c>
      <c r="G130" s="3">
        <v>45109</v>
      </c>
      <c r="H130" s="8">
        <f t="shared" ref="H130:H193" si="5">DATE(RIGHT(TEXT(G130,"dd-mm-yyyy"),4), LEFT(TEXT(G130,"dd-mm-yyyy"),2),MID(TEXT(G130,"dd-mm-yyyy"),4,2))</f>
        <v>44964</v>
      </c>
      <c r="I130" s="1">
        <v>33</v>
      </c>
      <c r="J13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v>
      </c>
      <c r="K130" s="4" t="str">
        <f>IF(Table2[[#This Row],[Type]]="electricity", "kilowatt_hour_(kwh)",
IF(Table2[[#This Row],[Type]]="water", "cubic_metre_(m3)",
IF(Table2[[#This Row],[Type]]="heat", "therm_(thm)",
"NA")))</f>
        <v>cubic_metre_(m3)</v>
      </c>
      <c r="L130" s="1" t="s">
        <v>133</v>
      </c>
      <c r="M130" s="10">
        <f>IF(Table2[[#This Row],[Type]]="electricity", Table2[[#This Row],[Quantity_correct]]/6.6667,
IF(Table2[[#This Row],[Type]]="water", Table2[[#This Row],[Quantity_correct]]/3.333,
IF(Table2[[#This Row],[Type]]="heat", Table2[[#This Row],[Quantity_correct]]/0.8333,
"NA")))</f>
        <v>9.9009900990099009</v>
      </c>
      <c r="N130" s="1">
        <v>9.9</v>
      </c>
    </row>
    <row r="131" spans="1:14" ht="12.5" hidden="1" x14ac:dyDescent="0.25">
      <c r="A131" s="1" t="s">
        <v>8</v>
      </c>
      <c r="B131" s="1" t="s">
        <v>80</v>
      </c>
      <c r="C131" s="1" t="str">
        <f>IF(OR(Table2[[#This Row],[units]]="litre_(l)", Table2[[#This Row],[units]]="gallon_(gal)", Table2[[#This Row],[units]]="cubic_metre_(m3)"), "water", Table2[[#This Row],[type2]])</f>
        <v>water</v>
      </c>
      <c r="D131" s="1" t="s">
        <v>130</v>
      </c>
      <c r="E131" s="3">
        <v>44815</v>
      </c>
      <c r="F131" s="8">
        <f t="shared" si="4"/>
        <v>44874</v>
      </c>
      <c r="G131" s="3">
        <v>45109</v>
      </c>
      <c r="H131" s="8">
        <f t="shared" si="5"/>
        <v>44964</v>
      </c>
      <c r="I131" s="1">
        <v>67</v>
      </c>
      <c r="J13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67</v>
      </c>
      <c r="K131" s="4" t="str">
        <f>IF(Table2[[#This Row],[Type]]="electricity", "kilowatt_hour_(kwh)",
IF(Table2[[#This Row],[Type]]="water", "cubic_metre_(m3)",
IF(Table2[[#This Row],[Type]]="heat", "therm_(thm)",
"NA")))</f>
        <v>cubic_metre_(m3)</v>
      </c>
      <c r="L131" s="1" t="s">
        <v>133</v>
      </c>
      <c r="M131" s="10">
        <f>IF(Table2[[#This Row],[Type]]="electricity", Table2[[#This Row],[Quantity_correct]]/6.6667,
IF(Table2[[#This Row],[Type]]="water", Table2[[#This Row],[Quantity_correct]]/3.333,
IF(Table2[[#This Row],[Type]]="heat", Table2[[#This Row],[Quantity_correct]]/0.8333,
"NA")))</f>
        <v>20.1020102010201</v>
      </c>
      <c r="N131" s="1">
        <v>20.100000000000001</v>
      </c>
    </row>
    <row r="132" spans="1:14" ht="12.5" hidden="1" x14ac:dyDescent="0.25">
      <c r="A132" s="1" t="s">
        <v>8</v>
      </c>
      <c r="B132" s="1" t="s">
        <v>80</v>
      </c>
      <c r="C132" s="1" t="str">
        <f>IF(OR(Table2[[#This Row],[units]]="litre_(l)", Table2[[#This Row],[units]]="gallon_(gal)", Table2[[#This Row],[units]]="cubic_metre_(m3)"), "water", Table2[[#This Row],[type2]])</f>
        <v>water</v>
      </c>
      <c r="D132" s="1" t="s">
        <v>130</v>
      </c>
      <c r="E132" s="3">
        <v>44815</v>
      </c>
      <c r="F132" s="8">
        <f t="shared" si="4"/>
        <v>44874</v>
      </c>
      <c r="G132" s="3">
        <v>45109</v>
      </c>
      <c r="H132" s="8">
        <f t="shared" si="5"/>
        <v>44964</v>
      </c>
      <c r="I132" s="1">
        <v>248</v>
      </c>
      <c r="J13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248</v>
      </c>
      <c r="K132" s="4" t="str">
        <f>IF(Table2[[#This Row],[Type]]="electricity", "kilowatt_hour_(kwh)",
IF(Table2[[#This Row],[Type]]="water", "cubic_metre_(m3)",
IF(Table2[[#This Row],[Type]]="heat", "therm_(thm)",
"NA")))</f>
        <v>cubic_metre_(m3)</v>
      </c>
      <c r="L132" s="1" t="s">
        <v>133</v>
      </c>
      <c r="M132" s="10">
        <f>IF(Table2[[#This Row],[Type]]="electricity", Table2[[#This Row],[Quantity_correct]]/6.6667,
IF(Table2[[#This Row],[Type]]="water", Table2[[#This Row],[Quantity_correct]]/3.333,
IF(Table2[[#This Row],[Type]]="heat", Table2[[#This Row],[Quantity_correct]]/0.8333,
"NA")))</f>
        <v>74.407440744074407</v>
      </c>
      <c r="N132" s="1">
        <v>74.400000000000006</v>
      </c>
    </row>
    <row r="133" spans="1:14" ht="12.5" hidden="1" x14ac:dyDescent="0.25">
      <c r="A133" s="1" t="s">
        <v>8</v>
      </c>
      <c r="B133" s="1" t="s">
        <v>80</v>
      </c>
      <c r="C133" s="1" t="str">
        <f>IF(OR(Table2[[#This Row],[units]]="litre_(l)", Table2[[#This Row],[units]]="gallon_(gal)", Table2[[#This Row],[units]]="cubic_metre_(m3)"), "water", Table2[[#This Row],[type2]])</f>
        <v>water</v>
      </c>
      <c r="D133" s="1" t="s">
        <v>130</v>
      </c>
      <c r="E133" s="3">
        <v>45109</v>
      </c>
      <c r="F133" s="8">
        <f t="shared" si="4"/>
        <v>44964</v>
      </c>
      <c r="G133" s="3">
        <v>45021</v>
      </c>
      <c r="H133" s="8">
        <f t="shared" si="5"/>
        <v>45050</v>
      </c>
      <c r="I133" s="1">
        <v>42</v>
      </c>
      <c r="J13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42</v>
      </c>
      <c r="K133" s="4" t="str">
        <f>IF(Table2[[#This Row],[Type]]="electricity", "kilowatt_hour_(kwh)",
IF(Table2[[#This Row],[Type]]="water", "cubic_metre_(m3)",
IF(Table2[[#This Row],[Type]]="heat", "therm_(thm)",
"NA")))</f>
        <v>cubic_metre_(m3)</v>
      </c>
      <c r="L133" s="1" t="s">
        <v>133</v>
      </c>
      <c r="M133" s="10">
        <f>IF(Table2[[#This Row],[Type]]="electricity", Table2[[#This Row],[Quantity_correct]]/6.6667,
IF(Table2[[#This Row],[Type]]="water", Table2[[#This Row],[Quantity_correct]]/3.333,
IF(Table2[[#This Row],[Type]]="heat", Table2[[#This Row],[Quantity_correct]]/0.8333,
"NA")))</f>
        <v>12.601260126012601</v>
      </c>
      <c r="N133" s="1">
        <v>12.6</v>
      </c>
    </row>
    <row r="134" spans="1:14" ht="12.5" hidden="1" x14ac:dyDescent="0.25">
      <c r="A134" s="1" t="s">
        <v>8</v>
      </c>
      <c r="B134" s="1" t="s">
        <v>80</v>
      </c>
      <c r="C134" s="1" t="str">
        <f>IF(OR(Table2[[#This Row],[units]]="litre_(l)", Table2[[#This Row],[units]]="gallon_(gal)", Table2[[#This Row],[units]]="cubic_metre_(m3)"), "water", Table2[[#This Row],[type2]])</f>
        <v>water</v>
      </c>
      <c r="D134" s="1" t="s">
        <v>130</v>
      </c>
      <c r="E134" s="3">
        <v>45109</v>
      </c>
      <c r="F134" s="8">
        <f t="shared" si="4"/>
        <v>44964</v>
      </c>
      <c r="G134" s="3">
        <v>45021</v>
      </c>
      <c r="H134" s="8">
        <f t="shared" si="5"/>
        <v>45050</v>
      </c>
      <c r="I134" s="1">
        <v>50</v>
      </c>
      <c r="J13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50</v>
      </c>
      <c r="K134" s="4" t="str">
        <f>IF(Table2[[#This Row],[Type]]="electricity", "kilowatt_hour_(kwh)",
IF(Table2[[#This Row],[Type]]="water", "cubic_metre_(m3)",
IF(Table2[[#This Row],[Type]]="heat", "therm_(thm)",
"NA")))</f>
        <v>cubic_metre_(m3)</v>
      </c>
      <c r="L134" s="1" t="s">
        <v>133</v>
      </c>
      <c r="M134" s="10">
        <f>IF(Table2[[#This Row],[Type]]="electricity", Table2[[#This Row],[Quantity_correct]]/6.6667,
IF(Table2[[#This Row],[Type]]="water", Table2[[#This Row],[Quantity_correct]]/3.333,
IF(Table2[[#This Row],[Type]]="heat", Table2[[#This Row],[Quantity_correct]]/0.8333,
"NA")))</f>
        <v>15.001500150015001</v>
      </c>
      <c r="N134" s="1">
        <v>15</v>
      </c>
    </row>
    <row r="135" spans="1:14" ht="12.5" hidden="1" x14ac:dyDescent="0.25">
      <c r="A135" s="1" t="s">
        <v>8</v>
      </c>
      <c r="B135" s="1" t="s">
        <v>80</v>
      </c>
      <c r="C135" s="1" t="str">
        <f>IF(OR(Table2[[#This Row],[units]]="litre_(l)", Table2[[#This Row],[units]]="gallon_(gal)", Table2[[#This Row],[units]]="cubic_metre_(m3)"), "water", Table2[[#This Row],[type2]])</f>
        <v>water</v>
      </c>
      <c r="D135" s="1" t="s">
        <v>130</v>
      </c>
      <c r="E135" s="3">
        <v>45109</v>
      </c>
      <c r="F135" s="8">
        <f t="shared" si="4"/>
        <v>44964</v>
      </c>
      <c r="G135" s="3">
        <v>45021</v>
      </c>
      <c r="H135" s="8">
        <f t="shared" si="5"/>
        <v>45050</v>
      </c>
      <c r="I135" s="1">
        <v>264</v>
      </c>
      <c r="J13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264</v>
      </c>
      <c r="K135" s="4" t="str">
        <f>IF(Table2[[#This Row],[Type]]="electricity", "kilowatt_hour_(kwh)",
IF(Table2[[#This Row],[Type]]="water", "cubic_metre_(m3)",
IF(Table2[[#This Row],[Type]]="heat", "therm_(thm)",
"NA")))</f>
        <v>cubic_metre_(m3)</v>
      </c>
      <c r="L135" s="1" t="s">
        <v>133</v>
      </c>
      <c r="M135" s="10">
        <f>IF(Table2[[#This Row],[Type]]="electricity", Table2[[#This Row],[Quantity_correct]]/6.6667,
IF(Table2[[#This Row],[Type]]="water", Table2[[#This Row],[Quantity_correct]]/3.333,
IF(Table2[[#This Row],[Type]]="heat", Table2[[#This Row],[Quantity_correct]]/0.8333,
"NA")))</f>
        <v>79.207920792079207</v>
      </c>
      <c r="N135" s="1">
        <v>79.2</v>
      </c>
    </row>
    <row r="136" spans="1:14" ht="12.5" hidden="1" x14ac:dyDescent="0.25">
      <c r="A136" s="1" t="s">
        <v>8</v>
      </c>
      <c r="B136" s="1" t="s">
        <v>80</v>
      </c>
      <c r="C136" s="1" t="str">
        <f>IF(OR(Table2[[#This Row],[units]]="litre_(l)", Table2[[#This Row],[units]]="gallon_(gal)", Table2[[#This Row],[units]]="cubic_metre_(m3)"), "water", Table2[[#This Row],[type2]])</f>
        <v>water</v>
      </c>
      <c r="D136" s="1" t="s">
        <v>130</v>
      </c>
      <c r="E136" s="3">
        <v>45021</v>
      </c>
      <c r="F136" s="8">
        <f t="shared" si="4"/>
        <v>45050</v>
      </c>
      <c r="G136" s="1" t="s">
        <v>154</v>
      </c>
      <c r="H136" s="8">
        <f t="shared" si="5"/>
        <v>45134</v>
      </c>
      <c r="I136" s="1">
        <v>55</v>
      </c>
      <c r="J13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55</v>
      </c>
      <c r="K136" s="4" t="str">
        <f>IF(Table2[[#This Row],[Type]]="electricity", "kilowatt_hour_(kwh)",
IF(Table2[[#This Row],[Type]]="water", "cubic_metre_(m3)",
IF(Table2[[#This Row],[Type]]="heat", "therm_(thm)",
"NA")))</f>
        <v>cubic_metre_(m3)</v>
      </c>
      <c r="L136" s="1" t="s">
        <v>133</v>
      </c>
      <c r="M136" s="10">
        <f>IF(Table2[[#This Row],[Type]]="electricity", Table2[[#This Row],[Quantity_correct]]/6.6667,
IF(Table2[[#This Row],[Type]]="water", Table2[[#This Row],[Quantity_correct]]/3.333,
IF(Table2[[#This Row],[Type]]="heat", Table2[[#This Row],[Quantity_correct]]/0.8333,
"NA")))</f>
        <v>16.5016501650165</v>
      </c>
      <c r="N136" s="1">
        <v>16.5</v>
      </c>
    </row>
    <row r="137" spans="1:14" ht="12.5" hidden="1" x14ac:dyDescent="0.25">
      <c r="A137" s="1" t="s">
        <v>8</v>
      </c>
      <c r="B137" s="1" t="s">
        <v>80</v>
      </c>
      <c r="C137" s="1" t="str">
        <f>IF(OR(Table2[[#This Row],[units]]="litre_(l)", Table2[[#This Row],[units]]="gallon_(gal)", Table2[[#This Row],[units]]="cubic_metre_(m3)"), "water", Table2[[#This Row],[type2]])</f>
        <v>water</v>
      </c>
      <c r="D137" s="1" t="s">
        <v>130</v>
      </c>
      <c r="E137" s="3">
        <v>45021</v>
      </c>
      <c r="F137" s="8">
        <f t="shared" si="4"/>
        <v>45050</v>
      </c>
      <c r="G137" s="1" t="s">
        <v>154</v>
      </c>
      <c r="H137" s="8">
        <f t="shared" si="5"/>
        <v>45134</v>
      </c>
      <c r="I137" s="1">
        <v>74</v>
      </c>
      <c r="J13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74</v>
      </c>
      <c r="K137" s="4" t="str">
        <f>IF(Table2[[#This Row],[Type]]="electricity", "kilowatt_hour_(kwh)",
IF(Table2[[#This Row],[Type]]="water", "cubic_metre_(m3)",
IF(Table2[[#This Row],[Type]]="heat", "therm_(thm)",
"NA")))</f>
        <v>cubic_metre_(m3)</v>
      </c>
      <c r="L137" s="1" t="s">
        <v>133</v>
      </c>
      <c r="M137" s="10">
        <f>IF(Table2[[#This Row],[Type]]="electricity", Table2[[#This Row],[Quantity_correct]]/6.6667,
IF(Table2[[#This Row],[Type]]="water", Table2[[#This Row],[Quantity_correct]]/3.333,
IF(Table2[[#This Row],[Type]]="heat", Table2[[#This Row],[Quantity_correct]]/0.8333,
"NA")))</f>
        <v>22.202220222022202</v>
      </c>
      <c r="N137" s="1">
        <v>22.2</v>
      </c>
    </row>
    <row r="138" spans="1:14" ht="12.5" hidden="1" x14ac:dyDescent="0.25">
      <c r="A138" s="1" t="s">
        <v>8</v>
      </c>
      <c r="B138" s="1" t="s">
        <v>80</v>
      </c>
      <c r="C138" s="1" t="str">
        <f>IF(OR(Table2[[#This Row],[units]]="litre_(l)", Table2[[#This Row],[units]]="gallon_(gal)", Table2[[#This Row],[units]]="cubic_metre_(m3)"), "water", Table2[[#This Row],[type2]])</f>
        <v>water</v>
      </c>
      <c r="D138" s="1" t="s">
        <v>130</v>
      </c>
      <c r="E138" s="3">
        <v>45021</v>
      </c>
      <c r="F138" s="8">
        <f t="shared" si="4"/>
        <v>45050</v>
      </c>
      <c r="G138" s="1" t="s">
        <v>154</v>
      </c>
      <c r="H138" s="8">
        <f t="shared" si="5"/>
        <v>45134</v>
      </c>
      <c r="I138" s="1">
        <v>301</v>
      </c>
      <c r="J13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301</v>
      </c>
      <c r="K138" s="4" t="str">
        <f>IF(Table2[[#This Row],[Type]]="electricity", "kilowatt_hour_(kwh)",
IF(Table2[[#This Row],[Type]]="water", "cubic_metre_(m3)",
IF(Table2[[#This Row],[Type]]="heat", "therm_(thm)",
"NA")))</f>
        <v>cubic_metre_(m3)</v>
      </c>
      <c r="L138" s="1" t="s">
        <v>133</v>
      </c>
      <c r="M138" s="10">
        <f>IF(Table2[[#This Row],[Type]]="electricity", Table2[[#This Row],[Quantity_correct]]/6.6667,
IF(Table2[[#This Row],[Type]]="water", Table2[[#This Row],[Quantity_correct]]/3.333,
IF(Table2[[#This Row],[Type]]="heat", Table2[[#This Row],[Quantity_correct]]/0.8333,
"NA")))</f>
        <v>90.309030903090303</v>
      </c>
      <c r="N138" s="1">
        <v>90.3</v>
      </c>
    </row>
    <row r="139" spans="1:14" ht="12.5" hidden="1" x14ac:dyDescent="0.25">
      <c r="A139" s="1" t="s">
        <v>8</v>
      </c>
      <c r="B139" s="1" t="s">
        <v>80</v>
      </c>
      <c r="C139" s="1" t="str">
        <f>IF(OR(Table2[[#This Row],[units]]="litre_(l)", Table2[[#This Row],[units]]="gallon_(gal)", Table2[[#This Row],[units]]="cubic_metre_(m3)"), "water", Table2[[#This Row],[type2]])</f>
        <v>water</v>
      </c>
      <c r="D139" s="1" t="s">
        <v>130</v>
      </c>
      <c r="E139" s="1" t="s">
        <v>154</v>
      </c>
      <c r="F139" s="8">
        <f t="shared" si="4"/>
        <v>45134</v>
      </c>
      <c r="G139" s="1" t="s">
        <v>155</v>
      </c>
      <c r="H139" s="8">
        <f t="shared" si="5"/>
        <v>45226</v>
      </c>
      <c r="I139" s="1">
        <v>17</v>
      </c>
      <c r="J13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v>
      </c>
      <c r="K139" s="4" t="str">
        <f>IF(Table2[[#This Row],[Type]]="electricity", "kilowatt_hour_(kwh)",
IF(Table2[[#This Row],[Type]]="water", "cubic_metre_(m3)",
IF(Table2[[#This Row],[Type]]="heat", "therm_(thm)",
"NA")))</f>
        <v>cubic_metre_(m3)</v>
      </c>
      <c r="L139" s="1" t="s">
        <v>133</v>
      </c>
      <c r="M139" s="10">
        <f>IF(Table2[[#This Row],[Type]]="electricity", Table2[[#This Row],[Quantity_correct]]/6.6667,
IF(Table2[[#This Row],[Type]]="water", Table2[[#This Row],[Quantity_correct]]/3.333,
IF(Table2[[#This Row],[Type]]="heat", Table2[[#This Row],[Quantity_correct]]/0.8333,
"NA")))</f>
        <v>5.1005100510051005</v>
      </c>
      <c r="N139" s="1">
        <v>5.0999999999999996</v>
      </c>
    </row>
    <row r="140" spans="1:14" ht="12.5" hidden="1" x14ac:dyDescent="0.25">
      <c r="A140" s="1" t="s">
        <v>8</v>
      </c>
      <c r="B140" s="1" t="s">
        <v>80</v>
      </c>
      <c r="C140" s="1" t="str">
        <f>IF(OR(Table2[[#This Row],[units]]="litre_(l)", Table2[[#This Row],[units]]="gallon_(gal)", Table2[[#This Row],[units]]="cubic_metre_(m3)"), "water", Table2[[#This Row],[type2]])</f>
        <v>water</v>
      </c>
      <c r="D140" s="1" t="s">
        <v>130</v>
      </c>
      <c r="E140" s="1" t="s">
        <v>154</v>
      </c>
      <c r="F140" s="8">
        <f t="shared" si="4"/>
        <v>45134</v>
      </c>
      <c r="G140" s="1" t="s">
        <v>155</v>
      </c>
      <c r="H140" s="8">
        <f t="shared" si="5"/>
        <v>45226</v>
      </c>
      <c r="I140" s="1">
        <v>57</v>
      </c>
      <c r="J14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57</v>
      </c>
      <c r="K140" s="4" t="str">
        <f>IF(Table2[[#This Row],[Type]]="electricity", "kilowatt_hour_(kwh)",
IF(Table2[[#This Row],[Type]]="water", "cubic_metre_(m3)",
IF(Table2[[#This Row],[Type]]="heat", "therm_(thm)",
"NA")))</f>
        <v>cubic_metre_(m3)</v>
      </c>
      <c r="L140" s="1" t="s">
        <v>133</v>
      </c>
      <c r="M140" s="10">
        <f>IF(Table2[[#This Row],[Type]]="electricity", Table2[[#This Row],[Quantity_correct]]/6.6667,
IF(Table2[[#This Row],[Type]]="water", Table2[[#This Row],[Quantity_correct]]/3.333,
IF(Table2[[#This Row],[Type]]="heat", Table2[[#This Row],[Quantity_correct]]/0.8333,
"NA")))</f>
        <v>17.1017101710171</v>
      </c>
      <c r="N140" s="1">
        <v>17.100000000000001</v>
      </c>
    </row>
    <row r="141" spans="1:14" ht="12.5" hidden="1" x14ac:dyDescent="0.25">
      <c r="A141" s="1" t="s">
        <v>8</v>
      </c>
      <c r="B141" s="1" t="s">
        <v>80</v>
      </c>
      <c r="C141" s="1" t="str">
        <f>IF(OR(Table2[[#This Row],[units]]="litre_(l)", Table2[[#This Row],[units]]="gallon_(gal)", Table2[[#This Row],[units]]="cubic_metre_(m3)"), "water", Table2[[#This Row],[type2]])</f>
        <v>water</v>
      </c>
      <c r="D141" s="1" t="s">
        <v>130</v>
      </c>
      <c r="E141" s="1" t="s">
        <v>154</v>
      </c>
      <c r="F141" s="8">
        <f t="shared" si="4"/>
        <v>45134</v>
      </c>
      <c r="G141" s="1" t="s">
        <v>155</v>
      </c>
      <c r="H141" s="8">
        <f t="shared" si="5"/>
        <v>45226</v>
      </c>
      <c r="I141" s="1">
        <v>265</v>
      </c>
      <c r="J14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265</v>
      </c>
      <c r="K141" s="4" t="str">
        <f>IF(Table2[[#This Row],[Type]]="electricity", "kilowatt_hour_(kwh)",
IF(Table2[[#This Row],[Type]]="water", "cubic_metre_(m3)",
IF(Table2[[#This Row],[Type]]="heat", "therm_(thm)",
"NA")))</f>
        <v>cubic_metre_(m3)</v>
      </c>
      <c r="L141" s="1" t="s">
        <v>133</v>
      </c>
      <c r="M141" s="10">
        <f>IF(Table2[[#This Row],[Type]]="electricity", Table2[[#This Row],[Quantity_correct]]/6.6667,
IF(Table2[[#This Row],[Type]]="water", Table2[[#This Row],[Quantity_correct]]/3.333,
IF(Table2[[#This Row],[Type]]="heat", Table2[[#This Row],[Quantity_correct]]/0.8333,
"NA")))</f>
        <v>79.507950795079509</v>
      </c>
      <c r="N141" s="1">
        <v>79.5</v>
      </c>
    </row>
    <row r="142" spans="1:14" ht="12.5" hidden="1" x14ac:dyDescent="0.25">
      <c r="A142" s="1" t="s">
        <v>8</v>
      </c>
      <c r="B142" s="1" t="s">
        <v>160</v>
      </c>
      <c r="C142" s="1" t="str">
        <f>IF(OR(Table2[[#This Row],[units]]="litre_(l)", Table2[[#This Row],[units]]="gallon_(gal)", Table2[[#This Row],[units]]="cubic_metre_(m3)"), "water", Table2[[#This Row],[type2]])</f>
        <v>electricity</v>
      </c>
      <c r="D142" s="1" t="s">
        <v>128</v>
      </c>
      <c r="E142" s="1" t="s">
        <v>161</v>
      </c>
      <c r="F142" s="8">
        <f t="shared" si="4"/>
        <v>44561</v>
      </c>
      <c r="G142" s="1" t="s">
        <v>51</v>
      </c>
      <c r="H142" s="8">
        <f t="shared" si="5"/>
        <v>44926</v>
      </c>
      <c r="I142" s="4">
        <v>39186</v>
      </c>
      <c r="J14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39186</v>
      </c>
      <c r="K142" s="4" t="str">
        <f>IF(Table2[[#This Row],[Type]]="electricity", "kilowatt_hour_(kwh)",
IF(Table2[[#This Row],[Type]]="water", "cubic_metre_(m3)",
IF(Table2[[#This Row],[Type]]="heat", "therm_(thm)",
"NA")))</f>
        <v>kilowatt_hour_(kwh)</v>
      </c>
      <c r="L142" s="1" t="s">
        <v>129</v>
      </c>
      <c r="M142" s="10">
        <f>IF(Table2[[#This Row],[Type]]="electricity", Table2[[#This Row],[Quantity_correct]]/6.6667,
IF(Table2[[#This Row],[Type]]="water", Table2[[#This Row],[Quantity_correct]]/3.333,
IF(Table2[[#This Row],[Type]]="heat", Table2[[#This Row],[Quantity_correct]]/0.8333,
"NA")))</f>
        <v>5877.8706106469472</v>
      </c>
      <c r="N142" s="1">
        <v>5877.9</v>
      </c>
    </row>
    <row r="143" spans="1:14" ht="12.5" hidden="1" x14ac:dyDescent="0.25">
      <c r="A143" s="1" t="s">
        <v>8</v>
      </c>
      <c r="B143" s="1" t="s">
        <v>160</v>
      </c>
      <c r="C143" s="1" t="str">
        <f>IF(OR(Table2[[#This Row],[units]]="litre_(l)", Table2[[#This Row],[units]]="gallon_(gal)", Table2[[#This Row],[units]]="cubic_metre_(m3)"), "water", Table2[[#This Row],[type2]])</f>
        <v>electricity</v>
      </c>
      <c r="D143" s="1" t="s">
        <v>128</v>
      </c>
      <c r="E143" s="1" t="s">
        <v>51</v>
      </c>
      <c r="F143" s="8">
        <f t="shared" si="4"/>
        <v>44926</v>
      </c>
      <c r="G143" s="1" t="s">
        <v>68</v>
      </c>
      <c r="H143" s="8">
        <f t="shared" si="5"/>
        <v>44957</v>
      </c>
      <c r="I143" s="4">
        <v>6088</v>
      </c>
      <c r="J14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6088</v>
      </c>
      <c r="K143" s="4" t="str">
        <f>IF(Table2[[#This Row],[Type]]="electricity", "kilowatt_hour_(kwh)",
IF(Table2[[#This Row],[Type]]="water", "cubic_metre_(m3)",
IF(Table2[[#This Row],[Type]]="heat", "therm_(thm)",
"NA")))</f>
        <v>kilowatt_hour_(kwh)</v>
      </c>
      <c r="L143" s="1" t="s">
        <v>129</v>
      </c>
      <c r="M143" s="10">
        <f>IF(Table2[[#This Row],[Type]]="electricity", Table2[[#This Row],[Quantity_correct]]/6.6667,
IF(Table2[[#This Row],[Type]]="water", Table2[[#This Row],[Quantity_correct]]/3.333,
IF(Table2[[#This Row],[Type]]="heat", Table2[[#This Row],[Quantity_correct]]/0.8333,
"NA")))</f>
        <v>913.19543402282989</v>
      </c>
      <c r="N143" s="1">
        <v>913.2</v>
      </c>
    </row>
    <row r="144" spans="1:14" ht="12.5" hidden="1" x14ac:dyDescent="0.25">
      <c r="A144" s="1" t="s">
        <v>8</v>
      </c>
      <c r="B144" s="1" t="s">
        <v>160</v>
      </c>
      <c r="C144" s="1" t="str">
        <f>IF(OR(Table2[[#This Row],[units]]="litre_(l)", Table2[[#This Row],[units]]="gallon_(gal)", Table2[[#This Row],[units]]="cubic_metre_(m3)"), "water", Table2[[#This Row],[type2]])</f>
        <v>electricity</v>
      </c>
      <c r="D144" s="1" t="s">
        <v>128</v>
      </c>
      <c r="E144" s="1" t="s">
        <v>68</v>
      </c>
      <c r="F144" s="8">
        <f t="shared" si="4"/>
        <v>44957</v>
      </c>
      <c r="G144" s="1" t="s">
        <v>65</v>
      </c>
      <c r="H144" s="8">
        <f t="shared" si="5"/>
        <v>44985</v>
      </c>
      <c r="I144" s="4">
        <v>5150</v>
      </c>
      <c r="J14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5150</v>
      </c>
      <c r="K144" s="4" t="str">
        <f>IF(Table2[[#This Row],[Type]]="electricity", "kilowatt_hour_(kwh)",
IF(Table2[[#This Row],[Type]]="water", "cubic_metre_(m3)",
IF(Table2[[#This Row],[Type]]="heat", "therm_(thm)",
"NA")))</f>
        <v>kilowatt_hour_(kwh)</v>
      </c>
      <c r="L144" s="1" t="s">
        <v>129</v>
      </c>
      <c r="M144" s="10">
        <f>IF(Table2[[#This Row],[Type]]="electricity", Table2[[#This Row],[Quantity_correct]]/6.6667,
IF(Table2[[#This Row],[Type]]="water", Table2[[#This Row],[Quantity_correct]]/3.333,
IF(Table2[[#This Row],[Type]]="heat", Table2[[#This Row],[Quantity_correct]]/0.8333,
"NA")))</f>
        <v>772.49613751931247</v>
      </c>
      <c r="N144" s="1">
        <v>772.5</v>
      </c>
    </row>
    <row r="145" spans="1:14" ht="12.5" hidden="1" x14ac:dyDescent="0.25">
      <c r="A145" s="1" t="s">
        <v>8</v>
      </c>
      <c r="B145" s="1" t="s">
        <v>160</v>
      </c>
      <c r="C145" s="1" t="str">
        <f>IF(OR(Table2[[#This Row],[units]]="litre_(l)", Table2[[#This Row],[units]]="gallon_(gal)", Table2[[#This Row],[units]]="cubic_metre_(m3)"), "water", Table2[[#This Row],[type2]])</f>
        <v>electricity</v>
      </c>
      <c r="D145" s="1" t="s">
        <v>128</v>
      </c>
      <c r="E145" s="1" t="s">
        <v>65</v>
      </c>
      <c r="F145" s="8">
        <f t="shared" si="4"/>
        <v>44985</v>
      </c>
      <c r="G145" s="1" t="s">
        <v>74</v>
      </c>
      <c r="H145" s="8">
        <f t="shared" si="5"/>
        <v>45016</v>
      </c>
      <c r="I145" s="4">
        <v>3822</v>
      </c>
      <c r="J14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3822</v>
      </c>
      <c r="K145" s="4" t="str">
        <f>IF(Table2[[#This Row],[Type]]="electricity", "kilowatt_hour_(kwh)",
IF(Table2[[#This Row],[Type]]="water", "cubic_metre_(m3)",
IF(Table2[[#This Row],[Type]]="heat", "therm_(thm)",
"NA")))</f>
        <v>kilowatt_hour_(kwh)</v>
      </c>
      <c r="L145" s="1" t="s">
        <v>129</v>
      </c>
      <c r="M145" s="10">
        <f>IF(Table2[[#This Row],[Type]]="electricity", Table2[[#This Row],[Quantity_correct]]/6.6667,
IF(Table2[[#This Row],[Type]]="water", Table2[[#This Row],[Quantity_correct]]/3.333,
IF(Table2[[#This Row],[Type]]="heat", Table2[[#This Row],[Quantity_correct]]/0.8333,
"NA")))</f>
        <v>573.29713351433247</v>
      </c>
      <c r="N145" s="1">
        <v>573.29999999999995</v>
      </c>
    </row>
    <row r="146" spans="1:14" ht="12.5" hidden="1" x14ac:dyDescent="0.25">
      <c r="A146" s="1" t="s">
        <v>8</v>
      </c>
      <c r="B146" s="1" t="s">
        <v>160</v>
      </c>
      <c r="C146" s="1" t="str">
        <f>IF(OR(Table2[[#This Row],[units]]="litre_(l)", Table2[[#This Row],[units]]="gallon_(gal)", Table2[[#This Row],[units]]="cubic_metre_(m3)"), "water", Table2[[#This Row],[type2]])</f>
        <v>electricity</v>
      </c>
      <c r="D146" s="1" t="s">
        <v>128</v>
      </c>
      <c r="E146" s="1" t="s">
        <v>74</v>
      </c>
      <c r="F146" s="8">
        <f t="shared" si="4"/>
        <v>45016</v>
      </c>
      <c r="G146" s="1" t="s">
        <v>103</v>
      </c>
      <c r="H146" s="8">
        <f t="shared" si="5"/>
        <v>45046</v>
      </c>
      <c r="I146" s="4">
        <v>2596</v>
      </c>
      <c r="J14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2596</v>
      </c>
      <c r="K146" s="4" t="str">
        <f>IF(Table2[[#This Row],[Type]]="electricity", "kilowatt_hour_(kwh)",
IF(Table2[[#This Row],[Type]]="water", "cubic_metre_(m3)",
IF(Table2[[#This Row],[Type]]="heat", "therm_(thm)",
"NA")))</f>
        <v>kilowatt_hour_(kwh)</v>
      </c>
      <c r="L146" s="1" t="s">
        <v>129</v>
      </c>
      <c r="M146" s="10">
        <f>IF(Table2[[#This Row],[Type]]="electricity", Table2[[#This Row],[Quantity_correct]]/6.6667,
IF(Table2[[#This Row],[Type]]="water", Table2[[#This Row],[Quantity_correct]]/3.333,
IF(Table2[[#This Row],[Type]]="heat", Table2[[#This Row],[Quantity_correct]]/0.8333,
"NA")))</f>
        <v>389.39805300973495</v>
      </c>
      <c r="N146" s="1">
        <v>389.4</v>
      </c>
    </row>
    <row r="147" spans="1:14" ht="12.5" hidden="1" x14ac:dyDescent="0.25">
      <c r="A147" s="1" t="s">
        <v>8</v>
      </c>
      <c r="B147" s="1" t="s">
        <v>160</v>
      </c>
      <c r="C147" s="1" t="str">
        <f>IF(OR(Table2[[#This Row],[units]]="litre_(l)", Table2[[#This Row],[units]]="gallon_(gal)", Table2[[#This Row],[units]]="cubic_metre_(m3)"), "water", Table2[[#This Row],[type2]])</f>
        <v>electricity</v>
      </c>
      <c r="D147" s="1" t="s">
        <v>128</v>
      </c>
      <c r="E147" s="1" t="s">
        <v>103</v>
      </c>
      <c r="F147" s="8">
        <f t="shared" si="4"/>
        <v>45046</v>
      </c>
      <c r="G147" s="1" t="s">
        <v>73</v>
      </c>
      <c r="H147" s="8">
        <f t="shared" si="5"/>
        <v>45077</v>
      </c>
      <c r="I147" s="4">
        <v>2934</v>
      </c>
      <c r="J14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2934</v>
      </c>
      <c r="K147" s="4" t="str">
        <f>IF(Table2[[#This Row],[Type]]="electricity", "kilowatt_hour_(kwh)",
IF(Table2[[#This Row],[Type]]="water", "cubic_metre_(m3)",
IF(Table2[[#This Row],[Type]]="heat", "therm_(thm)",
"NA")))</f>
        <v>kilowatt_hour_(kwh)</v>
      </c>
      <c r="L147" s="1" t="s">
        <v>129</v>
      </c>
      <c r="M147" s="10">
        <f>IF(Table2[[#This Row],[Type]]="electricity", Table2[[#This Row],[Quantity_correct]]/6.6667,
IF(Table2[[#This Row],[Type]]="water", Table2[[#This Row],[Quantity_correct]]/3.333,
IF(Table2[[#This Row],[Type]]="heat", Table2[[#This Row],[Quantity_correct]]/0.8333,
"NA")))</f>
        <v>440.09779951100245</v>
      </c>
      <c r="N147" s="1">
        <v>440.1</v>
      </c>
    </row>
    <row r="148" spans="1:14" ht="12.5" hidden="1" x14ac:dyDescent="0.25">
      <c r="A148" s="1" t="s">
        <v>8</v>
      </c>
      <c r="B148" s="1" t="s">
        <v>160</v>
      </c>
      <c r="C148" s="1" t="str">
        <f>IF(OR(Table2[[#This Row],[units]]="litre_(l)", Table2[[#This Row],[units]]="gallon_(gal)", Table2[[#This Row],[units]]="cubic_metre_(m3)"), "water", Table2[[#This Row],[type2]])</f>
        <v>electricity</v>
      </c>
      <c r="D148" s="1" t="s">
        <v>128</v>
      </c>
      <c r="E148" s="1" t="s">
        <v>73</v>
      </c>
      <c r="F148" s="8">
        <f t="shared" si="4"/>
        <v>45077</v>
      </c>
      <c r="G148" s="1" t="s">
        <v>69</v>
      </c>
      <c r="H148" s="8">
        <f t="shared" si="5"/>
        <v>45107</v>
      </c>
      <c r="I148" s="4">
        <v>3127</v>
      </c>
      <c r="J14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3127</v>
      </c>
      <c r="K148" s="4" t="str">
        <f>IF(Table2[[#This Row],[Type]]="electricity", "kilowatt_hour_(kwh)",
IF(Table2[[#This Row],[Type]]="water", "cubic_metre_(m3)",
IF(Table2[[#This Row],[Type]]="heat", "therm_(thm)",
"NA")))</f>
        <v>kilowatt_hour_(kwh)</v>
      </c>
      <c r="L148" s="1" t="s">
        <v>129</v>
      </c>
      <c r="M148" s="10">
        <f>IF(Table2[[#This Row],[Type]]="electricity", Table2[[#This Row],[Quantity_correct]]/6.6667,
IF(Table2[[#This Row],[Type]]="water", Table2[[#This Row],[Quantity_correct]]/3.333,
IF(Table2[[#This Row],[Type]]="heat", Table2[[#This Row],[Quantity_correct]]/0.8333,
"NA")))</f>
        <v>469.04765476172622</v>
      </c>
      <c r="N148" s="1">
        <v>469.05</v>
      </c>
    </row>
    <row r="149" spans="1:14" ht="12.5" hidden="1" x14ac:dyDescent="0.25">
      <c r="A149" s="1" t="s">
        <v>8</v>
      </c>
      <c r="B149" s="1" t="s">
        <v>160</v>
      </c>
      <c r="C149" s="1" t="str">
        <f>IF(OR(Table2[[#This Row],[units]]="litre_(l)", Table2[[#This Row],[units]]="gallon_(gal)", Table2[[#This Row],[units]]="cubic_metre_(m3)"), "water", Table2[[#This Row],[type2]])</f>
        <v>electricity</v>
      </c>
      <c r="D149" s="1" t="s">
        <v>128</v>
      </c>
      <c r="E149" s="1" t="s">
        <v>69</v>
      </c>
      <c r="F149" s="8">
        <f t="shared" si="4"/>
        <v>45107</v>
      </c>
      <c r="G149" s="1" t="s">
        <v>71</v>
      </c>
      <c r="H149" s="8">
        <f t="shared" si="5"/>
        <v>45138</v>
      </c>
      <c r="I149" s="4">
        <v>2612</v>
      </c>
      <c r="J14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2612</v>
      </c>
      <c r="K149" s="4" t="str">
        <f>IF(Table2[[#This Row],[Type]]="electricity", "kilowatt_hour_(kwh)",
IF(Table2[[#This Row],[Type]]="water", "cubic_metre_(m3)",
IF(Table2[[#This Row],[Type]]="heat", "therm_(thm)",
"NA")))</f>
        <v>kilowatt_hour_(kwh)</v>
      </c>
      <c r="L149" s="1" t="s">
        <v>129</v>
      </c>
      <c r="M149" s="10">
        <f>IF(Table2[[#This Row],[Type]]="electricity", Table2[[#This Row],[Quantity_correct]]/6.6667,
IF(Table2[[#This Row],[Type]]="water", Table2[[#This Row],[Quantity_correct]]/3.333,
IF(Table2[[#This Row],[Type]]="heat", Table2[[#This Row],[Quantity_correct]]/0.8333,
"NA")))</f>
        <v>391.79804100979499</v>
      </c>
      <c r="N149" s="1">
        <v>391.8</v>
      </c>
    </row>
    <row r="150" spans="1:14" ht="12.5" hidden="1" x14ac:dyDescent="0.25">
      <c r="A150" s="1" t="s">
        <v>8</v>
      </c>
      <c r="B150" s="1" t="s">
        <v>160</v>
      </c>
      <c r="C150" s="1" t="str">
        <f>IF(OR(Table2[[#This Row],[units]]="litre_(l)", Table2[[#This Row],[units]]="gallon_(gal)", Table2[[#This Row],[units]]="cubic_metre_(m3)"), "water", Table2[[#This Row],[type2]])</f>
        <v>electricity</v>
      </c>
      <c r="D150" s="1" t="s">
        <v>128</v>
      </c>
      <c r="E150" s="3">
        <v>44934</v>
      </c>
      <c r="F150" s="8">
        <f t="shared" si="4"/>
        <v>45139</v>
      </c>
      <c r="G150" s="1" t="s">
        <v>72</v>
      </c>
      <c r="H150" s="8">
        <f t="shared" si="5"/>
        <v>45169</v>
      </c>
      <c r="I150" s="5">
        <v>2410.46</v>
      </c>
      <c r="J15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2410.46</v>
      </c>
      <c r="K150" s="5" t="str">
        <f>IF(Table2[[#This Row],[Type]]="electricity", "kilowatt_hour_(kwh)",
IF(Table2[[#This Row],[Type]]="water", "cubic_metre_(m3)",
IF(Table2[[#This Row],[Type]]="heat", "therm_(thm)",
"NA")))</f>
        <v>kilowatt_hour_(kwh)</v>
      </c>
      <c r="L150" s="1" t="s">
        <v>129</v>
      </c>
      <c r="M150" s="10">
        <f>IF(Table2[[#This Row],[Type]]="electricity", Table2[[#This Row],[Quantity_correct]]/6.6667,
IF(Table2[[#This Row],[Type]]="water", Table2[[#This Row],[Quantity_correct]]/3.333,
IF(Table2[[#This Row],[Type]]="heat", Table2[[#This Row],[Quantity_correct]]/0.8333,
"NA")))</f>
        <v>361.56719216403923</v>
      </c>
      <c r="N150" s="1">
        <v>361.56900000000002</v>
      </c>
    </row>
    <row r="151" spans="1:14" ht="12.5" hidden="1" x14ac:dyDescent="0.25">
      <c r="A151" s="1" t="s">
        <v>8</v>
      </c>
      <c r="B151" s="1" t="s">
        <v>160</v>
      </c>
      <c r="C151" s="1" t="str">
        <f>IF(OR(Table2[[#This Row],[units]]="litre_(l)", Table2[[#This Row],[units]]="gallon_(gal)", Table2[[#This Row],[units]]="cubic_metre_(m3)"), "water", Table2[[#This Row],[type2]])</f>
        <v>electricity</v>
      </c>
      <c r="D151" s="1" t="s">
        <v>128</v>
      </c>
      <c r="E151" s="3">
        <v>44935</v>
      </c>
      <c r="F151" s="8">
        <f t="shared" si="4"/>
        <v>45170</v>
      </c>
      <c r="G151" s="1" t="s">
        <v>67</v>
      </c>
      <c r="H151" s="8">
        <f t="shared" si="5"/>
        <v>45199</v>
      </c>
      <c r="I151" s="5">
        <v>2821.07</v>
      </c>
      <c r="J15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2821.07</v>
      </c>
      <c r="K151" s="5" t="str">
        <f>IF(Table2[[#This Row],[Type]]="electricity", "kilowatt_hour_(kwh)",
IF(Table2[[#This Row],[Type]]="water", "cubic_metre_(m3)",
IF(Table2[[#This Row],[Type]]="heat", "therm_(thm)",
"NA")))</f>
        <v>kilowatt_hour_(kwh)</v>
      </c>
      <c r="L151" s="1" t="s">
        <v>129</v>
      </c>
      <c r="M151" s="10">
        <f>IF(Table2[[#This Row],[Type]]="electricity", Table2[[#This Row],[Quantity_correct]]/6.6667,
IF(Table2[[#This Row],[Type]]="water", Table2[[#This Row],[Quantity_correct]]/3.333,
IF(Table2[[#This Row],[Type]]="heat", Table2[[#This Row],[Quantity_correct]]/0.8333,
"NA")))</f>
        <v>423.15838420807899</v>
      </c>
      <c r="N151" s="1">
        <v>423.16050000000001</v>
      </c>
    </row>
    <row r="152" spans="1:14" ht="12.5" hidden="1" x14ac:dyDescent="0.25">
      <c r="A152" s="1" t="s">
        <v>8</v>
      </c>
      <c r="B152" s="1" t="s">
        <v>160</v>
      </c>
      <c r="C152" s="1" t="str">
        <f>IF(OR(Table2[[#This Row],[units]]="litre_(l)", Table2[[#This Row],[units]]="gallon_(gal)", Table2[[#This Row],[units]]="cubic_metre_(m3)"), "water", Table2[[#This Row],[type2]])</f>
        <v>electricity</v>
      </c>
      <c r="D152" s="1" t="s">
        <v>128</v>
      </c>
      <c r="E152" s="3">
        <v>44936</v>
      </c>
      <c r="F152" s="8">
        <f t="shared" si="4"/>
        <v>45200</v>
      </c>
      <c r="G152" s="1" t="s">
        <v>75</v>
      </c>
      <c r="H152" s="8">
        <f t="shared" si="5"/>
        <v>45230</v>
      </c>
      <c r="I152" s="5">
        <v>2819.46</v>
      </c>
      <c r="J15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2819.46</v>
      </c>
      <c r="K152" s="5" t="str">
        <f>IF(Table2[[#This Row],[Type]]="electricity", "kilowatt_hour_(kwh)",
IF(Table2[[#This Row],[Type]]="water", "cubic_metre_(m3)",
IF(Table2[[#This Row],[Type]]="heat", "therm_(thm)",
"NA")))</f>
        <v>kilowatt_hour_(kwh)</v>
      </c>
      <c r="L152" s="1" t="s">
        <v>129</v>
      </c>
      <c r="M152" s="10">
        <f>IF(Table2[[#This Row],[Type]]="electricity", Table2[[#This Row],[Quantity_correct]]/6.6667,
IF(Table2[[#This Row],[Type]]="water", Table2[[#This Row],[Quantity_correct]]/3.333,
IF(Table2[[#This Row],[Type]]="heat", Table2[[#This Row],[Quantity_correct]]/0.8333,
"NA")))</f>
        <v>422.91688541557295</v>
      </c>
      <c r="N152" s="1">
        <v>422.91899999999998</v>
      </c>
    </row>
    <row r="153" spans="1:14" ht="12.5" hidden="1" x14ac:dyDescent="0.25">
      <c r="A153" s="1" t="s">
        <v>8</v>
      </c>
      <c r="B153" s="1" t="s">
        <v>160</v>
      </c>
      <c r="C153" s="1" t="str">
        <f>IF(OR(Table2[[#This Row],[units]]="litre_(l)", Table2[[#This Row],[units]]="gallon_(gal)", Table2[[#This Row],[units]]="cubic_metre_(m3)"), "water", Table2[[#This Row],[type2]])</f>
        <v>electricity</v>
      </c>
      <c r="D153" s="1" t="s">
        <v>128</v>
      </c>
      <c r="E153" s="3">
        <v>44937</v>
      </c>
      <c r="F153" s="8">
        <f t="shared" si="4"/>
        <v>45231</v>
      </c>
      <c r="G153" s="1" t="s">
        <v>56</v>
      </c>
      <c r="H153" s="8">
        <f t="shared" si="5"/>
        <v>45260</v>
      </c>
      <c r="I153" s="5">
        <v>3207.97</v>
      </c>
      <c r="J15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3207.97</v>
      </c>
      <c r="K153" s="5" t="str">
        <f>IF(Table2[[#This Row],[Type]]="electricity", "kilowatt_hour_(kwh)",
IF(Table2[[#This Row],[Type]]="water", "cubic_metre_(m3)",
IF(Table2[[#This Row],[Type]]="heat", "therm_(thm)",
"NA")))</f>
        <v>kilowatt_hour_(kwh)</v>
      </c>
      <c r="L153" s="1" t="s">
        <v>129</v>
      </c>
      <c r="M153" s="10">
        <f>IF(Table2[[#This Row],[Type]]="electricity", Table2[[#This Row],[Quantity_correct]]/6.6667,
IF(Table2[[#This Row],[Type]]="water", Table2[[#This Row],[Quantity_correct]]/3.333,
IF(Table2[[#This Row],[Type]]="heat", Table2[[#This Row],[Quantity_correct]]/0.8333,
"NA")))</f>
        <v>481.19309403452985</v>
      </c>
      <c r="N153" s="1">
        <v>481.19549999999998</v>
      </c>
    </row>
    <row r="154" spans="1:14" ht="12.5" hidden="1" x14ac:dyDescent="0.25">
      <c r="A154" s="1" t="s">
        <v>8</v>
      </c>
      <c r="B154" s="1" t="s">
        <v>160</v>
      </c>
      <c r="C154" s="1" t="str">
        <f>IF(OR(Table2[[#This Row],[units]]="litre_(l)", Table2[[#This Row],[units]]="gallon_(gal)", Table2[[#This Row],[units]]="cubic_metre_(m3)"), "water", Table2[[#This Row],[type2]])</f>
        <v>electricity</v>
      </c>
      <c r="D154" s="1" t="s">
        <v>128</v>
      </c>
      <c r="E154" s="3">
        <v>44938</v>
      </c>
      <c r="F154" s="8">
        <f t="shared" si="4"/>
        <v>45261</v>
      </c>
      <c r="G154" s="1" t="s">
        <v>45</v>
      </c>
      <c r="H154" s="8">
        <f t="shared" si="5"/>
        <v>45291</v>
      </c>
      <c r="I154" s="5">
        <v>3916.11</v>
      </c>
      <c r="J15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3916.11</v>
      </c>
      <c r="K154" s="5" t="str">
        <f>IF(Table2[[#This Row],[Type]]="electricity", "kilowatt_hour_(kwh)",
IF(Table2[[#This Row],[Type]]="water", "cubic_metre_(m3)",
IF(Table2[[#This Row],[Type]]="heat", "therm_(thm)",
"NA")))</f>
        <v>kilowatt_hour_(kwh)</v>
      </c>
      <c r="L154" s="1" t="s">
        <v>129</v>
      </c>
      <c r="M154" s="10">
        <f>IF(Table2[[#This Row],[Type]]="electricity", Table2[[#This Row],[Quantity_correct]]/6.6667,
IF(Table2[[#This Row],[Type]]="water", Table2[[#This Row],[Quantity_correct]]/3.333,
IF(Table2[[#This Row],[Type]]="heat", Table2[[#This Row],[Quantity_correct]]/0.8333,
"NA")))</f>
        <v>587.41356293218541</v>
      </c>
      <c r="N154" s="1">
        <v>587.41650000000004</v>
      </c>
    </row>
    <row r="155" spans="1:14" ht="12.5" hidden="1" x14ac:dyDescent="0.25">
      <c r="A155" s="1" t="s">
        <v>8</v>
      </c>
      <c r="B155" s="1" t="s">
        <v>160</v>
      </c>
      <c r="C155" s="1" t="str">
        <f>IF(OR(Table2[[#This Row],[units]]="litre_(l)", Table2[[#This Row],[units]]="gallon_(gal)", Table2[[#This Row],[units]]="cubic_metre_(m3)"), "water", Table2[[#This Row],[type2]])</f>
        <v>water</v>
      </c>
      <c r="D155" s="1" t="s">
        <v>130</v>
      </c>
      <c r="E155" s="3">
        <v>44562</v>
      </c>
      <c r="F155" s="8">
        <f t="shared" si="4"/>
        <v>44562</v>
      </c>
      <c r="G155" s="1" t="s">
        <v>51</v>
      </c>
      <c r="H155" s="8">
        <f t="shared" si="5"/>
        <v>44926</v>
      </c>
      <c r="I155" s="1">
        <v>5.76</v>
      </c>
      <c r="J15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5.76</v>
      </c>
      <c r="K155" s="4" t="str">
        <f>IF(Table2[[#This Row],[Type]]="electricity", "kilowatt_hour_(kwh)",
IF(Table2[[#This Row],[Type]]="water", "cubic_metre_(m3)",
IF(Table2[[#This Row],[Type]]="heat", "therm_(thm)",
"NA")))</f>
        <v>cubic_metre_(m3)</v>
      </c>
      <c r="L155" s="1" t="s">
        <v>133</v>
      </c>
      <c r="M155" s="10">
        <f>IF(Table2[[#This Row],[Type]]="electricity", Table2[[#This Row],[Quantity_correct]]/6.6667,
IF(Table2[[#This Row],[Type]]="water", Table2[[#This Row],[Quantity_correct]]/3.333,
IF(Table2[[#This Row],[Type]]="heat", Table2[[#This Row],[Quantity_correct]]/0.8333,
"NA")))</f>
        <v>1.7281728172817281</v>
      </c>
      <c r="N155" s="1">
        <v>1.728</v>
      </c>
    </row>
    <row r="156" spans="1:14" ht="12.5" hidden="1" x14ac:dyDescent="0.25">
      <c r="A156" s="1" t="s">
        <v>8</v>
      </c>
      <c r="B156" s="1" t="s">
        <v>160</v>
      </c>
      <c r="C156" s="1" t="str">
        <f>IF(OR(Table2[[#This Row],[units]]="litre_(l)", Table2[[#This Row],[units]]="gallon_(gal)", Table2[[#This Row],[units]]="cubic_metre_(m3)"), "water", Table2[[#This Row],[type2]])</f>
        <v>water</v>
      </c>
      <c r="D156" s="1" t="s">
        <v>130</v>
      </c>
      <c r="E156" s="3">
        <v>44927</v>
      </c>
      <c r="F156" s="8">
        <f t="shared" si="4"/>
        <v>44927</v>
      </c>
      <c r="G156" s="1" t="s">
        <v>45</v>
      </c>
      <c r="H156" s="8">
        <f t="shared" si="5"/>
        <v>45291</v>
      </c>
      <c r="I156" s="1">
        <v>6.57</v>
      </c>
      <c r="J15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6.57</v>
      </c>
      <c r="K156" s="4" t="str">
        <f>IF(Table2[[#This Row],[Type]]="electricity", "kilowatt_hour_(kwh)",
IF(Table2[[#This Row],[Type]]="water", "cubic_metre_(m3)",
IF(Table2[[#This Row],[Type]]="heat", "therm_(thm)",
"NA")))</f>
        <v>cubic_metre_(m3)</v>
      </c>
      <c r="L156" s="1" t="s">
        <v>133</v>
      </c>
      <c r="M156" s="10">
        <f>IF(Table2[[#This Row],[Type]]="electricity", Table2[[#This Row],[Quantity_correct]]/6.6667,
IF(Table2[[#This Row],[Type]]="water", Table2[[#This Row],[Quantity_correct]]/3.333,
IF(Table2[[#This Row],[Type]]="heat", Table2[[#This Row],[Quantity_correct]]/0.8333,
"NA")))</f>
        <v>1.9711971197119711</v>
      </c>
      <c r="N156" s="1">
        <v>1.9710000000000001</v>
      </c>
    </row>
    <row r="157" spans="1:14" ht="12.5" hidden="1" x14ac:dyDescent="0.25">
      <c r="A157" s="1" t="s">
        <v>10</v>
      </c>
      <c r="B157" s="1" t="s">
        <v>10</v>
      </c>
      <c r="C157" s="1" t="str">
        <f>IF(OR(Table2[[#This Row],[units]]="litre_(l)", Table2[[#This Row],[units]]="gallon_(gal)", Table2[[#This Row],[units]]="cubic_metre_(m3)"), "water", Table2[[#This Row],[type2]])</f>
        <v>electricity</v>
      </c>
      <c r="D157" s="1" t="s">
        <v>128</v>
      </c>
      <c r="E157" s="3">
        <v>44206</v>
      </c>
      <c r="F157" s="8">
        <f t="shared" si="4"/>
        <v>44470</v>
      </c>
      <c r="G157" s="1" t="s">
        <v>162</v>
      </c>
      <c r="H157" s="8">
        <f t="shared" si="5"/>
        <v>44500</v>
      </c>
      <c r="I157" s="4">
        <v>7888</v>
      </c>
      <c r="J15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7888</v>
      </c>
      <c r="K157" s="4" t="str">
        <f>IF(Table2[[#This Row],[Type]]="electricity", "kilowatt_hour_(kwh)",
IF(Table2[[#This Row],[Type]]="water", "cubic_metre_(m3)",
IF(Table2[[#This Row],[Type]]="heat", "therm_(thm)",
"NA")))</f>
        <v>kilowatt_hour_(kwh)</v>
      </c>
      <c r="L157" s="1" t="s">
        <v>129</v>
      </c>
      <c r="M157" s="10">
        <f>IF(Table2[[#This Row],[Type]]="electricity", Table2[[#This Row],[Quantity_correct]]/6.6667,
IF(Table2[[#This Row],[Type]]="water", Table2[[#This Row],[Quantity_correct]]/3.333,
IF(Table2[[#This Row],[Type]]="heat", Table2[[#This Row],[Quantity_correct]]/0.8333,
"NA")))</f>
        <v>1183.1940840295799</v>
      </c>
      <c r="N157" s="1">
        <v>1183.2</v>
      </c>
    </row>
    <row r="158" spans="1:14" ht="12.5" hidden="1" x14ac:dyDescent="0.25">
      <c r="A158" s="1" t="s">
        <v>10</v>
      </c>
      <c r="B158" s="1" t="s">
        <v>10</v>
      </c>
      <c r="C158" s="1" t="str">
        <f>IF(OR(Table2[[#This Row],[units]]="litre_(l)", Table2[[#This Row],[units]]="gallon_(gal)", Table2[[#This Row],[units]]="cubic_metre_(m3)"), "water", Table2[[#This Row],[type2]])</f>
        <v>electricity</v>
      </c>
      <c r="D158" s="1" t="s">
        <v>128</v>
      </c>
      <c r="E158" s="3">
        <v>44207</v>
      </c>
      <c r="F158" s="8">
        <f t="shared" si="4"/>
        <v>44501</v>
      </c>
      <c r="G158" s="1" t="s">
        <v>163</v>
      </c>
      <c r="H158" s="8">
        <f t="shared" si="5"/>
        <v>44530</v>
      </c>
      <c r="I158" s="4">
        <v>10005</v>
      </c>
      <c r="J15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10005</v>
      </c>
      <c r="K158" s="4" t="str">
        <f>IF(Table2[[#This Row],[Type]]="electricity", "kilowatt_hour_(kwh)",
IF(Table2[[#This Row],[Type]]="water", "cubic_metre_(m3)",
IF(Table2[[#This Row],[Type]]="heat", "therm_(thm)",
"NA")))</f>
        <v>kilowatt_hour_(kwh)</v>
      </c>
      <c r="L158" s="1" t="s">
        <v>129</v>
      </c>
      <c r="M158" s="10">
        <f>IF(Table2[[#This Row],[Type]]="electricity", Table2[[#This Row],[Quantity_correct]]/6.6667,
IF(Table2[[#This Row],[Type]]="water", Table2[[#This Row],[Quantity_correct]]/3.333,
IF(Table2[[#This Row],[Type]]="heat", Table2[[#This Row],[Quantity_correct]]/0.8333,
"NA")))</f>
        <v>1500.7424962875186</v>
      </c>
      <c r="N158" s="1">
        <v>1500.75</v>
      </c>
    </row>
    <row r="159" spans="1:14" ht="12.5" hidden="1" x14ac:dyDescent="0.25">
      <c r="A159" s="1" t="s">
        <v>10</v>
      </c>
      <c r="B159" s="1" t="s">
        <v>10</v>
      </c>
      <c r="C159" s="1" t="str">
        <f>IF(OR(Table2[[#This Row],[units]]="litre_(l)", Table2[[#This Row],[units]]="gallon_(gal)", Table2[[#This Row],[units]]="cubic_metre_(m3)"), "water", Table2[[#This Row],[type2]])</f>
        <v>electricity</v>
      </c>
      <c r="D159" s="1" t="s">
        <v>128</v>
      </c>
      <c r="E159" s="3">
        <v>44208</v>
      </c>
      <c r="F159" s="8">
        <f t="shared" si="4"/>
        <v>44531</v>
      </c>
      <c r="G159" s="1" t="s">
        <v>161</v>
      </c>
      <c r="H159" s="8">
        <f t="shared" si="5"/>
        <v>44561</v>
      </c>
      <c r="I159" s="4">
        <v>7558</v>
      </c>
      <c r="J15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7558</v>
      </c>
      <c r="K159" s="4" t="str">
        <f>IF(Table2[[#This Row],[Type]]="electricity", "kilowatt_hour_(kwh)",
IF(Table2[[#This Row],[Type]]="water", "cubic_metre_(m3)",
IF(Table2[[#This Row],[Type]]="heat", "therm_(thm)",
"NA")))</f>
        <v>kilowatt_hour_(kwh)</v>
      </c>
      <c r="L159" s="1" t="s">
        <v>129</v>
      </c>
      <c r="M159" s="10">
        <f>IF(Table2[[#This Row],[Type]]="electricity", Table2[[#This Row],[Quantity_correct]]/6.6667,
IF(Table2[[#This Row],[Type]]="water", Table2[[#This Row],[Quantity_correct]]/3.333,
IF(Table2[[#This Row],[Type]]="heat", Table2[[#This Row],[Quantity_correct]]/0.8333,
"NA")))</f>
        <v>1133.6943315283424</v>
      </c>
      <c r="N159" s="1">
        <v>1133.7</v>
      </c>
    </row>
    <row r="160" spans="1:14" ht="12.5" hidden="1" x14ac:dyDescent="0.25">
      <c r="A160" s="1" t="s">
        <v>10</v>
      </c>
      <c r="B160" s="1" t="s">
        <v>10</v>
      </c>
      <c r="C160" s="1" t="str">
        <f>IF(OR(Table2[[#This Row],[units]]="litre_(l)", Table2[[#This Row],[units]]="gallon_(gal)", Table2[[#This Row],[units]]="cubic_metre_(m3)"), "water", Table2[[#This Row],[type2]])</f>
        <v>electricity</v>
      </c>
      <c r="D160" s="1" t="s">
        <v>128</v>
      </c>
      <c r="E160" s="3">
        <v>44562</v>
      </c>
      <c r="F160" s="8">
        <f t="shared" si="4"/>
        <v>44562</v>
      </c>
      <c r="G160" s="1" t="s">
        <v>141</v>
      </c>
      <c r="H160" s="8">
        <f t="shared" si="5"/>
        <v>44592</v>
      </c>
      <c r="I160" s="4">
        <v>10694</v>
      </c>
      <c r="J16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10694</v>
      </c>
      <c r="K160" s="4" t="str">
        <f>IF(Table2[[#This Row],[Type]]="electricity", "kilowatt_hour_(kwh)",
IF(Table2[[#This Row],[Type]]="water", "cubic_metre_(m3)",
IF(Table2[[#This Row],[Type]]="heat", "therm_(thm)",
"NA")))</f>
        <v>kilowatt_hour_(kwh)</v>
      </c>
      <c r="L160" s="1" t="s">
        <v>129</v>
      </c>
      <c r="M160" s="10">
        <f>IF(Table2[[#This Row],[Type]]="electricity", Table2[[#This Row],[Quantity_correct]]/6.6667,
IF(Table2[[#This Row],[Type]]="water", Table2[[#This Row],[Quantity_correct]]/3.333,
IF(Table2[[#This Row],[Type]]="heat", Table2[[#This Row],[Quantity_correct]]/0.8333,
"NA")))</f>
        <v>1604.0919795401023</v>
      </c>
      <c r="N160" s="1">
        <v>1604.1</v>
      </c>
    </row>
    <row r="161" spans="1:14" ht="12.5" hidden="1" x14ac:dyDescent="0.25">
      <c r="A161" s="1" t="s">
        <v>10</v>
      </c>
      <c r="B161" s="1" t="s">
        <v>10</v>
      </c>
      <c r="C161" s="1" t="str">
        <f>IF(OR(Table2[[#This Row],[units]]="litre_(l)", Table2[[#This Row],[units]]="gallon_(gal)", Table2[[#This Row],[units]]="cubic_metre_(m3)"), "water", Table2[[#This Row],[type2]])</f>
        <v>electricity</v>
      </c>
      <c r="D161" s="1" t="s">
        <v>128</v>
      </c>
      <c r="E161" s="3">
        <v>44563</v>
      </c>
      <c r="F161" s="8">
        <f t="shared" si="4"/>
        <v>44593</v>
      </c>
      <c r="G161" s="1" t="s">
        <v>142</v>
      </c>
      <c r="H161" s="8">
        <f t="shared" si="5"/>
        <v>44620</v>
      </c>
      <c r="I161" s="4">
        <v>10122</v>
      </c>
      <c r="J16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10122</v>
      </c>
      <c r="K161" s="4" t="str">
        <f>IF(Table2[[#This Row],[Type]]="electricity", "kilowatt_hour_(kwh)",
IF(Table2[[#This Row],[Type]]="water", "cubic_metre_(m3)",
IF(Table2[[#This Row],[Type]]="heat", "therm_(thm)",
"NA")))</f>
        <v>kilowatt_hour_(kwh)</v>
      </c>
      <c r="L161" s="1" t="s">
        <v>129</v>
      </c>
      <c r="M161" s="10">
        <f>IF(Table2[[#This Row],[Type]]="electricity", Table2[[#This Row],[Quantity_correct]]/6.6667,
IF(Table2[[#This Row],[Type]]="water", Table2[[#This Row],[Quantity_correct]]/3.333,
IF(Table2[[#This Row],[Type]]="heat", Table2[[#This Row],[Quantity_correct]]/0.8333,
"NA")))</f>
        <v>1518.2924085379575</v>
      </c>
      <c r="N161" s="1">
        <v>1518.3</v>
      </c>
    </row>
    <row r="162" spans="1:14" ht="12.5" hidden="1" x14ac:dyDescent="0.25">
      <c r="A162" s="1" t="s">
        <v>10</v>
      </c>
      <c r="B162" s="1" t="s">
        <v>10</v>
      </c>
      <c r="C162" s="1" t="str">
        <f>IF(OR(Table2[[#This Row],[units]]="litre_(l)", Table2[[#This Row],[units]]="gallon_(gal)", Table2[[#This Row],[units]]="cubic_metre_(m3)"), "water", Table2[[#This Row],[type2]])</f>
        <v>electricity</v>
      </c>
      <c r="D162" s="1" t="s">
        <v>128</v>
      </c>
      <c r="E162" s="3">
        <v>44564</v>
      </c>
      <c r="F162" s="8">
        <f t="shared" si="4"/>
        <v>44621</v>
      </c>
      <c r="G162" s="1" t="s">
        <v>143</v>
      </c>
      <c r="H162" s="8">
        <f t="shared" si="5"/>
        <v>44651</v>
      </c>
      <c r="I162" s="4">
        <v>10019</v>
      </c>
      <c r="J16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10019</v>
      </c>
      <c r="K162" s="4" t="str">
        <f>IF(Table2[[#This Row],[Type]]="electricity", "kilowatt_hour_(kwh)",
IF(Table2[[#This Row],[Type]]="water", "cubic_metre_(m3)",
IF(Table2[[#This Row],[Type]]="heat", "therm_(thm)",
"NA")))</f>
        <v>kilowatt_hour_(kwh)</v>
      </c>
      <c r="L162" s="1" t="s">
        <v>129</v>
      </c>
      <c r="M162" s="10">
        <f>IF(Table2[[#This Row],[Type]]="electricity", Table2[[#This Row],[Quantity_correct]]/6.6667,
IF(Table2[[#This Row],[Type]]="water", Table2[[#This Row],[Quantity_correct]]/3.333,
IF(Table2[[#This Row],[Type]]="heat", Table2[[#This Row],[Quantity_correct]]/0.8333,
"NA")))</f>
        <v>1502.8424857875711</v>
      </c>
      <c r="N162" s="1">
        <v>1502.85</v>
      </c>
    </row>
    <row r="163" spans="1:14" ht="12.5" hidden="1" x14ac:dyDescent="0.25">
      <c r="A163" s="1" t="s">
        <v>10</v>
      </c>
      <c r="B163" s="1" t="s">
        <v>10</v>
      </c>
      <c r="C163" s="1" t="str">
        <f>IF(OR(Table2[[#This Row],[units]]="litre_(l)", Table2[[#This Row],[units]]="gallon_(gal)", Table2[[#This Row],[units]]="cubic_metre_(m3)"), "water", Table2[[#This Row],[type2]])</f>
        <v>electricity</v>
      </c>
      <c r="D163" s="1" t="s">
        <v>128</v>
      </c>
      <c r="E163" s="3">
        <v>44565</v>
      </c>
      <c r="F163" s="8">
        <f t="shared" si="4"/>
        <v>44652</v>
      </c>
      <c r="G163" s="1" t="s">
        <v>144</v>
      </c>
      <c r="H163" s="8">
        <f t="shared" si="5"/>
        <v>44681</v>
      </c>
      <c r="I163" s="4">
        <v>7619</v>
      </c>
      <c r="J16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7619</v>
      </c>
      <c r="K163" s="4" t="str">
        <f>IF(Table2[[#This Row],[Type]]="electricity", "kilowatt_hour_(kwh)",
IF(Table2[[#This Row],[Type]]="water", "cubic_metre_(m3)",
IF(Table2[[#This Row],[Type]]="heat", "therm_(thm)",
"NA")))</f>
        <v>kilowatt_hour_(kwh)</v>
      </c>
      <c r="L163" s="1" t="s">
        <v>129</v>
      </c>
      <c r="M163" s="10">
        <f>IF(Table2[[#This Row],[Type]]="electricity", Table2[[#This Row],[Quantity_correct]]/6.6667,
IF(Table2[[#This Row],[Type]]="water", Table2[[#This Row],[Quantity_correct]]/3.333,
IF(Table2[[#This Row],[Type]]="heat", Table2[[#This Row],[Quantity_correct]]/0.8333,
"NA")))</f>
        <v>1142.8442857785712</v>
      </c>
      <c r="N163" s="1">
        <v>1142.8499999999999</v>
      </c>
    </row>
    <row r="164" spans="1:14" ht="12.5" hidden="1" x14ac:dyDescent="0.25">
      <c r="A164" s="1" t="s">
        <v>10</v>
      </c>
      <c r="B164" s="1" t="s">
        <v>10</v>
      </c>
      <c r="C164" s="1" t="str">
        <f>IF(OR(Table2[[#This Row],[units]]="litre_(l)", Table2[[#This Row],[units]]="gallon_(gal)", Table2[[#This Row],[units]]="cubic_metre_(m3)"), "water", Table2[[#This Row],[type2]])</f>
        <v>electricity</v>
      </c>
      <c r="D164" s="1" t="s">
        <v>128</v>
      </c>
      <c r="E164" s="3">
        <v>44566</v>
      </c>
      <c r="F164" s="8">
        <f t="shared" si="4"/>
        <v>44682</v>
      </c>
      <c r="G164" s="1" t="s">
        <v>145</v>
      </c>
      <c r="H164" s="8">
        <f t="shared" si="5"/>
        <v>44712</v>
      </c>
      <c r="I164" s="4">
        <v>8615</v>
      </c>
      <c r="J16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8615</v>
      </c>
      <c r="K164" s="4" t="str">
        <f>IF(Table2[[#This Row],[Type]]="electricity", "kilowatt_hour_(kwh)",
IF(Table2[[#This Row],[Type]]="water", "cubic_metre_(m3)",
IF(Table2[[#This Row],[Type]]="heat", "therm_(thm)",
"NA")))</f>
        <v>kilowatt_hour_(kwh)</v>
      </c>
      <c r="L164" s="1" t="s">
        <v>129</v>
      </c>
      <c r="M164" s="10">
        <f>IF(Table2[[#This Row],[Type]]="electricity", Table2[[#This Row],[Quantity_correct]]/6.6667,
IF(Table2[[#This Row],[Type]]="water", Table2[[#This Row],[Quantity_correct]]/3.333,
IF(Table2[[#This Row],[Type]]="heat", Table2[[#This Row],[Quantity_correct]]/0.8333,
"NA")))</f>
        <v>1292.2435387823061</v>
      </c>
      <c r="N164" s="1">
        <v>1292.25</v>
      </c>
    </row>
    <row r="165" spans="1:14" ht="12.5" hidden="1" x14ac:dyDescent="0.25">
      <c r="A165" s="1" t="s">
        <v>10</v>
      </c>
      <c r="B165" s="1" t="s">
        <v>10</v>
      </c>
      <c r="C165" s="1" t="str">
        <f>IF(OR(Table2[[#This Row],[units]]="litre_(l)", Table2[[#This Row],[units]]="gallon_(gal)", Table2[[#This Row],[units]]="cubic_metre_(m3)"), "water", Table2[[#This Row],[type2]])</f>
        <v>electricity</v>
      </c>
      <c r="D165" s="1" t="s">
        <v>128</v>
      </c>
      <c r="E165" s="3">
        <v>44567</v>
      </c>
      <c r="F165" s="8">
        <f t="shared" si="4"/>
        <v>44713</v>
      </c>
      <c r="G165" s="1" t="s">
        <v>146</v>
      </c>
      <c r="H165" s="8">
        <f t="shared" si="5"/>
        <v>44742</v>
      </c>
      <c r="I165" s="4">
        <v>10653</v>
      </c>
      <c r="J16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10653</v>
      </c>
      <c r="K165" s="4" t="str">
        <f>IF(Table2[[#This Row],[Type]]="electricity", "kilowatt_hour_(kwh)",
IF(Table2[[#This Row],[Type]]="water", "cubic_metre_(m3)",
IF(Table2[[#This Row],[Type]]="heat", "therm_(thm)",
"NA")))</f>
        <v>kilowatt_hour_(kwh)</v>
      </c>
      <c r="L165" s="1" t="s">
        <v>129</v>
      </c>
      <c r="M165" s="10">
        <f>IF(Table2[[#This Row],[Type]]="electricity", Table2[[#This Row],[Quantity_correct]]/6.6667,
IF(Table2[[#This Row],[Type]]="water", Table2[[#This Row],[Quantity_correct]]/3.333,
IF(Table2[[#This Row],[Type]]="heat", Table2[[#This Row],[Quantity_correct]]/0.8333,
"NA")))</f>
        <v>1597.9420102899487</v>
      </c>
      <c r="N165" s="1">
        <v>1597.95</v>
      </c>
    </row>
    <row r="166" spans="1:14" ht="12.5" hidden="1" x14ac:dyDescent="0.25">
      <c r="A166" s="1" t="s">
        <v>10</v>
      </c>
      <c r="B166" s="1" t="s">
        <v>10</v>
      </c>
      <c r="C166" s="1" t="str">
        <f>IF(OR(Table2[[#This Row],[units]]="litre_(l)", Table2[[#This Row],[units]]="gallon_(gal)", Table2[[#This Row],[units]]="cubic_metre_(m3)"), "water", Table2[[#This Row],[type2]])</f>
        <v>electricity</v>
      </c>
      <c r="D166" s="1" t="s">
        <v>128</v>
      </c>
      <c r="E166" s="3">
        <v>44568</v>
      </c>
      <c r="F166" s="8">
        <f t="shared" si="4"/>
        <v>44743</v>
      </c>
      <c r="G166" s="1" t="s">
        <v>147</v>
      </c>
      <c r="H166" s="8">
        <f t="shared" si="5"/>
        <v>44773</v>
      </c>
      <c r="I166" s="4">
        <v>12552</v>
      </c>
      <c r="J16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12552</v>
      </c>
      <c r="K166" s="4" t="str">
        <f>IF(Table2[[#This Row],[Type]]="electricity", "kilowatt_hour_(kwh)",
IF(Table2[[#This Row],[Type]]="water", "cubic_metre_(m3)",
IF(Table2[[#This Row],[Type]]="heat", "therm_(thm)",
"NA")))</f>
        <v>kilowatt_hour_(kwh)</v>
      </c>
      <c r="L166" s="1" t="s">
        <v>129</v>
      </c>
      <c r="M166" s="10">
        <f>IF(Table2[[#This Row],[Type]]="electricity", Table2[[#This Row],[Quantity_correct]]/6.6667,
IF(Table2[[#This Row],[Type]]="water", Table2[[#This Row],[Quantity_correct]]/3.333,
IF(Table2[[#This Row],[Type]]="heat", Table2[[#This Row],[Quantity_correct]]/0.8333,
"NA")))</f>
        <v>1882.7905860470698</v>
      </c>
      <c r="N166" s="1">
        <v>1882.8</v>
      </c>
    </row>
    <row r="167" spans="1:14" ht="12.5" hidden="1" x14ac:dyDescent="0.25">
      <c r="A167" s="1" t="s">
        <v>10</v>
      </c>
      <c r="B167" s="1" t="s">
        <v>10</v>
      </c>
      <c r="C167" s="1" t="str">
        <f>IF(OR(Table2[[#This Row],[units]]="litre_(l)", Table2[[#This Row],[units]]="gallon_(gal)", Table2[[#This Row],[units]]="cubic_metre_(m3)"), "water", Table2[[#This Row],[type2]])</f>
        <v>electricity</v>
      </c>
      <c r="D167" s="1" t="s">
        <v>128</v>
      </c>
      <c r="E167" s="3">
        <v>44569</v>
      </c>
      <c r="F167" s="8">
        <f t="shared" si="4"/>
        <v>44774</v>
      </c>
      <c r="G167" s="1" t="s">
        <v>148</v>
      </c>
      <c r="H167" s="8">
        <f t="shared" si="5"/>
        <v>44804</v>
      </c>
      <c r="I167" s="4">
        <v>2571</v>
      </c>
      <c r="J16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2571</v>
      </c>
      <c r="K167" s="4" t="str">
        <f>IF(Table2[[#This Row],[Type]]="electricity", "kilowatt_hour_(kwh)",
IF(Table2[[#This Row],[Type]]="water", "cubic_metre_(m3)",
IF(Table2[[#This Row],[Type]]="heat", "therm_(thm)",
"NA")))</f>
        <v>kilowatt_hour_(kwh)</v>
      </c>
      <c r="L167" s="1" t="s">
        <v>129</v>
      </c>
      <c r="M167" s="10">
        <f>IF(Table2[[#This Row],[Type]]="electricity", Table2[[#This Row],[Quantity_correct]]/6.6667,
IF(Table2[[#This Row],[Type]]="water", Table2[[#This Row],[Quantity_correct]]/3.333,
IF(Table2[[#This Row],[Type]]="heat", Table2[[#This Row],[Quantity_correct]]/0.8333,
"NA")))</f>
        <v>385.6480717596412</v>
      </c>
      <c r="N167" s="1">
        <v>385.65</v>
      </c>
    </row>
    <row r="168" spans="1:14" ht="12.5" hidden="1" x14ac:dyDescent="0.25">
      <c r="A168" s="1" t="s">
        <v>10</v>
      </c>
      <c r="B168" s="1" t="s">
        <v>10</v>
      </c>
      <c r="C168" s="1" t="str">
        <f>IF(OR(Table2[[#This Row],[units]]="litre_(l)", Table2[[#This Row],[units]]="gallon_(gal)", Table2[[#This Row],[units]]="cubic_metre_(m3)"), "water", Table2[[#This Row],[type2]])</f>
        <v>electricity</v>
      </c>
      <c r="D168" s="1" t="s">
        <v>128</v>
      </c>
      <c r="E168" s="3">
        <v>44570</v>
      </c>
      <c r="F168" s="8">
        <f t="shared" si="4"/>
        <v>44805</v>
      </c>
      <c r="G168" s="1" t="s">
        <v>149</v>
      </c>
      <c r="H168" s="8">
        <f t="shared" si="5"/>
        <v>44834</v>
      </c>
      <c r="I168" s="4">
        <v>12126</v>
      </c>
      <c r="J16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12126</v>
      </c>
      <c r="K168" s="4" t="str">
        <f>IF(Table2[[#This Row],[Type]]="electricity", "kilowatt_hour_(kwh)",
IF(Table2[[#This Row],[Type]]="water", "cubic_metre_(m3)",
IF(Table2[[#This Row],[Type]]="heat", "therm_(thm)",
"NA")))</f>
        <v>kilowatt_hour_(kwh)</v>
      </c>
      <c r="L168" s="1" t="s">
        <v>129</v>
      </c>
      <c r="M168" s="10">
        <f>IF(Table2[[#This Row],[Type]]="electricity", Table2[[#This Row],[Quantity_correct]]/6.6667,
IF(Table2[[#This Row],[Type]]="water", Table2[[#This Row],[Quantity_correct]]/3.333,
IF(Table2[[#This Row],[Type]]="heat", Table2[[#This Row],[Quantity_correct]]/0.8333,
"NA")))</f>
        <v>1818.8909055454724</v>
      </c>
      <c r="N168" s="1">
        <v>1818.9</v>
      </c>
    </row>
    <row r="169" spans="1:14" ht="12.5" hidden="1" x14ac:dyDescent="0.25">
      <c r="A169" s="1" t="s">
        <v>10</v>
      </c>
      <c r="B169" s="1" t="s">
        <v>10</v>
      </c>
      <c r="C169" s="1" t="str">
        <f>IF(OR(Table2[[#This Row],[units]]="litre_(l)", Table2[[#This Row],[units]]="gallon_(gal)", Table2[[#This Row],[units]]="cubic_metre_(m3)"), "water", Table2[[#This Row],[type2]])</f>
        <v>electricity</v>
      </c>
      <c r="D169" s="1" t="s">
        <v>128</v>
      </c>
      <c r="E169" s="3">
        <v>44571</v>
      </c>
      <c r="F169" s="8">
        <f t="shared" si="4"/>
        <v>44835</v>
      </c>
      <c r="G169" s="1" t="s">
        <v>150</v>
      </c>
      <c r="H169" s="8">
        <f t="shared" si="5"/>
        <v>44865</v>
      </c>
      <c r="I169" s="4">
        <v>8807</v>
      </c>
      <c r="J16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8807</v>
      </c>
      <c r="K169" s="4" t="str">
        <f>IF(Table2[[#This Row],[Type]]="electricity", "kilowatt_hour_(kwh)",
IF(Table2[[#This Row],[Type]]="water", "cubic_metre_(m3)",
IF(Table2[[#This Row],[Type]]="heat", "therm_(thm)",
"NA")))</f>
        <v>kilowatt_hour_(kwh)</v>
      </c>
      <c r="L169" s="1" t="s">
        <v>129</v>
      </c>
      <c r="M169" s="10">
        <f>IF(Table2[[#This Row],[Type]]="electricity", Table2[[#This Row],[Quantity_correct]]/6.6667,
IF(Table2[[#This Row],[Type]]="water", Table2[[#This Row],[Quantity_correct]]/3.333,
IF(Table2[[#This Row],[Type]]="heat", Table2[[#This Row],[Quantity_correct]]/0.8333,
"NA")))</f>
        <v>1321.0433947830261</v>
      </c>
      <c r="N169" s="1">
        <v>1321.05</v>
      </c>
    </row>
    <row r="170" spans="1:14" ht="12.5" hidden="1" x14ac:dyDescent="0.25">
      <c r="A170" s="1" t="s">
        <v>10</v>
      </c>
      <c r="B170" s="1" t="s">
        <v>10</v>
      </c>
      <c r="C170" s="1" t="str">
        <f>IF(OR(Table2[[#This Row],[units]]="litre_(l)", Table2[[#This Row],[units]]="gallon_(gal)", Table2[[#This Row],[units]]="cubic_metre_(m3)"), "water", Table2[[#This Row],[type2]])</f>
        <v>electricity</v>
      </c>
      <c r="D170" s="1" t="s">
        <v>128</v>
      </c>
      <c r="E170" s="3">
        <v>44572</v>
      </c>
      <c r="F170" s="8">
        <f t="shared" si="4"/>
        <v>44866</v>
      </c>
      <c r="G170" s="1" t="s">
        <v>151</v>
      </c>
      <c r="H170" s="8">
        <f t="shared" si="5"/>
        <v>44895</v>
      </c>
      <c r="I170" s="4">
        <v>8294</v>
      </c>
      <c r="J17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8294</v>
      </c>
      <c r="K170" s="4" t="str">
        <f>IF(Table2[[#This Row],[Type]]="electricity", "kilowatt_hour_(kwh)",
IF(Table2[[#This Row],[Type]]="water", "cubic_metre_(m3)",
IF(Table2[[#This Row],[Type]]="heat", "therm_(thm)",
"NA")))</f>
        <v>kilowatt_hour_(kwh)</v>
      </c>
      <c r="L170" s="1" t="s">
        <v>129</v>
      </c>
      <c r="M170" s="10">
        <f>IF(Table2[[#This Row],[Type]]="electricity", Table2[[#This Row],[Quantity_correct]]/6.6667,
IF(Table2[[#This Row],[Type]]="water", Table2[[#This Row],[Quantity_correct]]/3.333,
IF(Table2[[#This Row],[Type]]="heat", Table2[[#This Row],[Quantity_correct]]/0.8333,
"NA")))</f>
        <v>1244.0937795311024</v>
      </c>
      <c r="N170" s="1">
        <v>1244.0999999999999</v>
      </c>
    </row>
    <row r="171" spans="1:14" ht="12.5" hidden="1" x14ac:dyDescent="0.25">
      <c r="A171" s="1" t="s">
        <v>10</v>
      </c>
      <c r="B171" s="1" t="s">
        <v>10</v>
      </c>
      <c r="C171" s="1" t="str">
        <f>IF(OR(Table2[[#This Row],[units]]="litre_(l)", Table2[[#This Row],[units]]="gallon_(gal)", Table2[[#This Row],[units]]="cubic_metre_(m3)"), "water", Table2[[#This Row],[type2]])</f>
        <v>electricity</v>
      </c>
      <c r="D171" s="1" t="s">
        <v>128</v>
      </c>
      <c r="E171" s="3">
        <v>44573</v>
      </c>
      <c r="F171" s="8">
        <f t="shared" si="4"/>
        <v>44896</v>
      </c>
      <c r="G171" s="1" t="s">
        <v>51</v>
      </c>
      <c r="H171" s="8">
        <f t="shared" si="5"/>
        <v>44926</v>
      </c>
      <c r="I171" s="4">
        <v>7054</v>
      </c>
      <c r="J17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7054</v>
      </c>
      <c r="K171" s="4" t="str">
        <f>IF(Table2[[#This Row],[Type]]="electricity", "kilowatt_hour_(kwh)",
IF(Table2[[#This Row],[Type]]="water", "cubic_metre_(m3)",
IF(Table2[[#This Row],[Type]]="heat", "therm_(thm)",
"NA")))</f>
        <v>kilowatt_hour_(kwh)</v>
      </c>
      <c r="L171" s="1" t="s">
        <v>129</v>
      </c>
      <c r="M171" s="10">
        <f>IF(Table2[[#This Row],[Type]]="electricity", Table2[[#This Row],[Quantity_correct]]/6.6667,
IF(Table2[[#This Row],[Type]]="water", Table2[[#This Row],[Quantity_correct]]/3.333,
IF(Table2[[#This Row],[Type]]="heat", Table2[[#This Row],[Quantity_correct]]/0.8333,
"NA")))</f>
        <v>1058.0947095264523</v>
      </c>
      <c r="N171" s="1">
        <v>1058.0999999999999</v>
      </c>
    </row>
    <row r="172" spans="1:14" ht="12.5" hidden="1" x14ac:dyDescent="0.25">
      <c r="A172" s="1" t="s">
        <v>10</v>
      </c>
      <c r="B172" s="1" t="s">
        <v>10</v>
      </c>
      <c r="C172" s="1" t="str">
        <f>IF(OR(Table2[[#This Row],[units]]="litre_(l)", Table2[[#This Row],[units]]="gallon_(gal)", Table2[[#This Row],[units]]="cubic_metre_(m3)"), "water", Table2[[#This Row],[type2]])</f>
        <v>electricity</v>
      </c>
      <c r="D172" s="1" t="s">
        <v>128</v>
      </c>
      <c r="E172" s="3">
        <v>44927</v>
      </c>
      <c r="F172" s="8">
        <f t="shared" si="4"/>
        <v>44927</v>
      </c>
      <c r="G172" s="1" t="s">
        <v>68</v>
      </c>
      <c r="H172" s="8">
        <f t="shared" si="5"/>
        <v>44957</v>
      </c>
      <c r="I172" s="4">
        <v>10737</v>
      </c>
      <c r="J17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10737</v>
      </c>
      <c r="K172" s="4" t="str">
        <f>IF(Table2[[#This Row],[Type]]="electricity", "kilowatt_hour_(kwh)",
IF(Table2[[#This Row],[Type]]="water", "cubic_metre_(m3)",
IF(Table2[[#This Row],[Type]]="heat", "therm_(thm)",
"NA")))</f>
        <v>kilowatt_hour_(kwh)</v>
      </c>
      <c r="L172" s="1" t="s">
        <v>129</v>
      </c>
      <c r="M172" s="10">
        <f>IF(Table2[[#This Row],[Type]]="electricity", Table2[[#This Row],[Quantity_correct]]/6.6667,
IF(Table2[[#This Row],[Type]]="water", Table2[[#This Row],[Quantity_correct]]/3.333,
IF(Table2[[#This Row],[Type]]="heat", Table2[[#This Row],[Quantity_correct]]/0.8333,
"NA")))</f>
        <v>1610.5419472902636</v>
      </c>
      <c r="N172" s="1">
        <v>1610.55</v>
      </c>
    </row>
    <row r="173" spans="1:14" ht="12.5" hidden="1" x14ac:dyDescent="0.25">
      <c r="A173" s="1" t="s">
        <v>10</v>
      </c>
      <c r="B173" s="1" t="s">
        <v>10</v>
      </c>
      <c r="C173" s="1" t="str">
        <f>IF(OR(Table2[[#This Row],[units]]="litre_(l)", Table2[[#This Row],[units]]="gallon_(gal)", Table2[[#This Row],[units]]="cubic_metre_(m3)"), "water", Table2[[#This Row],[type2]])</f>
        <v>electricity</v>
      </c>
      <c r="D173" s="1" t="s">
        <v>128</v>
      </c>
      <c r="E173" s="3">
        <v>44928</v>
      </c>
      <c r="F173" s="8">
        <f t="shared" si="4"/>
        <v>44958</v>
      </c>
      <c r="G173" s="1" t="s">
        <v>65</v>
      </c>
      <c r="H173" s="8">
        <f t="shared" si="5"/>
        <v>44985</v>
      </c>
      <c r="I173" s="4">
        <v>10701</v>
      </c>
      <c r="J17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10701</v>
      </c>
      <c r="K173" s="4" t="str">
        <f>IF(Table2[[#This Row],[Type]]="electricity", "kilowatt_hour_(kwh)",
IF(Table2[[#This Row],[Type]]="water", "cubic_metre_(m3)",
IF(Table2[[#This Row],[Type]]="heat", "therm_(thm)",
"NA")))</f>
        <v>kilowatt_hour_(kwh)</v>
      </c>
      <c r="L173" s="1" t="s">
        <v>129</v>
      </c>
      <c r="M173" s="10">
        <f>IF(Table2[[#This Row],[Type]]="electricity", Table2[[#This Row],[Quantity_correct]]/6.6667,
IF(Table2[[#This Row],[Type]]="water", Table2[[#This Row],[Quantity_correct]]/3.333,
IF(Table2[[#This Row],[Type]]="heat", Table2[[#This Row],[Quantity_correct]]/0.8333,
"NA")))</f>
        <v>1605.1419742901287</v>
      </c>
      <c r="N173" s="1">
        <v>1605.15</v>
      </c>
    </row>
    <row r="174" spans="1:14" ht="12.5" hidden="1" x14ac:dyDescent="0.25">
      <c r="A174" s="1" t="s">
        <v>10</v>
      </c>
      <c r="B174" s="1" t="s">
        <v>10</v>
      </c>
      <c r="C174" s="1" t="str">
        <f>IF(OR(Table2[[#This Row],[units]]="litre_(l)", Table2[[#This Row],[units]]="gallon_(gal)", Table2[[#This Row],[units]]="cubic_metre_(m3)"), "water", Table2[[#This Row],[type2]])</f>
        <v>electricity</v>
      </c>
      <c r="D174" s="1" t="s">
        <v>128</v>
      </c>
      <c r="E174" s="3">
        <v>44929</v>
      </c>
      <c r="F174" s="8">
        <f t="shared" si="4"/>
        <v>44986</v>
      </c>
      <c r="G174" s="1" t="s">
        <v>74</v>
      </c>
      <c r="H174" s="8">
        <f t="shared" si="5"/>
        <v>45016</v>
      </c>
      <c r="I174" s="4">
        <v>10788</v>
      </c>
      <c r="J17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10788</v>
      </c>
      <c r="K174" s="4" t="str">
        <f>IF(Table2[[#This Row],[Type]]="electricity", "kilowatt_hour_(kwh)",
IF(Table2[[#This Row],[Type]]="water", "cubic_metre_(m3)",
IF(Table2[[#This Row],[Type]]="heat", "therm_(thm)",
"NA")))</f>
        <v>kilowatt_hour_(kwh)</v>
      </c>
      <c r="L174" s="1" t="s">
        <v>129</v>
      </c>
      <c r="M174" s="10">
        <f>IF(Table2[[#This Row],[Type]]="electricity", Table2[[#This Row],[Quantity_correct]]/6.6667,
IF(Table2[[#This Row],[Type]]="water", Table2[[#This Row],[Quantity_correct]]/3.333,
IF(Table2[[#This Row],[Type]]="heat", Table2[[#This Row],[Quantity_correct]]/0.8333,
"NA")))</f>
        <v>1618.1919090404549</v>
      </c>
      <c r="N174" s="1">
        <v>1618.2</v>
      </c>
    </row>
    <row r="175" spans="1:14" ht="12.5" hidden="1" x14ac:dyDescent="0.25">
      <c r="A175" s="1" t="s">
        <v>10</v>
      </c>
      <c r="B175" s="1" t="s">
        <v>10</v>
      </c>
      <c r="C175" s="1" t="str">
        <f>IF(OR(Table2[[#This Row],[units]]="litre_(l)", Table2[[#This Row],[units]]="gallon_(gal)", Table2[[#This Row],[units]]="cubic_metre_(m3)"), "water", Table2[[#This Row],[type2]])</f>
        <v>electricity</v>
      </c>
      <c r="D175" s="1" t="s">
        <v>128</v>
      </c>
      <c r="E175" s="3">
        <v>44930</v>
      </c>
      <c r="F175" s="8">
        <f t="shared" si="4"/>
        <v>45017</v>
      </c>
      <c r="G175" s="1" t="s">
        <v>103</v>
      </c>
      <c r="H175" s="8">
        <f t="shared" si="5"/>
        <v>45046</v>
      </c>
      <c r="I175" s="4">
        <v>7012</v>
      </c>
      <c r="J17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7012</v>
      </c>
      <c r="K175" s="4" t="str">
        <f>IF(Table2[[#This Row],[Type]]="electricity", "kilowatt_hour_(kwh)",
IF(Table2[[#This Row],[Type]]="water", "cubic_metre_(m3)",
IF(Table2[[#This Row],[Type]]="heat", "therm_(thm)",
"NA")))</f>
        <v>kilowatt_hour_(kwh)</v>
      </c>
      <c r="L175" s="1" t="s">
        <v>129</v>
      </c>
      <c r="M175" s="10">
        <f>IF(Table2[[#This Row],[Type]]="electricity", Table2[[#This Row],[Quantity_correct]]/6.6667,
IF(Table2[[#This Row],[Type]]="water", Table2[[#This Row],[Quantity_correct]]/3.333,
IF(Table2[[#This Row],[Type]]="heat", Table2[[#This Row],[Quantity_correct]]/0.8333,
"NA")))</f>
        <v>1051.794741026295</v>
      </c>
      <c r="N175" s="1">
        <v>1051.8</v>
      </c>
    </row>
    <row r="176" spans="1:14" ht="12.5" hidden="1" x14ac:dyDescent="0.25">
      <c r="A176" s="1" t="s">
        <v>10</v>
      </c>
      <c r="B176" s="1" t="s">
        <v>10</v>
      </c>
      <c r="C176" s="1" t="str">
        <f>IF(OR(Table2[[#This Row],[units]]="litre_(l)", Table2[[#This Row],[units]]="gallon_(gal)", Table2[[#This Row],[units]]="cubic_metre_(m3)"), "water", Table2[[#This Row],[type2]])</f>
        <v>electricity</v>
      </c>
      <c r="D176" s="1" t="s">
        <v>128</v>
      </c>
      <c r="E176" s="3">
        <v>44931</v>
      </c>
      <c r="F176" s="8">
        <f t="shared" si="4"/>
        <v>45047</v>
      </c>
      <c r="G176" s="1" t="s">
        <v>73</v>
      </c>
      <c r="H176" s="8">
        <f t="shared" si="5"/>
        <v>45077</v>
      </c>
      <c r="I176" s="4">
        <v>9246</v>
      </c>
      <c r="J17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9246</v>
      </c>
      <c r="K176" s="4" t="str">
        <f>IF(Table2[[#This Row],[Type]]="electricity", "kilowatt_hour_(kwh)",
IF(Table2[[#This Row],[Type]]="water", "cubic_metre_(m3)",
IF(Table2[[#This Row],[Type]]="heat", "therm_(thm)",
"NA")))</f>
        <v>kilowatt_hour_(kwh)</v>
      </c>
      <c r="L176" s="1" t="s">
        <v>129</v>
      </c>
      <c r="M176" s="10">
        <f>IF(Table2[[#This Row],[Type]]="electricity", Table2[[#This Row],[Quantity_correct]]/6.6667,
IF(Table2[[#This Row],[Type]]="water", Table2[[#This Row],[Quantity_correct]]/3.333,
IF(Table2[[#This Row],[Type]]="heat", Table2[[#This Row],[Quantity_correct]]/0.8333,
"NA")))</f>
        <v>1386.8930655346724</v>
      </c>
      <c r="N176" s="1">
        <v>1386.9</v>
      </c>
    </row>
    <row r="177" spans="1:14" ht="12.5" hidden="1" x14ac:dyDescent="0.25">
      <c r="A177" s="1" t="s">
        <v>10</v>
      </c>
      <c r="B177" s="1" t="s">
        <v>10</v>
      </c>
      <c r="C177" s="1" t="str">
        <f>IF(OR(Table2[[#This Row],[units]]="litre_(l)", Table2[[#This Row],[units]]="gallon_(gal)", Table2[[#This Row],[units]]="cubic_metre_(m3)"), "water", Table2[[#This Row],[type2]])</f>
        <v>electricity</v>
      </c>
      <c r="D177" s="1" t="s">
        <v>128</v>
      </c>
      <c r="E177" s="3">
        <v>44932</v>
      </c>
      <c r="F177" s="8">
        <f t="shared" si="4"/>
        <v>45078</v>
      </c>
      <c r="G177" s="1" t="s">
        <v>69</v>
      </c>
      <c r="H177" s="8">
        <f t="shared" si="5"/>
        <v>45107</v>
      </c>
      <c r="I177" s="4">
        <v>11920</v>
      </c>
      <c r="J17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11920</v>
      </c>
      <c r="K177" s="4" t="str">
        <f>IF(Table2[[#This Row],[Type]]="electricity", "kilowatt_hour_(kwh)",
IF(Table2[[#This Row],[Type]]="water", "cubic_metre_(m3)",
IF(Table2[[#This Row],[Type]]="heat", "therm_(thm)",
"NA")))</f>
        <v>kilowatt_hour_(kwh)</v>
      </c>
      <c r="L177" s="1" t="s">
        <v>129</v>
      </c>
      <c r="M177" s="10">
        <f>IF(Table2[[#This Row],[Type]]="electricity", Table2[[#This Row],[Quantity_correct]]/6.6667,
IF(Table2[[#This Row],[Type]]="water", Table2[[#This Row],[Quantity_correct]]/3.333,
IF(Table2[[#This Row],[Type]]="heat", Table2[[#This Row],[Quantity_correct]]/0.8333,
"NA")))</f>
        <v>1787.9910600446999</v>
      </c>
      <c r="N177" s="1">
        <v>1788</v>
      </c>
    </row>
    <row r="178" spans="1:14" ht="12.5" hidden="1" x14ac:dyDescent="0.25">
      <c r="A178" s="1" t="s">
        <v>10</v>
      </c>
      <c r="B178" s="1" t="s">
        <v>10</v>
      </c>
      <c r="C178" s="1" t="str">
        <f>IF(OR(Table2[[#This Row],[units]]="litre_(l)", Table2[[#This Row],[units]]="gallon_(gal)", Table2[[#This Row],[units]]="cubic_metre_(m3)"), "water", Table2[[#This Row],[type2]])</f>
        <v>electricity</v>
      </c>
      <c r="D178" s="1" t="s">
        <v>128</v>
      </c>
      <c r="E178" s="3">
        <v>44933</v>
      </c>
      <c r="F178" s="8">
        <f t="shared" si="4"/>
        <v>45108</v>
      </c>
      <c r="G178" s="1" t="s">
        <v>71</v>
      </c>
      <c r="H178" s="8">
        <f t="shared" si="5"/>
        <v>45138</v>
      </c>
      <c r="I178" s="4">
        <v>12836</v>
      </c>
      <c r="J17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12836</v>
      </c>
      <c r="K178" s="4" t="str">
        <f>IF(Table2[[#This Row],[Type]]="electricity", "kilowatt_hour_(kwh)",
IF(Table2[[#This Row],[Type]]="water", "cubic_metre_(m3)",
IF(Table2[[#This Row],[Type]]="heat", "therm_(thm)",
"NA")))</f>
        <v>kilowatt_hour_(kwh)</v>
      </c>
      <c r="L178" s="1" t="s">
        <v>129</v>
      </c>
      <c r="M178" s="10">
        <f>IF(Table2[[#This Row],[Type]]="electricity", Table2[[#This Row],[Quantity_correct]]/6.6667,
IF(Table2[[#This Row],[Type]]="water", Table2[[#This Row],[Quantity_correct]]/3.333,
IF(Table2[[#This Row],[Type]]="heat", Table2[[#This Row],[Quantity_correct]]/0.8333,
"NA")))</f>
        <v>1925.390373048135</v>
      </c>
      <c r="N178" s="1">
        <v>1925.4</v>
      </c>
    </row>
    <row r="179" spans="1:14" ht="12.5" hidden="1" x14ac:dyDescent="0.25">
      <c r="A179" s="1" t="s">
        <v>10</v>
      </c>
      <c r="B179" s="1" t="s">
        <v>10</v>
      </c>
      <c r="C179" s="1" t="str">
        <f>IF(OR(Table2[[#This Row],[units]]="litre_(l)", Table2[[#This Row],[units]]="gallon_(gal)", Table2[[#This Row],[units]]="cubic_metre_(m3)"), "water", Table2[[#This Row],[type2]])</f>
        <v>electricity</v>
      </c>
      <c r="D179" s="1" t="s">
        <v>128</v>
      </c>
      <c r="E179" s="3">
        <v>44934</v>
      </c>
      <c r="F179" s="8">
        <f t="shared" si="4"/>
        <v>45139</v>
      </c>
      <c r="G179" s="1" t="s">
        <v>72</v>
      </c>
      <c r="H179" s="8">
        <f t="shared" si="5"/>
        <v>45169</v>
      </c>
      <c r="I179" s="4">
        <v>3928</v>
      </c>
      <c r="J17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3928</v>
      </c>
      <c r="K179" s="4" t="str">
        <f>IF(Table2[[#This Row],[Type]]="electricity", "kilowatt_hour_(kwh)",
IF(Table2[[#This Row],[Type]]="water", "cubic_metre_(m3)",
IF(Table2[[#This Row],[Type]]="heat", "therm_(thm)",
"NA")))</f>
        <v>kilowatt_hour_(kwh)</v>
      </c>
      <c r="L179" s="1" t="s">
        <v>129</v>
      </c>
      <c r="M179" s="10">
        <f>IF(Table2[[#This Row],[Type]]="electricity", Table2[[#This Row],[Quantity_correct]]/6.6667,
IF(Table2[[#This Row],[Type]]="water", Table2[[#This Row],[Quantity_correct]]/3.333,
IF(Table2[[#This Row],[Type]]="heat", Table2[[#This Row],[Quantity_correct]]/0.8333,
"NA")))</f>
        <v>589.19705401472993</v>
      </c>
      <c r="N179" s="1">
        <v>589.20000000000005</v>
      </c>
    </row>
    <row r="180" spans="1:14" ht="12.5" hidden="1" x14ac:dyDescent="0.25">
      <c r="A180" s="1" t="s">
        <v>10</v>
      </c>
      <c r="B180" s="1" t="s">
        <v>10</v>
      </c>
      <c r="C180" s="1" t="str">
        <f>IF(OR(Table2[[#This Row],[units]]="litre_(l)", Table2[[#This Row],[units]]="gallon_(gal)", Table2[[#This Row],[units]]="cubic_metre_(m3)"), "water", Table2[[#This Row],[type2]])</f>
        <v>electricity</v>
      </c>
      <c r="D180" s="1" t="s">
        <v>128</v>
      </c>
      <c r="E180" s="3">
        <v>44935</v>
      </c>
      <c r="F180" s="8">
        <f t="shared" si="4"/>
        <v>45170</v>
      </c>
      <c r="G180" s="1" t="s">
        <v>67</v>
      </c>
      <c r="H180" s="8">
        <f t="shared" si="5"/>
        <v>45199</v>
      </c>
      <c r="I180" s="4">
        <v>11570</v>
      </c>
      <c r="J18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11570</v>
      </c>
      <c r="K180" s="4" t="str">
        <f>IF(Table2[[#This Row],[Type]]="electricity", "kilowatt_hour_(kwh)",
IF(Table2[[#This Row],[Type]]="water", "cubic_metre_(m3)",
IF(Table2[[#This Row],[Type]]="heat", "therm_(thm)",
"NA")))</f>
        <v>kilowatt_hour_(kwh)</v>
      </c>
      <c r="L180" s="1" t="s">
        <v>129</v>
      </c>
      <c r="M180" s="10">
        <f>IF(Table2[[#This Row],[Type]]="electricity", Table2[[#This Row],[Quantity_correct]]/6.6667,
IF(Table2[[#This Row],[Type]]="water", Table2[[#This Row],[Quantity_correct]]/3.333,
IF(Table2[[#This Row],[Type]]="heat", Table2[[#This Row],[Quantity_correct]]/0.8333,
"NA")))</f>
        <v>1735.4913225433875</v>
      </c>
      <c r="N180" s="1">
        <v>1735.5</v>
      </c>
    </row>
    <row r="181" spans="1:14" ht="12.5" hidden="1" x14ac:dyDescent="0.25">
      <c r="A181" s="1" t="s">
        <v>10</v>
      </c>
      <c r="B181" s="1" t="s">
        <v>10</v>
      </c>
      <c r="C181" s="1" t="str">
        <f>IF(OR(Table2[[#This Row],[units]]="litre_(l)", Table2[[#This Row],[units]]="gallon_(gal)", Table2[[#This Row],[units]]="cubic_metre_(m3)"), "water", Table2[[#This Row],[type2]])</f>
        <v>electricity</v>
      </c>
      <c r="D181" s="1" t="s">
        <v>128</v>
      </c>
      <c r="E181" s="3">
        <v>44936</v>
      </c>
      <c r="F181" s="8">
        <f t="shared" si="4"/>
        <v>45200</v>
      </c>
      <c r="G181" s="1" t="s">
        <v>75</v>
      </c>
      <c r="H181" s="8">
        <f t="shared" si="5"/>
        <v>45230</v>
      </c>
      <c r="I181" s="4">
        <v>10259</v>
      </c>
      <c r="J18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10259</v>
      </c>
      <c r="K181" s="4" t="str">
        <f>IF(Table2[[#This Row],[Type]]="electricity", "kilowatt_hour_(kwh)",
IF(Table2[[#This Row],[Type]]="water", "cubic_metre_(m3)",
IF(Table2[[#This Row],[Type]]="heat", "therm_(thm)",
"NA")))</f>
        <v>kilowatt_hour_(kwh)</v>
      </c>
      <c r="L181" s="1" t="s">
        <v>129</v>
      </c>
      <c r="M181" s="10">
        <f>IF(Table2[[#This Row],[Type]]="electricity", Table2[[#This Row],[Quantity_correct]]/6.6667,
IF(Table2[[#This Row],[Type]]="water", Table2[[#This Row],[Quantity_correct]]/3.333,
IF(Table2[[#This Row],[Type]]="heat", Table2[[#This Row],[Quantity_correct]]/0.8333,
"NA")))</f>
        <v>1538.8423057884711</v>
      </c>
      <c r="N181" s="1">
        <v>1538.85</v>
      </c>
    </row>
    <row r="182" spans="1:14" ht="12.5" hidden="1" x14ac:dyDescent="0.25">
      <c r="A182" s="1" t="s">
        <v>10</v>
      </c>
      <c r="B182" s="1" t="s">
        <v>10</v>
      </c>
      <c r="C182" s="1" t="str">
        <f>IF(OR(Table2[[#This Row],[units]]="litre_(l)", Table2[[#This Row],[units]]="gallon_(gal)", Table2[[#This Row],[units]]="cubic_metre_(m3)"), "water", Table2[[#This Row],[type2]])</f>
        <v>electricity</v>
      </c>
      <c r="D182" s="1" t="s">
        <v>128</v>
      </c>
      <c r="E182" s="3">
        <v>44937</v>
      </c>
      <c r="F182" s="8">
        <f t="shared" si="4"/>
        <v>45231</v>
      </c>
      <c r="G182" s="1" t="s">
        <v>56</v>
      </c>
      <c r="H182" s="8">
        <f t="shared" si="5"/>
        <v>45260</v>
      </c>
      <c r="I182" s="4">
        <v>8992</v>
      </c>
      <c r="J18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8992</v>
      </c>
      <c r="K182" s="4" t="str">
        <f>IF(Table2[[#This Row],[Type]]="electricity", "kilowatt_hour_(kwh)",
IF(Table2[[#This Row],[Type]]="water", "cubic_metre_(m3)",
IF(Table2[[#This Row],[Type]]="heat", "therm_(thm)",
"NA")))</f>
        <v>kilowatt_hour_(kwh)</v>
      </c>
      <c r="L182" s="1" t="s">
        <v>129</v>
      </c>
      <c r="M182" s="10">
        <f>IF(Table2[[#This Row],[Type]]="electricity", Table2[[#This Row],[Quantity_correct]]/6.6667,
IF(Table2[[#This Row],[Type]]="water", Table2[[#This Row],[Quantity_correct]]/3.333,
IF(Table2[[#This Row],[Type]]="heat", Table2[[#This Row],[Quantity_correct]]/0.8333,
"NA")))</f>
        <v>1348.7932560337199</v>
      </c>
      <c r="N182" s="1">
        <v>1348.8</v>
      </c>
    </row>
    <row r="183" spans="1:14" ht="12.5" hidden="1" x14ac:dyDescent="0.25">
      <c r="A183" s="1" t="s">
        <v>10</v>
      </c>
      <c r="B183" s="1" t="s">
        <v>10</v>
      </c>
      <c r="C183" s="1" t="str">
        <f>IF(OR(Table2[[#This Row],[units]]="litre_(l)", Table2[[#This Row],[units]]="gallon_(gal)", Table2[[#This Row],[units]]="cubic_metre_(m3)"), "water", Table2[[#This Row],[type2]])</f>
        <v>electricity</v>
      </c>
      <c r="D183" s="1" t="s">
        <v>128</v>
      </c>
      <c r="E183" s="3">
        <v>44938</v>
      </c>
      <c r="F183" s="8">
        <f t="shared" si="4"/>
        <v>45261</v>
      </c>
      <c r="G183" s="1" t="s">
        <v>45</v>
      </c>
      <c r="H183" s="8">
        <f t="shared" si="5"/>
        <v>45291</v>
      </c>
      <c r="I183" s="4">
        <v>7387</v>
      </c>
      <c r="J18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7387</v>
      </c>
      <c r="K183" s="4" t="str">
        <f>IF(Table2[[#This Row],[Type]]="electricity", "kilowatt_hour_(kwh)",
IF(Table2[[#This Row],[Type]]="water", "cubic_metre_(m3)",
IF(Table2[[#This Row],[Type]]="heat", "therm_(thm)",
"NA")))</f>
        <v>kilowatt_hour_(kwh)</v>
      </c>
      <c r="L183" s="1" t="s">
        <v>129</v>
      </c>
      <c r="M183" s="10">
        <f>IF(Table2[[#This Row],[Type]]="electricity", Table2[[#This Row],[Quantity_correct]]/6.6667,
IF(Table2[[#This Row],[Type]]="water", Table2[[#This Row],[Quantity_correct]]/3.333,
IF(Table2[[#This Row],[Type]]="heat", Table2[[#This Row],[Quantity_correct]]/0.8333,
"NA")))</f>
        <v>1108.0444597777011</v>
      </c>
      <c r="N183" s="1">
        <v>1108.05</v>
      </c>
    </row>
    <row r="184" spans="1:14" ht="12.5" hidden="1" x14ac:dyDescent="0.25">
      <c r="A184" s="1" t="s">
        <v>10</v>
      </c>
      <c r="B184" s="1" t="s">
        <v>10</v>
      </c>
      <c r="C184" s="1" t="str">
        <f>IF(OR(Table2[[#This Row],[units]]="litre_(l)", Table2[[#This Row],[units]]="gallon_(gal)", Table2[[#This Row],[units]]="cubic_metre_(m3)"), "water", Table2[[#This Row],[type2]])</f>
        <v>water</v>
      </c>
      <c r="D184" s="1" t="s">
        <v>130</v>
      </c>
      <c r="E184" s="3">
        <v>44927</v>
      </c>
      <c r="F184" s="8">
        <f t="shared" si="4"/>
        <v>44927</v>
      </c>
      <c r="G184" s="3">
        <v>45266</v>
      </c>
      <c r="H184" s="8">
        <f t="shared" si="5"/>
        <v>45089</v>
      </c>
      <c r="I184" s="1">
        <v>132.86000000000001</v>
      </c>
      <c r="J18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132.86000000000001</v>
      </c>
      <c r="K184" s="4" t="str">
        <f>IF(Table2[[#This Row],[Type]]="electricity", "kilowatt_hour_(kwh)",
IF(Table2[[#This Row],[Type]]="water", "cubic_metre_(m3)",
IF(Table2[[#This Row],[Type]]="heat", "therm_(thm)",
"NA")))</f>
        <v>cubic_metre_(m3)</v>
      </c>
      <c r="L184" s="1" t="s">
        <v>133</v>
      </c>
      <c r="M184" s="10">
        <f>IF(Table2[[#This Row],[Type]]="electricity", Table2[[#This Row],[Quantity_correct]]/6.6667,
IF(Table2[[#This Row],[Type]]="water", Table2[[#This Row],[Quantity_correct]]/3.333,
IF(Table2[[#This Row],[Type]]="heat", Table2[[#This Row],[Quantity_correct]]/0.8333,
"NA")))</f>
        <v>39.861986198619867</v>
      </c>
      <c r="N184" s="1">
        <v>39.857999999999997</v>
      </c>
    </row>
    <row r="185" spans="1:14" ht="12.5" hidden="1" x14ac:dyDescent="0.25">
      <c r="A185" s="1" t="s">
        <v>10</v>
      </c>
      <c r="B185" s="1" t="s">
        <v>10</v>
      </c>
      <c r="C185" s="1" t="str">
        <f>IF(OR(Table2[[#This Row],[units]]="litre_(l)", Table2[[#This Row],[units]]="gallon_(gal)", Table2[[#This Row],[units]]="cubic_metre_(m3)"), "water", Table2[[#This Row],[type2]])</f>
        <v>water</v>
      </c>
      <c r="D185" s="1" t="s">
        <v>130</v>
      </c>
      <c r="E185" s="1" t="s">
        <v>164</v>
      </c>
      <c r="F185" s="8">
        <f t="shared" si="4"/>
        <v>45090</v>
      </c>
      <c r="G185" s="3">
        <v>45023</v>
      </c>
      <c r="H185" s="8">
        <f t="shared" si="5"/>
        <v>45111</v>
      </c>
      <c r="I185" s="1">
        <v>0</v>
      </c>
      <c r="J18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185" s="4" t="str">
        <f>IF(Table2[[#This Row],[Type]]="electricity", "kilowatt_hour_(kwh)",
IF(Table2[[#This Row],[Type]]="water", "cubic_metre_(m3)",
IF(Table2[[#This Row],[Type]]="heat", "therm_(thm)",
"NA")))</f>
        <v>cubic_metre_(m3)</v>
      </c>
      <c r="L185" s="1" t="s">
        <v>133</v>
      </c>
      <c r="M185" s="10">
        <f>IF(Table2[[#This Row],[Type]]="electricity", Table2[[#This Row],[Quantity_correct]]/6.6667,
IF(Table2[[#This Row],[Type]]="water", Table2[[#This Row],[Quantity_correct]]/3.333,
IF(Table2[[#This Row],[Type]]="heat", Table2[[#This Row],[Quantity_correct]]/0.8333,
"NA")))</f>
        <v>0</v>
      </c>
      <c r="N185" s="1">
        <v>0</v>
      </c>
    </row>
    <row r="186" spans="1:14" ht="12.5" hidden="1" x14ac:dyDescent="0.25">
      <c r="A186" s="1" t="s">
        <v>10</v>
      </c>
      <c r="B186" s="1" t="s">
        <v>10</v>
      </c>
      <c r="C186" s="1" t="str">
        <f>IF(OR(Table2[[#This Row],[units]]="litre_(l)", Table2[[#This Row],[units]]="gallon_(gal)", Table2[[#This Row],[units]]="cubic_metre_(m3)"), "water", Table2[[#This Row],[type2]])</f>
        <v>water</v>
      </c>
      <c r="D186" s="1" t="s">
        <v>130</v>
      </c>
      <c r="E186" s="3">
        <v>45023</v>
      </c>
      <c r="F186" s="8">
        <f t="shared" si="4"/>
        <v>45111</v>
      </c>
      <c r="G186" s="3">
        <v>44935</v>
      </c>
      <c r="H186" s="8">
        <f t="shared" si="5"/>
        <v>45170</v>
      </c>
      <c r="I186" s="1">
        <v>0</v>
      </c>
      <c r="J18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186" s="4" t="str">
        <f>IF(Table2[[#This Row],[Type]]="electricity", "kilowatt_hour_(kwh)",
IF(Table2[[#This Row],[Type]]="water", "cubic_metre_(m3)",
IF(Table2[[#This Row],[Type]]="heat", "therm_(thm)",
"NA")))</f>
        <v>cubic_metre_(m3)</v>
      </c>
      <c r="L186" s="1" t="s">
        <v>133</v>
      </c>
      <c r="M186" s="10">
        <f>IF(Table2[[#This Row],[Type]]="electricity", Table2[[#This Row],[Quantity_correct]]/6.6667,
IF(Table2[[#This Row],[Type]]="water", Table2[[#This Row],[Quantity_correct]]/3.333,
IF(Table2[[#This Row],[Type]]="heat", Table2[[#This Row],[Quantity_correct]]/0.8333,
"NA")))</f>
        <v>0</v>
      </c>
      <c r="N186" s="1">
        <v>0</v>
      </c>
    </row>
    <row r="187" spans="1:14" ht="12.5" hidden="1" x14ac:dyDescent="0.25">
      <c r="A187" s="1" t="s">
        <v>10</v>
      </c>
      <c r="B187" s="1" t="s">
        <v>10</v>
      </c>
      <c r="C187" s="1" t="str">
        <f>IF(OR(Table2[[#This Row],[units]]="litre_(l)", Table2[[#This Row],[units]]="gallon_(gal)", Table2[[#This Row],[units]]="cubic_metre_(m3)"), "water", Table2[[#This Row],[type2]])</f>
        <v>water</v>
      </c>
      <c r="D187" s="1" t="s">
        <v>130</v>
      </c>
      <c r="E187" s="3">
        <v>44935</v>
      </c>
      <c r="F187" s="8">
        <f t="shared" si="4"/>
        <v>45170</v>
      </c>
      <c r="G187" s="1" t="s">
        <v>75</v>
      </c>
      <c r="H187" s="8">
        <f t="shared" si="5"/>
        <v>45230</v>
      </c>
      <c r="I187" s="1">
        <v>71</v>
      </c>
      <c r="J18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71</v>
      </c>
      <c r="K187" s="4" t="str">
        <f>IF(Table2[[#This Row],[Type]]="electricity", "kilowatt_hour_(kwh)",
IF(Table2[[#This Row],[Type]]="water", "cubic_metre_(m3)",
IF(Table2[[#This Row],[Type]]="heat", "therm_(thm)",
"NA")))</f>
        <v>cubic_metre_(m3)</v>
      </c>
      <c r="L187" s="1" t="s">
        <v>133</v>
      </c>
      <c r="M187" s="10">
        <f>IF(Table2[[#This Row],[Type]]="electricity", Table2[[#This Row],[Quantity_correct]]/6.6667,
IF(Table2[[#This Row],[Type]]="water", Table2[[#This Row],[Quantity_correct]]/3.333,
IF(Table2[[#This Row],[Type]]="heat", Table2[[#This Row],[Quantity_correct]]/0.8333,
"NA")))</f>
        <v>21.3021302130213</v>
      </c>
      <c r="N187" s="1">
        <v>21.3</v>
      </c>
    </row>
    <row r="188" spans="1:14" ht="12.5" hidden="1" x14ac:dyDescent="0.25">
      <c r="A188" s="1" t="s">
        <v>10</v>
      </c>
      <c r="B188" s="1" t="s">
        <v>10</v>
      </c>
      <c r="C188" s="1" t="str">
        <f>IF(OR(Table2[[#This Row],[units]]="litre_(l)", Table2[[#This Row],[units]]="gallon_(gal)", Table2[[#This Row],[units]]="cubic_metre_(m3)"), "water", Table2[[#This Row],[type2]])</f>
        <v>water</v>
      </c>
      <c r="D188" s="1" t="s">
        <v>130</v>
      </c>
      <c r="E188" s="1" t="s">
        <v>75</v>
      </c>
      <c r="F188" s="8">
        <f t="shared" si="4"/>
        <v>45230</v>
      </c>
      <c r="G188" s="1" t="s">
        <v>165</v>
      </c>
      <c r="H188" s="8">
        <f t="shared" si="5"/>
        <v>45289</v>
      </c>
      <c r="I188" s="1">
        <v>115</v>
      </c>
      <c r="J18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115</v>
      </c>
      <c r="K188" s="4" t="str">
        <f>IF(Table2[[#This Row],[Type]]="electricity", "kilowatt_hour_(kwh)",
IF(Table2[[#This Row],[Type]]="water", "cubic_metre_(m3)",
IF(Table2[[#This Row],[Type]]="heat", "therm_(thm)",
"NA")))</f>
        <v>cubic_metre_(m3)</v>
      </c>
      <c r="L188" s="1" t="s">
        <v>133</v>
      </c>
      <c r="M188" s="10">
        <f>IF(Table2[[#This Row],[Type]]="electricity", Table2[[#This Row],[Quantity_correct]]/6.6667,
IF(Table2[[#This Row],[Type]]="water", Table2[[#This Row],[Quantity_correct]]/3.333,
IF(Table2[[#This Row],[Type]]="heat", Table2[[#This Row],[Quantity_correct]]/0.8333,
"NA")))</f>
        <v>34.503450345034501</v>
      </c>
      <c r="N188" s="1">
        <v>34.5</v>
      </c>
    </row>
    <row r="189" spans="1:14" ht="12.5" hidden="1" x14ac:dyDescent="0.25">
      <c r="A189" s="1" t="s">
        <v>11</v>
      </c>
      <c r="B189" s="1" t="s">
        <v>48</v>
      </c>
      <c r="C189" s="1" t="str">
        <f>IF(OR(Table2[[#This Row],[units]]="litre_(l)", Table2[[#This Row],[units]]="gallon_(gal)", Table2[[#This Row],[units]]="cubic_metre_(m3)"), "water", Table2[[#This Row],[type2]])</f>
        <v>electricity</v>
      </c>
      <c r="D189" s="1" t="s">
        <v>128</v>
      </c>
      <c r="E189" s="3">
        <v>44693</v>
      </c>
      <c r="F189" s="8">
        <f t="shared" si="4"/>
        <v>44900</v>
      </c>
      <c r="G189" s="3">
        <v>45017</v>
      </c>
      <c r="H189" s="8">
        <f t="shared" si="5"/>
        <v>44930</v>
      </c>
      <c r="I189" s="4">
        <v>1066</v>
      </c>
      <c r="J18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1066</v>
      </c>
      <c r="K189" s="4" t="str">
        <f>IF(Table2[[#This Row],[Type]]="electricity", "kilowatt_hour_(kwh)",
IF(Table2[[#This Row],[Type]]="water", "cubic_metre_(m3)",
IF(Table2[[#This Row],[Type]]="heat", "therm_(thm)",
"NA")))</f>
        <v>kilowatt_hour_(kwh)</v>
      </c>
      <c r="L189" s="1" t="s">
        <v>129</v>
      </c>
      <c r="M189" s="10">
        <f>IF(Table2[[#This Row],[Type]]="electricity", Table2[[#This Row],[Quantity_correct]]/6.6667,
IF(Table2[[#This Row],[Type]]="water", Table2[[#This Row],[Quantity_correct]]/3.333,
IF(Table2[[#This Row],[Type]]="heat", Table2[[#This Row],[Quantity_correct]]/0.8333,
"NA")))</f>
        <v>159.89920050399749</v>
      </c>
      <c r="N189" s="1">
        <v>159.9</v>
      </c>
    </row>
    <row r="190" spans="1:14" ht="12.5" hidden="1" x14ac:dyDescent="0.25">
      <c r="A190" s="1" t="s">
        <v>11</v>
      </c>
      <c r="B190" s="1" t="s">
        <v>48</v>
      </c>
      <c r="C190" s="1" t="str">
        <f>IF(OR(Table2[[#This Row],[units]]="litre_(l)", Table2[[#This Row],[units]]="gallon_(gal)", Table2[[#This Row],[units]]="cubic_metre_(m3)"), "water", Table2[[#This Row],[type2]])</f>
        <v>electricity</v>
      </c>
      <c r="D190" s="1" t="s">
        <v>128</v>
      </c>
      <c r="E190" s="3">
        <v>45047</v>
      </c>
      <c r="F190" s="8">
        <f t="shared" si="4"/>
        <v>44931</v>
      </c>
      <c r="G190" s="3">
        <v>44959</v>
      </c>
      <c r="H190" s="8">
        <f t="shared" si="5"/>
        <v>44959</v>
      </c>
      <c r="I190" s="4">
        <v>1195</v>
      </c>
      <c r="J19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1195</v>
      </c>
      <c r="K190" s="4" t="str">
        <f>IF(Table2[[#This Row],[Type]]="electricity", "kilowatt_hour_(kwh)",
IF(Table2[[#This Row],[Type]]="water", "cubic_metre_(m3)",
IF(Table2[[#This Row],[Type]]="heat", "therm_(thm)",
"NA")))</f>
        <v>kilowatt_hour_(kwh)</v>
      </c>
      <c r="L190" s="1" t="s">
        <v>129</v>
      </c>
      <c r="M190" s="10">
        <f>IF(Table2[[#This Row],[Type]]="electricity", Table2[[#This Row],[Quantity_correct]]/6.6667,
IF(Table2[[#This Row],[Type]]="water", Table2[[#This Row],[Quantity_correct]]/3.333,
IF(Table2[[#This Row],[Type]]="heat", Table2[[#This Row],[Quantity_correct]]/0.8333,
"NA")))</f>
        <v>179.24910375448124</v>
      </c>
      <c r="N190" s="1">
        <v>179.25</v>
      </c>
    </row>
    <row r="191" spans="1:14" ht="12.5" hidden="1" x14ac:dyDescent="0.25">
      <c r="A191" s="1" t="s">
        <v>11</v>
      </c>
      <c r="B191" s="1" t="s">
        <v>48</v>
      </c>
      <c r="C191" s="1" t="str">
        <f>IF(OR(Table2[[#This Row],[units]]="litre_(l)", Table2[[#This Row],[units]]="gallon_(gal)", Table2[[#This Row],[units]]="cubic_metre_(m3)"), "water", Table2[[#This Row],[type2]])</f>
        <v>electricity</v>
      </c>
      <c r="D191" s="1" t="s">
        <v>128</v>
      </c>
      <c r="E191" s="3">
        <v>44987</v>
      </c>
      <c r="F191" s="8">
        <f t="shared" si="4"/>
        <v>44960</v>
      </c>
      <c r="G191" s="3">
        <v>45019</v>
      </c>
      <c r="H191" s="8">
        <f t="shared" si="5"/>
        <v>44989</v>
      </c>
      <c r="I191" s="4">
        <v>1511</v>
      </c>
      <c r="J19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1511</v>
      </c>
      <c r="K191" s="4" t="str">
        <f>IF(Table2[[#This Row],[Type]]="electricity", "kilowatt_hour_(kwh)",
IF(Table2[[#This Row],[Type]]="water", "cubic_metre_(m3)",
IF(Table2[[#This Row],[Type]]="heat", "therm_(thm)",
"NA")))</f>
        <v>kilowatt_hour_(kwh)</v>
      </c>
      <c r="L191" s="1" t="s">
        <v>129</v>
      </c>
      <c r="M191" s="10">
        <f>IF(Table2[[#This Row],[Type]]="electricity", Table2[[#This Row],[Quantity_correct]]/6.6667,
IF(Table2[[#This Row],[Type]]="water", Table2[[#This Row],[Quantity_correct]]/3.333,
IF(Table2[[#This Row],[Type]]="heat", Table2[[#This Row],[Quantity_correct]]/0.8333,
"NA")))</f>
        <v>226.64886675566623</v>
      </c>
      <c r="N191" s="1">
        <v>226.65</v>
      </c>
    </row>
    <row r="192" spans="1:14" ht="12.5" hidden="1" x14ac:dyDescent="0.25">
      <c r="A192" s="1" t="s">
        <v>11</v>
      </c>
      <c r="B192" s="1" t="s">
        <v>48</v>
      </c>
      <c r="C192" s="1" t="str">
        <f>IF(OR(Table2[[#This Row],[units]]="litre_(l)", Table2[[#This Row],[units]]="gallon_(gal)", Table2[[#This Row],[units]]="cubic_metre_(m3)"), "water", Table2[[#This Row],[type2]])</f>
        <v>electricity</v>
      </c>
      <c r="D192" s="1" t="s">
        <v>128</v>
      </c>
      <c r="E192" s="3">
        <v>45049</v>
      </c>
      <c r="F192" s="8">
        <f t="shared" si="4"/>
        <v>44990</v>
      </c>
      <c r="G192" s="3">
        <v>44989</v>
      </c>
      <c r="H192" s="8">
        <f t="shared" si="5"/>
        <v>45019</v>
      </c>
      <c r="I192" s="4">
        <v>1352</v>
      </c>
      <c r="J19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1352</v>
      </c>
      <c r="K192" s="4" t="str">
        <f>IF(Table2[[#This Row],[Type]]="electricity", "kilowatt_hour_(kwh)",
IF(Table2[[#This Row],[Type]]="water", "cubic_metre_(m3)",
IF(Table2[[#This Row],[Type]]="heat", "therm_(thm)",
"NA")))</f>
        <v>kilowatt_hour_(kwh)</v>
      </c>
      <c r="L192" s="1" t="s">
        <v>129</v>
      </c>
      <c r="M192" s="10">
        <f>IF(Table2[[#This Row],[Type]]="electricity", Table2[[#This Row],[Quantity_correct]]/6.6667,
IF(Table2[[#This Row],[Type]]="water", Table2[[#This Row],[Quantity_correct]]/3.333,
IF(Table2[[#This Row],[Type]]="heat", Table2[[#This Row],[Quantity_correct]]/0.8333,
"NA")))</f>
        <v>202.79898600506999</v>
      </c>
      <c r="N192" s="1">
        <v>202.8</v>
      </c>
    </row>
    <row r="193" spans="1:14" ht="12.5" hidden="1" x14ac:dyDescent="0.25">
      <c r="A193" s="1" t="s">
        <v>11</v>
      </c>
      <c r="B193" s="1" t="s">
        <v>48</v>
      </c>
      <c r="C193" s="1" t="str">
        <f>IF(OR(Table2[[#This Row],[units]]="litre_(l)", Table2[[#This Row],[units]]="gallon_(gal)", Table2[[#This Row],[units]]="cubic_metre_(m3)"), "water", Table2[[#This Row],[type2]])</f>
        <v>electricity</v>
      </c>
      <c r="D193" s="1" t="s">
        <v>128</v>
      </c>
      <c r="E193" s="3">
        <v>45020</v>
      </c>
      <c r="F193" s="8">
        <f t="shared" si="4"/>
        <v>45020</v>
      </c>
      <c r="G193" s="3">
        <v>44990</v>
      </c>
      <c r="H193" s="8">
        <f t="shared" si="5"/>
        <v>45049</v>
      </c>
      <c r="I193" s="4">
        <v>1462</v>
      </c>
      <c r="J19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1462</v>
      </c>
      <c r="K193" s="4" t="str">
        <f>IF(Table2[[#This Row],[Type]]="electricity", "kilowatt_hour_(kwh)",
IF(Table2[[#This Row],[Type]]="water", "cubic_metre_(m3)",
IF(Table2[[#This Row],[Type]]="heat", "therm_(thm)",
"NA")))</f>
        <v>kilowatt_hour_(kwh)</v>
      </c>
      <c r="L193" s="1" t="s">
        <v>129</v>
      </c>
      <c r="M193" s="10">
        <f>IF(Table2[[#This Row],[Type]]="electricity", Table2[[#This Row],[Quantity_correct]]/6.6667,
IF(Table2[[#This Row],[Type]]="water", Table2[[#This Row],[Quantity_correct]]/3.333,
IF(Table2[[#This Row],[Type]]="heat", Table2[[#This Row],[Quantity_correct]]/0.8333,
"NA")))</f>
        <v>219.29890350548249</v>
      </c>
      <c r="N193" s="1">
        <v>219.3</v>
      </c>
    </row>
    <row r="194" spans="1:14" ht="12.5" hidden="1" x14ac:dyDescent="0.25">
      <c r="A194" s="1" t="s">
        <v>11</v>
      </c>
      <c r="B194" s="1" t="s">
        <v>48</v>
      </c>
      <c r="C194" s="1" t="str">
        <f>IF(OR(Table2[[#This Row],[units]]="litre_(l)", Table2[[#This Row],[units]]="gallon_(gal)", Table2[[#This Row],[units]]="cubic_metre_(m3)"), "water", Table2[[#This Row],[type2]])</f>
        <v>electricity</v>
      </c>
      <c r="D194" s="1" t="s">
        <v>128</v>
      </c>
      <c r="E194" s="3">
        <v>45021</v>
      </c>
      <c r="F194" s="8">
        <f t="shared" ref="F194:F257" si="6">DATE(RIGHT(TEXT(E194,"dd-mm-yyyy"),4), LEFT(TEXT(E194,"dd-mm-yyyy"),2),MID(TEXT(E194,"dd-mm-yyyy"),4,2))</f>
        <v>45050</v>
      </c>
      <c r="G194" s="3">
        <v>44991</v>
      </c>
      <c r="H194" s="8">
        <f t="shared" ref="H194:H257" si="7">DATE(RIGHT(TEXT(G194,"dd-mm-yyyy"),4), LEFT(TEXT(G194,"dd-mm-yyyy"),2),MID(TEXT(G194,"dd-mm-yyyy"),4,2))</f>
        <v>45080</v>
      </c>
      <c r="I194" s="4">
        <v>1602</v>
      </c>
      <c r="J19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1602</v>
      </c>
      <c r="K194" s="4" t="str">
        <f>IF(Table2[[#This Row],[Type]]="electricity", "kilowatt_hour_(kwh)",
IF(Table2[[#This Row],[Type]]="water", "cubic_metre_(m3)",
IF(Table2[[#This Row],[Type]]="heat", "therm_(thm)",
"NA")))</f>
        <v>kilowatt_hour_(kwh)</v>
      </c>
      <c r="L194" s="1" t="s">
        <v>129</v>
      </c>
      <c r="M194" s="10">
        <f>IF(Table2[[#This Row],[Type]]="electricity", Table2[[#This Row],[Quantity_correct]]/6.6667,
IF(Table2[[#This Row],[Type]]="water", Table2[[#This Row],[Quantity_correct]]/3.333,
IF(Table2[[#This Row],[Type]]="heat", Table2[[#This Row],[Quantity_correct]]/0.8333,
"NA")))</f>
        <v>240.29879850600747</v>
      </c>
      <c r="N194" s="1">
        <v>240.3</v>
      </c>
    </row>
    <row r="195" spans="1:14" ht="12.5" hidden="1" x14ac:dyDescent="0.25">
      <c r="A195" s="1" t="s">
        <v>11</v>
      </c>
      <c r="B195" s="1" t="s">
        <v>48</v>
      </c>
      <c r="C195" s="1" t="str">
        <f>IF(OR(Table2[[#This Row],[units]]="litre_(l)", Table2[[#This Row],[units]]="gallon_(gal)", Table2[[#This Row],[units]]="cubic_metre_(m3)"), "water", Table2[[#This Row],[type2]])</f>
        <v>electricity</v>
      </c>
      <c r="D195" s="1" t="s">
        <v>128</v>
      </c>
      <c r="E195" s="3">
        <v>45022</v>
      </c>
      <c r="F195" s="8">
        <f t="shared" si="6"/>
        <v>45081</v>
      </c>
      <c r="G195" s="3">
        <v>45023</v>
      </c>
      <c r="H195" s="8">
        <f t="shared" si="7"/>
        <v>45111</v>
      </c>
      <c r="I195" s="4">
        <v>1420</v>
      </c>
      <c r="J19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1420</v>
      </c>
      <c r="K195" s="4" t="str">
        <f>IF(Table2[[#This Row],[Type]]="electricity", "kilowatt_hour_(kwh)",
IF(Table2[[#This Row],[Type]]="water", "cubic_metre_(m3)",
IF(Table2[[#This Row],[Type]]="heat", "therm_(thm)",
"NA")))</f>
        <v>kilowatt_hour_(kwh)</v>
      </c>
      <c r="L195" s="1" t="s">
        <v>129</v>
      </c>
      <c r="M195" s="10">
        <f>IF(Table2[[#This Row],[Type]]="electricity", Table2[[#This Row],[Quantity_correct]]/6.6667,
IF(Table2[[#This Row],[Type]]="water", Table2[[#This Row],[Quantity_correct]]/3.333,
IF(Table2[[#This Row],[Type]]="heat", Table2[[#This Row],[Quantity_correct]]/0.8333,
"NA")))</f>
        <v>212.998935005325</v>
      </c>
      <c r="N195" s="1">
        <v>213</v>
      </c>
    </row>
    <row r="196" spans="1:14" ht="12.5" hidden="1" x14ac:dyDescent="0.25">
      <c r="A196" s="1" t="s">
        <v>11</v>
      </c>
      <c r="B196" s="1" t="s">
        <v>48</v>
      </c>
      <c r="C196" s="1" t="str">
        <f>IF(OR(Table2[[#This Row],[units]]="litre_(l)", Table2[[#This Row],[units]]="gallon_(gal)", Table2[[#This Row],[units]]="cubic_metre_(m3)"), "water", Table2[[#This Row],[type2]])</f>
        <v>electricity</v>
      </c>
      <c r="D196" s="1" t="s">
        <v>128</v>
      </c>
      <c r="E196" s="3">
        <v>45053</v>
      </c>
      <c r="F196" s="8">
        <f t="shared" si="6"/>
        <v>45112</v>
      </c>
      <c r="G196" s="3">
        <v>45024</v>
      </c>
      <c r="H196" s="8">
        <f t="shared" si="7"/>
        <v>45142</v>
      </c>
      <c r="I196" s="4">
        <v>1798</v>
      </c>
      <c r="J19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1798</v>
      </c>
      <c r="K196" s="4" t="str">
        <f>IF(Table2[[#This Row],[Type]]="electricity", "kilowatt_hour_(kwh)",
IF(Table2[[#This Row],[Type]]="water", "cubic_metre_(m3)",
IF(Table2[[#This Row],[Type]]="heat", "therm_(thm)",
"NA")))</f>
        <v>kilowatt_hour_(kwh)</v>
      </c>
      <c r="L196" s="1" t="s">
        <v>129</v>
      </c>
      <c r="M196" s="10">
        <f>IF(Table2[[#This Row],[Type]]="electricity", Table2[[#This Row],[Quantity_correct]]/6.6667,
IF(Table2[[#This Row],[Type]]="water", Table2[[#This Row],[Quantity_correct]]/3.333,
IF(Table2[[#This Row],[Type]]="heat", Table2[[#This Row],[Quantity_correct]]/0.8333,
"NA")))</f>
        <v>269.69865150674246</v>
      </c>
      <c r="N196" s="1">
        <v>269.7</v>
      </c>
    </row>
    <row r="197" spans="1:14" ht="12.5" hidden="1" x14ac:dyDescent="0.25">
      <c r="A197" s="1" t="s">
        <v>11</v>
      </c>
      <c r="B197" s="1" t="s">
        <v>48</v>
      </c>
      <c r="C197" s="1" t="str">
        <f>IF(OR(Table2[[#This Row],[units]]="litre_(l)", Table2[[#This Row],[units]]="gallon_(gal)", Table2[[#This Row],[units]]="cubic_metre_(m3)"), "water", Table2[[#This Row],[type2]])</f>
        <v>electricity</v>
      </c>
      <c r="D197" s="1" t="s">
        <v>128</v>
      </c>
      <c r="E197" s="3">
        <v>45054</v>
      </c>
      <c r="F197" s="8">
        <f t="shared" si="6"/>
        <v>45143</v>
      </c>
      <c r="G197" s="3">
        <v>45025</v>
      </c>
      <c r="H197" s="8">
        <f t="shared" si="7"/>
        <v>45173</v>
      </c>
      <c r="I197" s="4">
        <v>1908</v>
      </c>
      <c r="J19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1908</v>
      </c>
      <c r="K197" s="4" t="str">
        <f>IF(Table2[[#This Row],[Type]]="electricity", "kilowatt_hour_(kwh)",
IF(Table2[[#This Row],[Type]]="water", "cubic_metre_(m3)",
IF(Table2[[#This Row],[Type]]="heat", "therm_(thm)",
"NA")))</f>
        <v>kilowatt_hour_(kwh)</v>
      </c>
      <c r="L197" s="1" t="s">
        <v>129</v>
      </c>
      <c r="M197" s="10">
        <f>IF(Table2[[#This Row],[Type]]="electricity", Table2[[#This Row],[Quantity_correct]]/6.6667,
IF(Table2[[#This Row],[Type]]="water", Table2[[#This Row],[Quantity_correct]]/3.333,
IF(Table2[[#This Row],[Type]]="heat", Table2[[#This Row],[Quantity_correct]]/0.8333,
"NA")))</f>
        <v>286.19856900715496</v>
      </c>
      <c r="N197" s="1">
        <v>286.2</v>
      </c>
    </row>
    <row r="198" spans="1:14" ht="12.5" hidden="1" x14ac:dyDescent="0.25">
      <c r="A198" s="1" t="s">
        <v>11</v>
      </c>
      <c r="B198" s="1" t="s">
        <v>48</v>
      </c>
      <c r="C198" s="1" t="str">
        <f>IF(OR(Table2[[#This Row],[units]]="litre_(l)", Table2[[#This Row],[units]]="gallon_(gal)", Table2[[#This Row],[units]]="cubic_metre_(m3)"), "water", Table2[[#This Row],[type2]])</f>
        <v>electricity</v>
      </c>
      <c r="D198" s="1" t="s">
        <v>128</v>
      </c>
      <c r="E198" s="3">
        <v>45055</v>
      </c>
      <c r="F198" s="8">
        <f t="shared" si="6"/>
        <v>45174</v>
      </c>
      <c r="G198" s="3">
        <v>45026</v>
      </c>
      <c r="H198" s="8">
        <f t="shared" si="7"/>
        <v>45203</v>
      </c>
      <c r="I198" s="4">
        <v>1841</v>
      </c>
      <c r="J19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1841</v>
      </c>
      <c r="K198" s="4" t="str">
        <f>IF(Table2[[#This Row],[Type]]="electricity", "kilowatt_hour_(kwh)",
IF(Table2[[#This Row],[Type]]="water", "cubic_metre_(m3)",
IF(Table2[[#This Row],[Type]]="heat", "therm_(thm)",
"NA")))</f>
        <v>kilowatt_hour_(kwh)</v>
      </c>
      <c r="L198" s="1" t="s">
        <v>129</v>
      </c>
      <c r="M198" s="10">
        <f>IF(Table2[[#This Row],[Type]]="electricity", Table2[[#This Row],[Quantity_correct]]/6.6667,
IF(Table2[[#This Row],[Type]]="water", Table2[[#This Row],[Quantity_correct]]/3.333,
IF(Table2[[#This Row],[Type]]="heat", Table2[[#This Row],[Quantity_correct]]/0.8333,
"NA")))</f>
        <v>276.14861925690371</v>
      </c>
      <c r="N198" s="1">
        <v>276.14999999999998</v>
      </c>
    </row>
    <row r="199" spans="1:14" ht="12.5" hidden="1" x14ac:dyDescent="0.25">
      <c r="A199" s="1" t="s">
        <v>11</v>
      </c>
      <c r="B199" s="1" t="s">
        <v>48</v>
      </c>
      <c r="C199" s="1" t="str">
        <f>IF(OR(Table2[[#This Row],[units]]="litre_(l)", Table2[[#This Row],[units]]="gallon_(gal)", Table2[[#This Row],[units]]="cubic_metre_(m3)"), "water", Table2[[#This Row],[type2]])</f>
        <v>electricity</v>
      </c>
      <c r="D199" s="1" t="s">
        <v>128</v>
      </c>
      <c r="E199" s="3">
        <v>45056</v>
      </c>
      <c r="F199" s="8">
        <f t="shared" si="6"/>
        <v>45204</v>
      </c>
      <c r="G199" s="3">
        <v>44996</v>
      </c>
      <c r="H199" s="8">
        <f t="shared" si="7"/>
        <v>45233</v>
      </c>
      <c r="I199" s="4">
        <v>1717</v>
      </c>
      <c r="J19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1717</v>
      </c>
      <c r="K199" s="4" t="str">
        <f>IF(Table2[[#This Row],[Type]]="electricity", "kilowatt_hour_(kwh)",
IF(Table2[[#This Row],[Type]]="water", "cubic_metre_(m3)",
IF(Table2[[#This Row],[Type]]="heat", "therm_(thm)",
"NA")))</f>
        <v>kilowatt_hour_(kwh)</v>
      </c>
      <c r="L199" s="1" t="s">
        <v>129</v>
      </c>
      <c r="M199" s="10">
        <f>IF(Table2[[#This Row],[Type]]="electricity", Table2[[#This Row],[Quantity_correct]]/6.6667,
IF(Table2[[#This Row],[Type]]="water", Table2[[#This Row],[Quantity_correct]]/3.333,
IF(Table2[[#This Row],[Type]]="heat", Table2[[#This Row],[Quantity_correct]]/0.8333,
"NA")))</f>
        <v>257.54871225643871</v>
      </c>
      <c r="N199" s="1">
        <v>257.55</v>
      </c>
    </row>
    <row r="200" spans="1:14" ht="12.5" hidden="1" x14ac:dyDescent="0.25">
      <c r="A200" s="1" t="s">
        <v>11</v>
      </c>
      <c r="B200" s="1" t="s">
        <v>48</v>
      </c>
      <c r="C200" s="1" t="str">
        <f>IF(OR(Table2[[#This Row],[units]]="litre_(l)", Table2[[#This Row],[units]]="gallon_(gal)", Table2[[#This Row],[units]]="cubic_metre_(m3)"), "water", Table2[[#This Row],[type2]])</f>
        <v>electricity</v>
      </c>
      <c r="D200" s="1" t="s">
        <v>128</v>
      </c>
      <c r="E200" s="3">
        <v>45027</v>
      </c>
      <c r="F200" s="8">
        <f t="shared" si="6"/>
        <v>45234</v>
      </c>
      <c r="G200" s="3">
        <v>45028</v>
      </c>
      <c r="H200" s="8">
        <f t="shared" si="7"/>
        <v>45264</v>
      </c>
      <c r="I200" s="4">
        <v>1813</v>
      </c>
      <c r="J20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1813</v>
      </c>
      <c r="K200" s="4" t="str">
        <f>IF(Table2[[#This Row],[Type]]="electricity", "kilowatt_hour_(kwh)",
IF(Table2[[#This Row],[Type]]="water", "cubic_metre_(m3)",
IF(Table2[[#This Row],[Type]]="heat", "therm_(thm)",
"NA")))</f>
        <v>kilowatt_hour_(kwh)</v>
      </c>
      <c r="L200" s="1" t="s">
        <v>129</v>
      </c>
      <c r="M200" s="10">
        <f>IF(Table2[[#This Row],[Type]]="electricity", Table2[[#This Row],[Quantity_correct]]/6.6667,
IF(Table2[[#This Row],[Type]]="water", Table2[[#This Row],[Quantity_correct]]/3.333,
IF(Table2[[#This Row],[Type]]="heat", Table2[[#This Row],[Quantity_correct]]/0.8333,
"NA")))</f>
        <v>271.94864025679874</v>
      </c>
      <c r="N200" s="1">
        <v>271.95</v>
      </c>
    </row>
    <row r="201" spans="1:14" ht="12.5" hidden="1" x14ac:dyDescent="0.25">
      <c r="A201" s="1" t="s">
        <v>11</v>
      </c>
      <c r="B201" s="1" t="s">
        <v>48</v>
      </c>
      <c r="C201" s="1" t="str">
        <f>IF(OR(Table2[[#This Row],[units]]="litre_(l)", Table2[[#This Row],[units]]="gallon_(gal)", Table2[[#This Row],[units]]="cubic_metre_(m3)"), "water", Table2[[#This Row],[type2]])</f>
        <v>electricity</v>
      </c>
      <c r="D201" s="1" t="s">
        <v>128</v>
      </c>
      <c r="E201" s="3">
        <v>45058</v>
      </c>
      <c r="F201" s="8">
        <f t="shared" si="6"/>
        <v>45265</v>
      </c>
      <c r="G201" s="3">
        <v>45352</v>
      </c>
      <c r="H201" s="8">
        <f t="shared" si="7"/>
        <v>45294</v>
      </c>
      <c r="I201" s="4">
        <v>1721</v>
      </c>
      <c r="J20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1721</v>
      </c>
      <c r="K201" s="4" t="str">
        <f>IF(Table2[[#This Row],[Type]]="electricity", "kilowatt_hour_(kwh)",
IF(Table2[[#This Row],[Type]]="water", "cubic_metre_(m3)",
IF(Table2[[#This Row],[Type]]="heat", "therm_(thm)",
"NA")))</f>
        <v>kilowatt_hour_(kwh)</v>
      </c>
      <c r="L201" s="1" t="s">
        <v>129</v>
      </c>
      <c r="M201" s="10">
        <f>IF(Table2[[#This Row],[Type]]="electricity", Table2[[#This Row],[Quantity_correct]]/6.6667,
IF(Table2[[#This Row],[Type]]="water", Table2[[#This Row],[Quantity_correct]]/3.333,
IF(Table2[[#This Row],[Type]]="heat", Table2[[#This Row],[Quantity_correct]]/0.8333,
"NA")))</f>
        <v>258.14870925645374</v>
      </c>
      <c r="N201" s="1">
        <v>258.14999999999998</v>
      </c>
    </row>
    <row r="202" spans="1:14" ht="12.5" hidden="1" x14ac:dyDescent="0.25">
      <c r="A202" s="1" t="s">
        <v>11</v>
      </c>
      <c r="B202" s="1" t="s">
        <v>48</v>
      </c>
      <c r="C202" s="1" t="str">
        <f>IF(OR(Table2[[#This Row],[units]]="litre_(l)", Table2[[#This Row],[units]]="gallon_(gal)", Table2[[#This Row],[units]]="cubic_metre_(m3)"), "water", Table2[[#This Row],[type2]])</f>
        <v>water</v>
      </c>
      <c r="D202" s="1" t="s">
        <v>140</v>
      </c>
      <c r="E202" s="1" t="s">
        <v>166</v>
      </c>
      <c r="F202" s="8">
        <f t="shared" si="6"/>
        <v>45121</v>
      </c>
      <c r="G202" s="1" t="s">
        <v>166</v>
      </c>
      <c r="H202" s="8">
        <f t="shared" si="7"/>
        <v>45121</v>
      </c>
      <c r="I202" s="1">
        <v>20</v>
      </c>
      <c r="J20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7.5708200000000003E-2</v>
      </c>
      <c r="K202" s="4" t="str">
        <f>IF(Table2[[#This Row],[Type]]="electricity", "kilowatt_hour_(kwh)",
IF(Table2[[#This Row],[Type]]="water", "cubic_metre_(m3)",
IF(Table2[[#This Row],[Type]]="heat", "therm_(thm)",
"NA")))</f>
        <v>cubic_metre_(m3)</v>
      </c>
      <c r="L202" s="1" t="s">
        <v>167</v>
      </c>
      <c r="M202" s="10">
        <f>IF(Table2[[#This Row],[Type]]="electricity", Table2[[#This Row],[Quantity_correct]]/6.6667,
IF(Table2[[#This Row],[Type]]="water", Table2[[#This Row],[Quantity_correct]]/3.333,
IF(Table2[[#This Row],[Type]]="heat", Table2[[#This Row],[Quantity_correct]]/0.8333,
"NA")))</f>
        <v>2.2714731473147315E-2</v>
      </c>
      <c r="N202" s="1">
        <v>24</v>
      </c>
    </row>
    <row r="203" spans="1:14" ht="12.5" hidden="1" x14ac:dyDescent="0.25">
      <c r="A203" s="1" t="s">
        <v>11</v>
      </c>
      <c r="B203" s="1" t="s">
        <v>48</v>
      </c>
      <c r="C203" s="1" t="str">
        <f>IF(OR(Table2[[#This Row],[units]]="litre_(l)", Table2[[#This Row],[units]]="gallon_(gal)", Table2[[#This Row],[units]]="cubic_metre_(m3)"), "water", Table2[[#This Row],[type2]])</f>
        <v>water</v>
      </c>
      <c r="D203" s="1" t="s">
        <v>140</v>
      </c>
      <c r="E203" s="1" t="s">
        <v>168</v>
      </c>
      <c r="F203" s="8">
        <f t="shared" si="6"/>
        <v>45166</v>
      </c>
      <c r="G203" s="1" t="s">
        <v>168</v>
      </c>
      <c r="H203" s="8">
        <f t="shared" si="7"/>
        <v>45166</v>
      </c>
      <c r="I203" s="1">
        <v>16.22</v>
      </c>
      <c r="J20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6.1399350199999994E-2</v>
      </c>
      <c r="K203" s="4" t="str">
        <f>IF(Table2[[#This Row],[Type]]="electricity", "kilowatt_hour_(kwh)",
IF(Table2[[#This Row],[Type]]="water", "cubic_metre_(m3)",
IF(Table2[[#This Row],[Type]]="heat", "therm_(thm)",
"NA")))</f>
        <v>cubic_metre_(m3)</v>
      </c>
      <c r="L203" s="1" t="s">
        <v>167</v>
      </c>
      <c r="M203" s="10">
        <f>IF(Table2[[#This Row],[Type]]="electricity", Table2[[#This Row],[Quantity_correct]]/6.6667,
IF(Table2[[#This Row],[Type]]="water", Table2[[#This Row],[Quantity_correct]]/3.333,
IF(Table2[[#This Row],[Type]]="heat", Table2[[#This Row],[Quantity_correct]]/0.8333,
"NA")))</f>
        <v>1.8421647224722469E-2</v>
      </c>
      <c r="N203" s="1">
        <v>19.463999999999999</v>
      </c>
    </row>
    <row r="204" spans="1:14" ht="12.5" hidden="1" x14ac:dyDescent="0.25">
      <c r="A204" s="1" t="s">
        <v>11</v>
      </c>
      <c r="B204" s="1" t="s">
        <v>48</v>
      </c>
      <c r="C204" s="1" t="str">
        <f>IF(OR(Table2[[#This Row],[units]]="litre_(l)", Table2[[#This Row],[units]]="gallon_(gal)", Table2[[#This Row],[units]]="cubic_metre_(m3)"), "water", Table2[[#This Row],[type2]])</f>
        <v>water</v>
      </c>
      <c r="D204" s="1" t="s">
        <v>140</v>
      </c>
      <c r="E204" s="1" t="s">
        <v>136</v>
      </c>
      <c r="F204" s="8">
        <f t="shared" si="6"/>
        <v>45167</v>
      </c>
      <c r="G204" s="1" t="s">
        <v>136</v>
      </c>
      <c r="H204" s="8">
        <f t="shared" si="7"/>
        <v>45167</v>
      </c>
      <c r="I204" s="1">
        <v>16</v>
      </c>
      <c r="J20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6.0566559999999998E-2</v>
      </c>
      <c r="K204" s="4" t="str">
        <f>IF(Table2[[#This Row],[Type]]="electricity", "kilowatt_hour_(kwh)",
IF(Table2[[#This Row],[Type]]="water", "cubic_metre_(m3)",
IF(Table2[[#This Row],[Type]]="heat", "therm_(thm)",
"NA")))</f>
        <v>cubic_metre_(m3)</v>
      </c>
      <c r="L204" s="1" t="s">
        <v>167</v>
      </c>
      <c r="M204" s="10">
        <f>IF(Table2[[#This Row],[Type]]="electricity", Table2[[#This Row],[Quantity_correct]]/6.6667,
IF(Table2[[#This Row],[Type]]="water", Table2[[#This Row],[Quantity_correct]]/3.333,
IF(Table2[[#This Row],[Type]]="heat", Table2[[#This Row],[Quantity_correct]]/0.8333,
"NA")))</f>
        <v>1.8171785178517849E-2</v>
      </c>
      <c r="N204" s="1">
        <v>19.2</v>
      </c>
    </row>
    <row r="205" spans="1:14" ht="12.5" hidden="1" x14ac:dyDescent="0.25">
      <c r="A205" s="1" t="s">
        <v>11</v>
      </c>
      <c r="B205" s="1" t="s">
        <v>48</v>
      </c>
      <c r="C205" s="1" t="str">
        <f>IF(OR(Table2[[#This Row],[units]]="litre_(l)", Table2[[#This Row],[units]]="gallon_(gal)", Table2[[#This Row],[units]]="cubic_metre_(m3)"), "water", Table2[[#This Row],[type2]])</f>
        <v>water</v>
      </c>
      <c r="D205" s="1" t="s">
        <v>130</v>
      </c>
      <c r="E205" s="3">
        <v>44562</v>
      </c>
      <c r="F205" s="8">
        <f t="shared" si="6"/>
        <v>44562</v>
      </c>
      <c r="G205" s="1" t="s">
        <v>51</v>
      </c>
      <c r="H205" s="8">
        <f t="shared" si="7"/>
        <v>44926</v>
      </c>
      <c r="I205" s="1">
        <v>261</v>
      </c>
      <c r="J20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261</v>
      </c>
      <c r="K205" s="4" t="str">
        <f>IF(Table2[[#This Row],[Type]]="electricity", "kilowatt_hour_(kwh)",
IF(Table2[[#This Row],[Type]]="water", "cubic_metre_(m3)",
IF(Table2[[#This Row],[Type]]="heat", "therm_(thm)",
"NA")))</f>
        <v>cubic_metre_(m3)</v>
      </c>
      <c r="L205" s="1" t="s">
        <v>133</v>
      </c>
      <c r="M205" s="10">
        <f>IF(Table2[[#This Row],[Type]]="electricity", Table2[[#This Row],[Quantity_correct]]/6.6667,
IF(Table2[[#This Row],[Type]]="water", Table2[[#This Row],[Quantity_correct]]/3.333,
IF(Table2[[#This Row],[Type]]="heat", Table2[[#This Row],[Quantity_correct]]/0.8333,
"NA")))</f>
        <v>78.307830783078302</v>
      </c>
      <c r="N205" s="1">
        <v>78.3</v>
      </c>
    </row>
    <row r="206" spans="1:14" ht="12.5" hidden="1" x14ac:dyDescent="0.25">
      <c r="A206" s="1" t="s">
        <v>11</v>
      </c>
      <c r="B206" s="1" t="s">
        <v>48</v>
      </c>
      <c r="C206" s="1" t="str">
        <f>IF(OR(Table2[[#This Row],[units]]="litre_(l)", Table2[[#This Row],[units]]="gallon_(gal)", Table2[[#This Row],[units]]="cubic_metre_(m3)"), "water", Table2[[#This Row],[type2]])</f>
        <v>water</v>
      </c>
      <c r="D206" s="1" t="s">
        <v>130</v>
      </c>
      <c r="E206" s="3">
        <v>44927</v>
      </c>
      <c r="F206" s="8">
        <f t="shared" si="6"/>
        <v>44927</v>
      </c>
      <c r="G206" s="1" t="s">
        <v>68</v>
      </c>
      <c r="H206" s="8">
        <f t="shared" si="7"/>
        <v>44957</v>
      </c>
      <c r="I206" s="1">
        <v>9</v>
      </c>
      <c r="J20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v>
      </c>
      <c r="K206" s="4" t="str">
        <f>IF(Table2[[#This Row],[Type]]="electricity", "kilowatt_hour_(kwh)",
IF(Table2[[#This Row],[Type]]="water", "cubic_metre_(m3)",
IF(Table2[[#This Row],[Type]]="heat", "therm_(thm)",
"NA")))</f>
        <v>cubic_metre_(m3)</v>
      </c>
      <c r="L206" s="1" t="s">
        <v>133</v>
      </c>
      <c r="M206" s="10">
        <f>IF(Table2[[#This Row],[Type]]="electricity", Table2[[#This Row],[Quantity_correct]]/6.6667,
IF(Table2[[#This Row],[Type]]="water", Table2[[#This Row],[Quantity_correct]]/3.333,
IF(Table2[[#This Row],[Type]]="heat", Table2[[#This Row],[Quantity_correct]]/0.8333,
"NA")))</f>
        <v>2.7002700270027002</v>
      </c>
      <c r="N206" s="1">
        <v>2.7</v>
      </c>
    </row>
    <row r="207" spans="1:14" ht="12.5" hidden="1" x14ac:dyDescent="0.25">
      <c r="A207" s="1" t="s">
        <v>11</v>
      </c>
      <c r="B207" s="1" t="s">
        <v>48</v>
      </c>
      <c r="C207" s="1" t="str">
        <f>IF(OR(Table2[[#This Row],[units]]="litre_(l)", Table2[[#This Row],[units]]="gallon_(gal)", Table2[[#This Row],[units]]="cubic_metre_(m3)"), "water", Table2[[#This Row],[type2]])</f>
        <v>water</v>
      </c>
      <c r="D207" s="1" t="s">
        <v>130</v>
      </c>
      <c r="E207" s="3">
        <v>44928</v>
      </c>
      <c r="F207" s="8">
        <f t="shared" si="6"/>
        <v>44958</v>
      </c>
      <c r="G207" s="1" t="s">
        <v>65</v>
      </c>
      <c r="H207" s="8">
        <f t="shared" si="7"/>
        <v>44985</v>
      </c>
      <c r="I207" s="1">
        <v>10</v>
      </c>
      <c r="J20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v>
      </c>
      <c r="K207" s="4" t="str">
        <f>IF(Table2[[#This Row],[Type]]="electricity", "kilowatt_hour_(kwh)",
IF(Table2[[#This Row],[Type]]="water", "cubic_metre_(m3)",
IF(Table2[[#This Row],[Type]]="heat", "therm_(thm)",
"NA")))</f>
        <v>cubic_metre_(m3)</v>
      </c>
      <c r="L207" s="1" t="s">
        <v>133</v>
      </c>
      <c r="M207" s="10">
        <f>IF(Table2[[#This Row],[Type]]="electricity", Table2[[#This Row],[Quantity_correct]]/6.6667,
IF(Table2[[#This Row],[Type]]="water", Table2[[#This Row],[Quantity_correct]]/3.333,
IF(Table2[[#This Row],[Type]]="heat", Table2[[#This Row],[Quantity_correct]]/0.8333,
"NA")))</f>
        <v>3.0003000300030003</v>
      </c>
      <c r="N207" s="1">
        <v>3</v>
      </c>
    </row>
    <row r="208" spans="1:14" ht="12.5" hidden="1" x14ac:dyDescent="0.25">
      <c r="A208" s="1" t="s">
        <v>11</v>
      </c>
      <c r="B208" s="1" t="s">
        <v>48</v>
      </c>
      <c r="C208" s="1" t="str">
        <f>IF(OR(Table2[[#This Row],[units]]="litre_(l)", Table2[[#This Row],[units]]="gallon_(gal)", Table2[[#This Row],[units]]="cubic_metre_(m3)"), "water", Table2[[#This Row],[type2]])</f>
        <v>water</v>
      </c>
      <c r="D208" s="1" t="s">
        <v>130</v>
      </c>
      <c r="E208" s="3">
        <v>44929</v>
      </c>
      <c r="F208" s="8">
        <f t="shared" si="6"/>
        <v>44986</v>
      </c>
      <c r="G208" s="1" t="s">
        <v>74</v>
      </c>
      <c r="H208" s="8">
        <f t="shared" si="7"/>
        <v>45016</v>
      </c>
      <c r="I208" s="1">
        <v>11</v>
      </c>
      <c r="J20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v>
      </c>
      <c r="K208" s="4" t="str">
        <f>IF(Table2[[#This Row],[Type]]="electricity", "kilowatt_hour_(kwh)",
IF(Table2[[#This Row],[Type]]="water", "cubic_metre_(m3)",
IF(Table2[[#This Row],[Type]]="heat", "therm_(thm)",
"NA")))</f>
        <v>cubic_metre_(m3)</v>
      </c>
      <c r="L208" s="1" t="s">
        <v>133</v>
      </c>
      <c r="M208" s="10">
        <f>IF(Table2[[#This Row],[Type]]="electricity", Table2[[#This Row],[Quantity_correct]]/6.6667,
IF(Table2[[#This Row],[Type]]="water", Table2[[#This Row],[Quantity_correct]]/3.333,
IF(Table2[[#This Row],[Type]]="heat", Table2[[#This Row],[Quantity_correct]]/0.8333,
"NA")))</f>
        <v>3.3003300330033003</v>
      </c>
      <c r="N208" s="1">
        <v>3.3</v>
      </c>
    </row>
    <row r="209" spans="1:14" ht="12.5" hidden="1" x14ac:dyDescent="0.25">
      <c r="A209" s="1" t="s">
        <v>11</v>
      </c>
      <c r="B209" s="1" t="s">
        <v>48</v>
      </c>
      <c r="C209" s="1" t="str">
        <f>IF(OR(Table2[[#This Row],[units]]="litre_(l)", Table2[[#This Row],[units]]="gallon_(gal)", Table2[[#This Row],[units]]="cubic_metre_(m3)"), "water", Table2[[#This Row],[type2]])</f>
        <v>water</v>
      </c>
      <c r="D209" s="1" t="s">
        <v>130</v>
      </c>
      <c r="E209" s="3">
        <v>44930</v>
      </c>
      <c r="F209" s="8">
        <f t="shared" si="6"/>
        <v>45017</v>
      </c>
      <c r="G209" s="1" t="s">
        <v>103</v>
      </c>
      <c r="H209" s="8">
        <f t="shared" si="7"/>
        <v>45046</v>
      </c>
      <c r="I209" s="1">
        <v>9</v>
      </c>
      <c r="J20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v>
      </c>
      <c r="K209" s="4" t="str">
        <f>IF(Table2[[#This Row],[Type]]="electricity", "kilowatt_hour_(kwh)",
IF(Table2[[#This Row],[Type]]="water", "cubic_metre_(m3)",
IF(Table2[[#This Row],[Type]]="heat", "therm_(thm)",
"NA")))</f>
        <v>cubic_metre_(m3)</v>
      </c>
      <c r="L209" s="1" t="s">
        <v>133</v>
      </c>
      <c r="M209" s="10">
        <f>IF(Table2[[#This Row],[Type]]="electricity", Table2[[#This Row],[Quantity_correct]]/6.6667,
IF(Table2[[#This Row],[Type]]="water", Table2[[#This Row],[Quantity_correct]]/3.333,
IF(Table2[[#This Row],[Type]]="heat", Table2[[#This Row],[Quantity_correct]]/0.8333,
"NA")))</f>
        <v>2.7002700270027002</v>
      </c>
      <c r="N209" s="1">
        <v>2.7</v>
      </c>
    </row>
    <row r="210" spans="1:14" ht="12.5" hidden="1" x14ac:dyDescent="0.25">
      <c r="A210" s="1" t="s">
        <v>11</v>
      </c>
      <c r="B210" s="1" t="s">
        <v>48</v>
      </c>
      <c r="C210" s="1" t="str">
        <f>IF(OR(Table2[[#This Row],[units]]="litre_(l)", Table2[[#This Row],[units]]="gallon_(gal)", Table2[[#This Row],[units]]="cubic_metre_(m3)"), "water", Table2[[#This Row],[type2]])</f>
        <v>water</v>
      </c>
      <c r="D210" s="1" t="s">
        <v>130</v>
      </c>
      <c r="E210" s="3">
        <v>44931</v>
      </c>
      <c r="F210" s="8">
        <f t="shared" si="6"/>
        <v>45047</v>
      </c>
      <c r="G210" s="1" t="s">
        <v>73</v>
      </c>
      <c r="H210" s="8">
        <f t="shared" si="7"/>
        <v>45077</v>
      </c>
      <c r="I210" s="1">
        <v>20</v>
      </c>
      <c r="J21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v>
      </c>
      <c r="K210" s="4" t="str">
        <f>IF(Table2[[#This Row],[Type]]="electricity", "kilowatt_hour_(kwh)",
IF(Table2[[#This Row],[Type]]="water", "cubic_metre_(m3)",
IF(Table2[[#This Row],[Type]]="heat", "therm_(thm)",
"NA")))</f>
        <v>cubic_metre_(m3)</v>
      </c>
      <c r="L210" s="1" t="s">
        <v>133</v>
      </c>
      <c r="M210" s="10">
        <f>IF(Table2[[#This Row],[Type]]="electricity", Table2[[#This Row],[Quantity_correct]]/6.6667,
IF(Table2[[#This Row],[Type]]="water", Table2[[#This Row],[Quantity_correct]]/3.333,
IF(Table2[[#This Row],[Type]]="heat", Table2[[#This Row],[Quantity_correct]]/0.8333,
"NA")))</f>
        <v>6.0006000600060005</v>
      </c>
      <c r="N210" s="1">
        <v>6</v>
      </c>
    </row>
    <row r="211" spans="1:14" ht="12.5" hidden="1" x14ac:dyDescent="0.25">
      <c r="A211" s="1" t="s">
        <v>11</v>
      </c>
      <c r="B211" s="1" t="s">
        <v>48</v>
      </c>
      <c r="C211" s="1" t="str">
        <f>IF(OR(Table2[[#This Row],[units]]="litre_(l)", Table2[[#This Row],[units]]="gallon_(gal)", Table2[[#This Row],[units]]="cubic_metre_(m3)"), "water", Table2[[#This Row],[type2]])</f>
        <v>water</v>
      </c>
      <c r="D211" s="1" t="s">
        <v>130</v>
      </c>
      <c r="E211" s="3">
        <v>44932</v>
      </c>
      <c r="F211" s="8">
        <f t="shared" si="6"/>
        <v>45078</v>
      </c>
      <c r="G211" s="1" t="s">
        <v>69</v>
      </c>
      <c r="H211" s="8">
        <f t="shared" si="7"/>
        <v>45107</v>
      </c>
      <c r="I211" s="1">
        <v>10</v>
      </c>
      <c r="J21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v>
      </c>
      <c r="K211" s="4" t="str">
        <f>IF(Table2[[#This Row],[Type]]="electricity", "kilowatt_hour_(kwh)",
IF(Table2[[#This Row],[Type]]="water", "cubic_metre_(m3)",
IF(Table2[[#This Row],[Type]]="heat", "therm_(thm)",
"NA")))</f>
        <v>cubic_metre_(m3)</v>
      </c>
      <c r="L211" s="1" t="s">
        <v>133</v>
      </c>
      <c r="M211" s="10">
        <f>IF(Table2[[#This Row],[Type]]="electricity", Table2[[#This Row],[Quantity_correct]]/6.6667,
IF(Table2[[#This Row],[Type]]="water", Table2[[#This Row],[Quantity_correct]]/3.333,
IF(Table2[[#This Row],[Type]]="heat", Table2[[#This Row],[Quantity_correct]]/0.8333,
"NA")))</f>
        <v>3.0003000300030003</v>
      </c>
      <c r="N211" s="1">
        <v>3</v>
      </c>
    </row>
    <row r="212" spans="1:14" ht="12.5" hidden="1" x14ac:dyDescent="0.25">
      <c r="A212" s="1" t="s">
        <v>11</v>
      </c>
      <c r="B212" s="1" t="s">
        <v>48</v>
      </c>
      <c r="C212" s="1" t="str">
        <f>IF(OR(Table2[[#This Row],[units]]="litre_(l)", Table2[[#This Row],[units]]="gallon_(gal)", Table2[[#This Row],[units]]="cubic_metre_(m3)"), "water", Table2[[#This Row],[type2]])</f>
        <v>water</v>
      </c>
      <c r="D212" s="1" t="s">
        <v>130</v>
      </c>
      <c r="E212" s="3">
        <v>44933</v>
      </c>
      <c r="F212" s="8">
        <f t="shared" si="6"/>
        <v>45108</v>
      </c>
      <c r="G212" s="1" t="s">
        <v>71</v>
      </c>
      <c r="H212" s="8">
        <f t="shared" si="7"/>
        <v>45138</v>
      </c>
      <c r="I212" s="1">
        <v>13</v>
      </c>
      <c r="J21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v>
      </c>
      <c r="K212" s="4" t="str">
        <f>IF(Table2[[#This Row],[Type]]="electricity", "kilowatt_hour_(kwh)",
IF(Table2[[#This Row],[Type]]="water", "cubic_metre_(m3)",
IF(Table2[[#This Row],[Type]]="heat", "therm_(thm)",
"NA")))</f>
        <v>cubic_metre_(m3)</v>
      </c>
      <c r="L212" s="1" t="s">
        <v>133</v>
      </c>
      <c r="M212" s="10">
        <f>IF(Table2[[#This Row],[Type]]="electricity", Table2[[#This Row],[Quantity_correct]]/6.6667,
IF(Table2[[#This Row],[Type]]="water", Table2[[#This Row],[Quantity_correct]]/3.333,
IF(Table2[[#This Row],[Type]]="heat", Table2[[#This Row],[Quantity_correct]]/0.8333,
"NA")))</f>
        <v>3.9003900390039004</v>
      </c>
      <c r="N212" s="1">
        <v>3.9</v>
      </c>
    </row>
    <row r="213" spans="1:14" ht="12.5" hidden="1" x14ac:dyDescent="0.25">
      <c r="A213" s="1" t="s">
        <v>11</v>
      </c>
      <c r="B213" s="1" t="s">
        <v>48</v>
      </c>
      <c r="C213" s="1" t="str">
        <f>IF(OR(Table2[[#This Row],[units]]="litre_(l)", Table2[[#This Row],[units]]="gallon_(gal)", Table2[[#This Row],[units]]="cubic_metre_(m3)"), "water", Table2[[#This Row],[type2]])</f>
        <v>water</v>
      </c>
      <c r="D213" s="1" t="s">
        <v>130</v>
      </c>
      <c r="E213" s="3">
        <v>44934</v>
      </c>
      <c r="F213" s="8">
        <f t="shared" si="6"/>
        <v>45139</v>
      </c>
      <c r="G213" s="1" t="s">
        <v>72</v>
      </c>
      <c r="H213" s="8">
        <f t="shared" si="7"/>
        <v>45169</v>
      </c>
      <c r="I213" s="1">
        <v>27</v>
      </c>
      <c r="J21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27</v>
      </c>
      <c r="K213" s="4" t="str">
        <f>IF(Table2[[#This Row],[Type]]="electricity", "kilowatt_hour_(kwh)",
IF(Table2[[#This Row],[Type]]="water", "cubic_metre_(m3)",
IF(Table2[[#This Row],[Type]]="heat", "therm_(thm)",
"NA")))</f>
        <v>cubic_metre_(m3)</v>
      </c>
      <c r="L213" s="1" t="s">
        <v>133</v>
      </c>
      <c r="M213" s="10">
        <f>IF(Table2[[#This Row],[Type]]="electricity", Table2[[#This Row],[Quantity_correct]]/6.6667,
IF(Table2[[#This Row],[Type]]="water", Table2[[#This Row],[Quantity_correct]]/3.333,
IF(Table2[[#This Row],[Type]]="heat", Table2[[#This Row],[Quantity_correct]]/0.8333,
"NA")))</f>
        <v>8.1008100810081007</v>
      </c>
      <c r="N213" s="1">
        <v>8.1</v>
      </c>
    </row>
    <row r="214" spans="1:14" ht="12.5" hidden="1" x14ac:dyDescent="0.25">
      <c r="A214" s="1" t="s">
        <v>11</v>
      </c>
      <c r="B214" s="1" t="s">
        <v>48</v>
      </c>
      <c r="C214" s="1" t="str">
        <f>IF(OR(Table2[[#This Row],[units]]="litre_(l)", Table2[[#This Row],[units]]="gallon_(gal)", Table2[[#This Row],[units]]="cubic_metre_(m3)"), "water", Table2[[#This Row],[type2]])</f>
        <v>water</v>
      </c>
      <c r="D214" s="1" t="s">
        <v>130</v>
      </c>
      <c r="E214" s="3">
        <v>44935</v>
      </c>
      <c r="F214" s="8">
        <f t="shared" si="6"/>
        <v>45170</v>
      </c>
      <c r="G214" s="1" t="s">
        <v>67</v>
      </c>
      <c r="H214" s="8">
        <f t="shared" si="7"/>
        <v>45199</v>
      </c>
      <c r="I214" s="1">
        <v>13</v>
      </c>
      <c r="J21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v>
      </c>
      <c r="K214" s="4" t="str">
        <f>IF(Table2[[#This Row],[Type]]="electricity", "kilowatt_hour_(kwh)",
IF(Table2[[#This Row],[Type]]="water", "cubic_metre_(m3)",
IF(Table2[[#This Row],[Type]]="heat", "therm_(thm)",
"NA")))</f>
        <v>cubic_metre_(m3)</v>
      </c>
      <c r="L214" s="1" t="s">
        <v>133</v>
      </c>
      <c r="M214" s="10">
        <f>IF(Table2[[#This Row],[Type]]="electricity", Table2[[#This Row],[Quantity_correct]]/6.6667,
IF(Table2[[#This Row],[Type]]="water", Table2[[#This Row],[Quantity_correct]]/3.333,
IF(Table2[[#This Row],[Type]]="heat", Table2[[#This Row],[Quantity_correct]]/0.8333,
"NA")))</f>
        <v>3.9003900390039004</v>
      </c>
      <c r="N214" s="1">
        <v>3.9</v>
      </c>
    </row>
    <row r="215" spans="1:14" ht="12.5" hidden="1" x14ac:dyDescent="0.25">
      <c r="A215" s="1" t="s">
        <v>11</v>
      </c>
      <c r="B215" s="1" t="s">
        <v>48</v>
      </c>
      <c r="C215" s="1" t="str">
        <f>IF(OR(Table2[[#This Row],[units]]="litre_(l)", Table2[[#This Row],[units]]="gallon_(gal)", Table2[[#This Row],[units]]="cubic_metre_(m3)"), "water", Table2[[#This Row],[type2]])</f>
        <v>water</v>
      </c>
      <c r="D215" s="1" t="s">
        <v>130</v>
      </c>
      <c r="E215" s="3">
        <v>44936</v>
      </c>
      <c r="F215" s="8">
        <f t="shared" si="6"/>
        <v>45200</v>
      </c>
      <c r="G215" s="1" t="s">
        <v>75</v>
      </c>
      <c r="H215" s="8">
        <f t="shared" si="7"/>
        <v>45230</v>
      </c>
      <c r="I215" s="1">
        <v>14</v>
      </c>
      <c r="J21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v>
      </c>
      <c r="K215" s="4" t="str">
        <f>IF(Table2[[#This Row],[Type]]="electricity", "kilowatt_hour_(kwh)",
IF(Table2[[#This Row],[Type]]="water", "cubic_metre_(m3)",
IF(Table2[[#This Row],[Type]]="heat", "therm_(thm)",
"NA")))</f>
        <v>cubic_metre_(m3)</v>
      </c>
      <c r="L215" s="1" t="s">
        <v>133</v>
      </c>
      <c r="M215" s="10">
        <f>IF(Table2[[#This Row],[Type]]="electricity", Table2[[#This Row],[Quantity_correct]]/6.6667,
IF(Table2[[#This Row],[Type]]="water", Table2[[#This Row],[Quantity_correct]]/3.333,
IF(Table2[[#This Row],[Type]]="heat", Table2[[#This Row],[Quantity_correct]]/0.8333,
"NA")))</f>
        <v>4.2004200420042004</v>
      </c>
      <c r="N215" s="1">
        <v>4.2</v>
      </c>
    </row>
    <row r="216" spans="1:14" ht="12.5" hidden="1" x14ac:dyDescent="0.25">
      <c r="A216" s="1" t="s">
        <v>11</v>
      </c>
      <c r="B216" s="1" t="s">
        <v>48</v>
      </c>
      <c r="C216" s="1" t="str">
        <f>IF(OR(Table2[[#This Row],[units]]="litre_(l)", Table2[[#This Row],[units]]="gallon_(gal)", Table2[[#This Row],[units]]="cubic_metre_(m3)"), "water", Table2[[#This Row],[type2]])</f>
        <v>water</v>
      </c>
      <c r="D216" s="1" t="s">
        <v>130</v>
      </c>
      <c r="E216" s="3">
        <v>44937</v>
      </c>
      <c r="F216" s="8">
        <f t="shared" si="6"/>
        <v>45231</v>
      </c>
      <c r="G216" s="1" t="s">
        <v>56</v>
      </c>
      <c r="H216" s="8">
        <f t="shared" si="7"/>
        <v>45260</v>
      </c>
      <c r="I216" s="1">
        <v>13</v>
      </c>
      <c r="J21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v>
      </c>
      <c r="K216" s="4" t="str">
        <f>IF(Table2[[#This Row],[Type]]="electricity", "kilowatt_hour_(kwh)",
IF(Table2[[#This Row],[Type]]="water", "cubic_metre_(m3)",
IF(Table2[[#This Row],[Type]]="heat", "therm_(thm)",
"NA")))</f>
        <v>cubic_metre_(m3)</v>
      </c>
      <c r="L216" s="1" t="s">
        <v>133</v>
      </c>
      <c r="M216" s="10">
        <f>IF(Table2[[#This Row],[Type]]="electricity", Table2[[#This Row],[Quantity_correct]]/6.6667,
IF(Table2[[#This Row],[Type]]="water", Table2[[#This Row],[Quantity_correct]]/3.333,
IF(Table2[[#This Row],[Type]]="heat", Table2[[#This Row],[Quantity_correct]]/0.8333,
"NA")))</f>
        <v>3.9003900390039004</v>
      </c>
      <c r="N216" s="1">
        <v>3.9</v>
      </c>
    </row>
    <row r="217" spans="1:14" ht="12.5" hidden="1" x14ac:dyDescent="0.25">
      <c r="A217" s="1" t="s">
        <v>11</v>
      </c>
      <c r="B217" s="1" t="s">
        <v>53</v>
      </c>
      <c r="C217" s="1" t="str">
        <f>IF(OR(Table2[[#This Row],[units]]="litre_(l)", Table2[[#This Row],[units]]="gallon_(gal)", Table2[[#This Row],[units]]="cubic_metre_(m3)"), "water", Table2[[#This Row],[type2]])</f>
        <v>electricity</v>
      </c>
      <c r="D217" s="1" t="s">
        <v>128</v>
      </c>
      <c r="E217" s="3">
        <v>44693</v>
      </c>
      <c r="F217" s="8">
        <f t="shared" si="6"/>
        <v>44900</v>
      </c>
      <c r="G217" s="3">
        <v>45017</v>
      </c>
      <c r="H217" s="8">
        <f t="shared" si="7"/>
        <v>44930</v>
      </c>
      <c r="I217" s="1">
        <v>360</v>
      </c>
      <c r="J21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360</v>
      </c>
      <c r="K217" s="4" t="str">
        <f>IF(Table2[[#This Row],[Type]]="electricity", "kilowatt_hour_(kwh)",
IF(Table2[[#This Row],[Type]]="water", "cubic_metre_(m3)",
IF(Table2[[#This Row],[Type]]="heat", "therm_(thm)",
"NA")))</f>
        <v>kilowatt_hour_(kwh)</v>
      </c>
      <c r="L217" s="1" t="s">
        <v>129</v>
      </c>
      <c r="M217" s="10">
        <f>IF(Table2[[#This Row],[Type]]="electricity", Table2[[#This Row],[Quantity_correct]]/6.6667,
IF(Table2[[#This Row],[Type]]="water", Table2[[#This Row],[Quantity_correct]]/3.333,
IF(Table2[[#This Row],[Type]]="heat", Table2[[#This Row],[Quantity_correct]]/0.8333,
"NA")))</f>
        <v>53.999730001349995</v>
      </c>
      <c r="N217" s="1">
        <v>54</v>
      </c>
    </row>
    <row r="218" spans="1:14" ht="12.5" hidden="1" x14ac:dyDescent="0.25">
      <c r="A218" s="1" t="s">
        <v>11</v>
      </c>
      <c r="B218" s="1" t="s">
        <v>53</v>
      </c>
      <c r="C218" s="1" t="str">
        <f>IF(OR(Table2[[#This Row],[units]]="litre_(l)", Table2[[#This Row],[units]]="gallon_(gal)", Table2[[#This Row],[units]]="cubic_metre_(m3)"), "water", Table2[[#This Row],[type2]])</f>
        <v>electricity</v>
      </c>
      <c r="D218" s="1" t="s">
        <v>128</v>
      </c>
      <c r="E218" s="3">
        <v>45047</v>
      </c>
      <c r="F218" s="8">
        <f t="shared" si="6"/>
        <v>44931</v>
      </c>
      <c r="G218" s="3">
        <v>44959</v>
      </c>
      <c r="H218" s="8">
        <f t="shared" si="7"/>
        <v>44959</v>
      </c>
      <c r="I218" s="1">
        <v>340</v>
      </c>
      <c r="J21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340</v>
      </c>
      <c r="K218" s="4" t="str">
        <f>IF(Table2[[#This Row],[Type]]="electricity", "kilowatt_hour_(kwh)",
IF(Table2[[#This Row],[Type]]="water", "cubic_metre_(m3)",
IF(Table2[[#This Row],[Type]]="heat", "therm_(thm)",
"NA")))</f>
        <v>kilowatt_hour_(kwh)</v>
      </c>
      <c r="L218" s="1" t="s">
        <v>129</v>
      </c>
      <c r="M218" s="10">
        <f>IF(Table2[[#This Row],[Type]]="electricity", Table2[[#This Row],[Quantity_correct]]/6.6667,
IF(Table2[[#This Row],[Type]]="water", Table2[[#This Row],[Quantity_correct]]/3.333,
IF(Table2[[#This Row],[Type]]="heat", Table2[[#This Row],[Quantity_correct]]/0.8333,
"NA")))</f>
        <v>50.999745001274995</v>
      </c>
      <c r="N218" s="1">
        <v>51</v>
      </c>
    </row>
    <row r="219" spans="1:14" ht="12.5" hidden="1" x14ac:dyDescent="0.25">
      <c r="A219" s="1" t="s">
        <v>11</v>
      </c>
      <c r="B219" s="1" t="s">
        <v>53</v>
      </c>
      <c r="C219" s="1" t="str">
        <f>IF(OR(Table2[[#This Row],[units]]="litre_(l)", Table2[[#This Row],[units]]="gallon_(gal)", Table2[[#This Row],[units]]="cubic_metre_(m3)"), "water", Table2[[#This Row],[type2]])</f>
        <v>electricity</v>
      </c>
      <c r="D219" s="1" t="s">
        <v>128</v>
      </c>
      <c r="E219" s="3">
        <v>44987</v>
      </c>
      <c r="F219" s="8">
        <f t="shared" si="6"/>
        <v>44960</v>
      </c>
      <c r="G219" s="3">
        <v>45019</v>
      </c>
      <c r="H219" s="8">
        <f t="shared" si="7"/>
        <v>44989</v>
      </c>
      <c r="I219" s="1">
        <v>364</v>
      </c>
      <c r="J21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364</v>
      </c>
      <c r="K219" s="4" t="str">
        <f>IF(Table2[[#This Row],[Type]]="electricity", "kilowatt_hour_(kwh)",
IF(Table2[[#This Row],[Type]]="water", "cubic_metre_(m3)",
IF(Table2[[#This Row],[Type]]="heat", "therm_(thm)",
"NA")))</f>
        <v>kilowatt_hour_(kwh)</v>
      </c>
      <c r="L219" s="1" t="s">
        <v>129</v>
      </c>
      <c r="M219" s="10">
        <f>IF(Table2[[#This Row],[Type]]="electricity", Table2[[#This Row],[Quantity_correct]]/6.6667,
IF(Table2[[#This Row],[Type]]="water", Table2[[#This Row],[Quantity_correct]]/3.333,
IF(Table2[[#This Row],[Type]]="heat", Table2[[#This Row],[Quantity_correct]]/0.8333,
"NA")))</f>
        <v>54.599727001364997</v>
      </c>
      <c r="N219" s="1">
        <v>54.6</v>
      </c>
    </row>
    <row r="220" spans="1:14" ht="12.5" hidden="1" x14ac:dyDescent="0.25">
      <c r="A220" s="1" t="s">
        <v>11</v>
      </c>
      <c r="B220" s="1" t="s">
        <v>53</v>
      </c>
      <c r="C220" s="1" t="str">
        <f>IF(OR(Table2[[#This Row],[units]]="litre_(l)", Table2[[#This Row],[units]]="gallon_(gal)", Table2[[#This Row],[units]]="cubic_metre_(m3)"), "water", Table2[[#This Row],[type2]])</f>
        <v>electricity</v>
      </c>
      <c r="D220" s="1" t="s">
        <v>128</v>
      </c>
      <c r="E220" s="3">
        <v>45049</v>
      </c>
      <c r="F220" s="8">
        <f t="shared" si="6"/>
        <v>44990</v>
      </c>
      <c r="G220" s="3">
        <v>44989</v>
      </c>
      <c r="H220" s="8">
        <f t="shared" si="7"/>
        <v>45019</v>
      </c>
      <c r="I220" s="1">
        <v>395</v>
      </c>
      <c r="J22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395</v>
      </c>
      <c r="K220" s="4" t="str">
        <f>IF(Table2[[#This Row],[Type]]="electricity", "kilowatt_hour_(kwh)",
IF(Table2[[#This Row],[Type]]="water", "cubic_metre_(m3)",
IF(Table2[[#This Row],[Type]]="heat", "therm_(thm)",
"NA")))</f>
        <v>kilowatt_hour_(kwh)</v>
      </c>
      <c r="L220" s="1" t="s">
        <v>129</v>
      </c>
      <c r="M220" s="10">
        <f>IF(Table2[[#This Row],[Type]]="electricity", Table2[[#This Row],[Quantity_correct]]/6.6667,
IF(Table2[[#This Row],[Type]]="water", Table2[[#This Row],[Quantity_correct]]/3.333,
IF(Table2[[#This Row],[Type]]="heat", Table2[[#This Row],[Quantity_correct]]/0.8333,
"NA")))</f>
        <v>59.249703751481249</v>
      </c>
      <c r="N220" s="1">
        <v>59.25</v>
      </c>
    </row>
    <row r="221" spans="1:14" ht="12.5" hidden="1" x14ac:dyDescent="0.25">
      <c r="A221" s="1" t="s">
        <v>11</v>
      </c>
      <c r="B221" s="1" t="s">
        <v>53</v>
      </c>
      <c r="C221" s="1" t="str">
        <f>IF(OR(Table2[[#This Row],[units]]="litre_(l)", Table2[[#This Row],[units]]="gallon_(gal)", Table2[[#This Row],[units]]="cubic_metre_(m3)"), "water", Table2[[#This Row],[type2]])</f>
        <v>electricity</v>
      </c>
      <c r="D221" s="1" t="s">
        <v>128</v>
      </c>
      <c r="E221" s="3">
        <v>45020</v>
      </c>
      <c r="F221" s="8">
        <f t="shared" si="6"/>
        <v>45020</v>
      </c>
      <c r="G221" s="3">
        <v>44990</v>
      </c>
      <c r="H221" s="8">
        <f t="shared" si="7"/>
        <v>45049</v>
      </c>
      <c r="I221" s="1">
        <v>364</v>
      </c>
      <c r="J22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364</v>
      </c>
      <c r="K221" s="4" t="str">
        <f>IF(Table2[[#This Row],[Type]]="electricity", "kilowatt_hour_(kwh)",
IF(Table2[[#This Row],[Type]]="water", "cubic_metre_(m3)",
IF(Table2[[#This Row],[Type]]="heat", "therm_(thm)",
"NA")))</f>
        <v>kilowatt_hour_(kwh)</v>
      </c>
      <c r="L221" s="1" t="s">
        <v>129</v>
      </c>
      <c r="M221" s="10">
        <f>IF(Table2[[#This Row],[Type]]="electricity", Table2[[#This Row],[Quantity_correct]]/6.6667,
IF(Table2[[#This Row],[Type]]="water", Table2[[#This Row],[Quantity_correct]]/3.333,
IF(Table2[[#This Row],[Type]]="heat", Table2[[#This Row],[Quantity_correct]]/0.8333,
"NA")))</f>
        <v>54.599727001364997</v>
      </c>
      <c r="N221" s="1">
        <v>54.6</v>
      </c>
    </row>
    <row r="222" spans="1:14" ht="12.5" hidden="1" x14ac:dyDescent="0.25">
      <c r="A222" s="1" t="s">
        <v>11</v>
      </c>
      <c r="B222" s="1" t="s">
        <v>53</v>
      </c>
      <c r="C222" s="1" t="str">
        <f>IF(OR(Table2[[#This Row],[units]]="litre_(l)", Table2[[#This Row],[units]]="gallon_(gal)", Table2[[#This Row],[units]]="cubic_metre_(m3)"), "water", Table2[[#This Row],[type2]])</f>
        <v>electricity</v>
      </c>
      <c r="D222" s="1" t="s">
        <v>128</v>
      </c>
      <c r="E222" s="3">
        <v>45021</v>
      </c>
      <c r="F222" s="8">
        <f t="shared" si="6"/>
        <v>45050</v>
      </c>
      <c r="G222" s="3">
        <v>44991</v>
      </c>
      <c r="H222" s="8">
        <f t="shared" si="7"/>
        <v>45080</v>
      </c>
      <c r="I222" s="1">
        <v>395</v>
      </c>
      <c r="J22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395</v>
      </c>
      <c r="K222" s="4" t="str">
        <f>IF(Table2[[#This Row],[Type]]="electricity", "kilowatt_hour_(kwh)",
IF(Table2[[#This Row],[Type]]="water", "cubic_metre_(m3)",
IF(Table2[[#This Row],[Type]]="heat", "therm_(thm)",
"NA")))</f>
        <v>kilowatt_hour_(kwh)</v>
      </c>
      <c r="L222" s="1" t="s">
        <v>129</v>
      </c>
      <c r="M222" s="10">
        <f>IF(Table2[[#This Row],[Type]]="electricity", Table2[[#This Row],[Quantity_correct]]/6.6667,
IF(Table2[[#This Row],[Type]]="water", Table2[[#This Row],[Quantity_correct]]/3.333,
IF(Table2[[#This Row],[Type]]="heat", Table2[[#This Row],[Quantity_correct]]/0.8333,
"NA")))</f>
        <v>59.249703751481249</v>
      </c>
      <c r="N222" s="1">
        <v>59.25</v>
      </c>
    </row>
    <row r="223" spans="1:14" ht="12.5" hidden="1" x14ac:dyDescent="0.25">
      <c r="A223" s="1" t="s">
        <v>11</v>
      </c>
      <c r="B223" s="1" t="s">
        <v>53</v>
      </c>
      <c r="C223" s="1" t="str">
        <f>IF(OR(Table2[[#This Row],[units]]="litre_(l)", Table2[[#This Row],[units]]="gallon_(gal)", Table2[[#This Row],[units]]="cubic_metre_(m3)"), "water", Table2[[#This Row],[type2]])</f>
        <v>electricity</v>
      </c>
      <c r="D223" s="1" t="s">
        <v>128</v>
      </c>
      <c r="E223" s="3">
        <v>45022</v>
      </c>
      <c r="F223" s="8">
        <f t="shared" si="6"/>
        <v>45081</v>
      </c>
      <c r="G223" s="3">
        <v>45023</v>
      </c>
      <c r="H223" s="8">
        <f t="shared" si="7"/>
        <v>45111</v>
      </c>
      <c r="I223" s="1">
        <v>340</v>
      </c>
      <c r="J22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340</v>
      </c>
      <c r="K223" s="4" t="str">
        <f>IF(Table2[[#This Row],[Type]]="electricity", "kilowatt_hour_(kwh)",
IF(Table2[[#This Row],[Type]]="water", "cubic_metre_(m3)",
IF(Table2[[#This Row],[Type]]="heat", "therm_(thm)",
"NA")))</f>
        <v>kilowatt_hour_(kwh)</v>
      </c>
      <c r="L223" s="1" t="s">
        <v>129</v>
      </c>
      <c r="M223" s="10">
        <f>IF(Table2[[#This Row],[Type]]="electricity", Table2[[#This Row],[Quantity_correct]]/6.6667,
IF(Table2[[#This Row],[Type]]="water", Table2[[#This Row],[Quantity_correct]]/3.333,
IF(Table2[[#This Row],[Type]]="heat", Table2[[#This Row],[Quantity_correct]]/0.8333,
"NA")))</f>
        <v>50.999745001274995</v>
      </c>
      <c r="N223" s="1">
        <v>51</v>
      </c>
    </row>
    <row r="224" spans="1:14" ht="12.5" hidden="1" x14ac:dyDescent="0.25">
      <c r="A224" s="1" t="s">
        <v>11</v>
      </c>
      <c r="B224" s="1" t="s">
        <v>53</v>
      </c>
      <c r="C224" s="1" t="str">
        <f>IF(OR(Table2[[#This Row],[units]]="litre_(l)", Table2[[#This Row],[units]]="gallon_(gal)", Table2[[#This Row],[units]]="cubic_metre_(m3)"), "water", Table2[[#This Row],[type2]])</f>
        <v>electricity</v>
      </c>
      <c r="D224" s="1" t="s">
        <v>128</v>
      </c>
      <c r="E224" s="3">
        <v>45053</v>
      </c>
      <c r="F224" s="8">
        <f t="shared" si="6"/>
        <v>45112</v>
      </c>
      <c r="G224" s="3">
        <v>45024</v>
      </c>
      <c r="H224" s="8">
        <f t="shared" si="7"/>
        <v>45142</v>
      </c>
      <c r="I224" s="1">
        <v>467</v>
      </c>
      <c r="J22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467</v>
      </c>
      <c r="K224" s="4" t="str">
        <f>IF(Table2[[#This Row],[Type]]="electricity", "kilowatt_hour_(kwh)",
IF(Table2[[#This Row],[Type]]="water", "cubic_metre_(m3)",
IF(Table2[[#This Row],[Type]]="heat", "therm_(thm)",
"NA")))</f>
        <v>kilowatt_hour_(kwh)</v>
      </c>
      <c r="L224" s="1" t="s">
        <v>129</v>
      </c>
      <c r="M224" s="10">
        <f>IF(Table2[[#This Row],[Type]]="electricity", Table2[[#This Row],[Quantity_correct]]/6.6667,
IF(Table2[[#This Row],[Type]]="water", Table2[[#This Row],[Quantity_correct]]/3.333,
IF(Table2[[#This Row],[Type]]="heat", Table2[[#This Row],[Quantity_correct]]/0.8333,
"NA")))</f>
        <v>70.049649751751247</v>
      </c>
      <c r="N224" s="1">
        <v>70.05</v>
      </c>
    </row>
    <row r="225" spans="1:14" ht="12.5" hidden="1" x14ac:dyDescent="0.25">
      <c r="A225" s="1" t="s">
        <v>11</v>
      </c>
      <c r="B225" s="1" t="s">
        <v>53</v>
      </c>
      <c r="C225" s="1" t="str">
        <f>IF(OR(Table2[[#This Row],[units]]="litre_(l)", Table2[[#This Row],[units]]="gallon_(gal)", Table2[[#This Row],[units]]="cubic_metre_(m3)"), "water", Table2[[#This Row],[type2]])</f>
        <v>electricity</v>
      </c>
      <c r="D225" s="1" t="s">
        <v>128</v>
      </c>
      <c r="E225" s="3">
        <v>45054</v>
      </c>
      <c r="F225" s="8">
        <f t="shared" si="6"/>
        <v>45143</v>
      </c>
      <c r="G225" s="3">
        <v>45025</v>
      </c>
      <c r="H225" s="8">
        <f t="shared" si="7"/>
        <v>45173</v>
      </c>
      <c r="I225" s="1">
        <v>461</v>
      </c>
      <c r="J22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461</v>
      </c>
      <c r="K225" s="4" t="str">
        <f>IF(Table2[[#This Row],[Type]]="electricity", "kilowatt_hour_(kwh)",
IF(Table2[[#This Row],[Type]]="water", "cubic_metre_(m3)",
IF(Table2[[#This Row],[Type]]="heat", "therm_(thm)",
"NA")))</f>
        <v>kilowatt_hour_(kwh)</v>
      </c>
      <c r="L225" s="1" t="s">
        <v>129</v>
      </c>
      <c r="M225" s="10">
        <f>IF(Table2[[#This Row],[Type]]="electricity", Table2[[#This Row],[Quantity_correct]]/6.6667,
IF(Table2[[#This Row],[Type]]="water", Table2[[#This Row],[Quantity_correct]]/3.333,
IF(Table2[[#This Row],[Type]]="heat", Table2[[#This Row],[Quantity_correct]]/0.8333,
"NA")))</f>
        <v>69.149654251728748</v>
      </c>
      <c r="N225" s="1">
        <v>69.150000000000006</v>
      </c>
    </row>
    <row r="226" spans="1:14" ht="12.5" hidden="1" x14ac:dyDescent="0.25">
      <c r="A226" s="1" t="s">
        <v>11</v>
      </c>
      <c r="B226" s="1" t="s">
        <v>53</v>
      </c>
      <c r="C226" s="1" t="str">
        <f>IF(OR(Table2[[#This Row],[units]]="litre_(l)", Table2[[#This Row],[units]]="gallon_(gal)", Table2[[#This Row],[units]]="cubic_metre_(m3)"), "water", Table2[[#This Row],[type2]])</f>
        <v>electricity</v>
      </c>
      <c r="D226" s="1" t="s">
        <v>128</v>
      </c>
      <c r="E226" s="3">
        <v>45055</v>
      </c>
      <c r="F226" s="8">
        <f t="shared" si="6"/>
        <v>45174</v>
      </c>
      <c r="G226" s="3">
        <v>45026</v>
      </c>
      <c r="H226" s="8">
        <f t="shared" si="7"/>
        <v>45203</v>
      </c>
      <c r="I226" s="1">
        <v>581</v>
      </c>
      <c r="J22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581</v>
      </c>
      <c r="K226" s="4" t="str">
        <f>IF(Table2[[#This Row],[Type]]="electricity", "kilowatt_hour_(kwh)",
IF(Table2[[#This Row],[Type]]="water", "cubic_metre_(m3)",
IF(Table2[[#This Row],[Type]]="heat", "therm_(thm)",
"NA")))</f>
        <v>kilowatt_hour_(kwh)</v>
      </c>
      <c r="L226" s="1" t="s">
        <v>129</v>
      </c>
      <c r="M226" s="10">
        <f>IF(Table2[[#This Row],[Type]]="electricity", Table2[[#This Row],[Quantity_correct]]/6.6667,
IF(Table2[[#This Row],[Type]]="water", Table2[[#This Row],[Quantity_correct]]/3.333,
IF(Table2[[#This Row],[Type]]="heat", Table2[[#This Row],[Quantity_correct]]/0.8333,
"NA")))</f>
        <v>87.149564252178749</v>
      </c>
      <c r="N226" s="1">
        <v>87.15</v>
      </c>
    </row>
    <row r="227" spans="1:14" ht="12.5" hidden="1" x14ac:dyDescent="0.25">
      <c r="A227" s="1" t="s">
        <v>11</v>
      </c>
      <c r="B227" s="1" t="s">
        <v>53</v>
      </c>
      <c r="C227" s="1" t="str">
        <f>IF(OR(Table2[[#This Row],[units]]="litre_(l)", Table2[[#This Row],[units]]="gallon_(gal)", Table2[[#This Row],[units]]="cubic_metre_(m3)"), "water", Table2[[#This Row],[type2]])</f>
        <v>electricity</v>
      </c>
      <c r="D227" s="1" t="s">
        <v>128</v>
      </c>
      <c r="E227" s="3">
        <v>45056</v>
      </c>
      <c r="F227" s="8">
        <f t="shared" si="6"/>
        <v>45204</v>
      </c>
      <c r="G227" s="3">
        <v>44996</v>
      </c>
      <c r="H227" s="8">
        <f t="shared" si="7"/>
        <v>45233</v>
      </c>
      <c r="I227" s="1">
        <v>508</v>
      </c>
      <c r="J22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508</v>
      </c>
      <c r="K227" s="4" t="str">
        <f>IF(Table2[[#This Row],[Type]]="electricity", "kilowatt_hour_(kwh)",
IF(Table2[[#This Row],[Type]]="water", "cubic_metre_(m3)",
IF(Table2[[#This Row],[Type]]="heat", "therm_(thm)",
"NA")))</f>
        <v>kilowatt_hour_(kwh)</v>
      </c>
      <c r="L227" s="1" t="s">
        <v>129</v>
      </c>
      <c r="M227" s="10">
        <f>IF(Table2[[#This Row],[Type]]="electricity", Table2[[#This Row],[Quantity_correct]]/6.6667,
IF(Table2[[#This Row],[Type]]="water", Table2[[#This Row],[Quantity_correct]]/3.333,
IF(Table2[[#This Row],[Type]]="heat", Table2[[#This Row],[Quantity_correct]]/0.8333,
"NA")))</f>
        <v>76.199619001904992</v>
      </c>
      <c r="N227" s="1">
        <v>76.2</v>
      </c>
    </row>
    <row r="228" spans="1:14" ht="12.5" hidden="1" x14ac:dyDescent="0.25">
      <c r="A228" s="1" t="s">
        <v>11</v>
      </c>
      <c r="B228" s="1" t="s">
        <v>53</v>
      </c>
      <c r="C228" s="1" t="str">
        <f>IF(OR(Table2[[#This Row],[units]]="litre_(l)", Table2[[#This Row],[units]]="gallon_(gal)", Table2[[#This Row],[units]]="cubic_metre_(m3)"), "water", Table2[[#This Row],[type2]])</f>
        <v>electricity</v>
      </c>
      <c r="D228" s="1" t="s">
        <v>128</v>
      </c>
      <c r="E228" s="3">
        <v>45027</v>
      </c>
      <c r="F228" s="8">
        <f t="shared" si="6"/>
        <v>45234</v>
      </c>
      <c r="G228" s="3">
        <v>45028</v>
      </c>
      <c r="H228" s="8">
        <f t="shared" si="7"/>
        <v>45264</v>
      </c>
      <c r="I228" s="1">
        <v>316</v>
      </c>
      <c r="J22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316</v>
      </c>
      <c r="K228" s="4" t="str">
        <f>IF(Table2[[#This Row],[Type]]="electricity", "kilowatt_hour_(kwh)",
IF(Table2[[#This Row],[Type]]="water", "cubic_metre_(m3)",
IF(Table2[[#This Row],[Type]]="heat", "therm_(thm)",
"NA")))</f>
        <v>kilowatt_hour_(kwh)</v>
      </c>
      <c r="L228" s="1" t="s">
        <v>129</v>
      </c>
      <c r="M228" s="10">
        <f>IF(Table2[[#This Row],[Type]]="electricity", Table2[[#This Row],[Quantity_correct]]/6.6667,
IF(Table2[[#This Row],[Type]]="water", Table2[[#This Row],[Quantity_correct]]/3.333,
IF(Table2[[#This Row],[Type]]="heat", Table2[[#This Row],[Quantity_correct]]/0.8333,
"NA")))</f>
        <v>47.399763001184994</v>
      </c>
      <c r="N228" s="1">
        <v>47.4</v>
      </c>
    </row>
    <row r="229" spans="1:14" ht="12.5" hidden="1" x14ac:dyDescent="0.25">
      <c r="A229" s="1" t="s">
        <v>11</v>
      </c>
      <c r="B229" s="1" t="s">
        <v>53</v>
      </c>
      <c r="C229" s="1" t="str">
        <f>IF(OR(Table2[[#This Row],[units]]="litre_(l)", Table2[[#This Row],[units]]="gallon_(gal)", Table2[[#This Row],[units]]="cubic_metre_(m3)"), "water", Table2[[#This Row],[type2]])</f>
        <v>electricity</v>
      </c>
      <c r="D229" s="1" t="s">
        <v>128</v>
      </c>
      <c r="E229" s="3">
        <v>45058</v>
      </c>
      <c r="F229" s="8">
        <f t="shared" si="6"/>
        <v>45265</v>
      </c>
      <c r="G229" s="3">
        <v>45352</v>
      </c>
      <c r="H229" s="8">
        <f t="shared" si="7"/>
        <v>45294</v>
      </c>
      <c r="I229" s="1">
        <v>275</v>
      </c>
      <c r="J22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275</v>
      </c>
      <c r="K229" s="4" t="str">
        <f>IF(Table2[[#This Row],[Type]]="electricity", "kilowatt_hour_(kwh)",
IF(Table2[[#This Row],[Type]]="water", "cubic_metre_(m3)",
IF(Table2[[#This Row],[Type]]="heat", "therm_(thm)",
"NA")))</f>
        <v>kilowatt_hour_(kwh)</v>
      </c>
      <c r="L229" s="1" t="s">
        <v>129</v>
      </c>
      <c r="M229" s="10">
        <f>IF(Table2[[#This Row],[Type]]="electricity", Table2[[#This Row],[Quantity_correct]]/6.6667,
IF(Table2[[#This Row],[Type]]="water", Table2[[#This Row],[Quantity_correct]]/3.333,
IF(Table2[[#This Row],[Type]]="heat", Table2[[#This Row],[Quantity_correct]]/0.8333,
"NA")))</f>
        <v>41.249793751031248</v>
      </c>
      <c r="N229" s="1">
        <v>41.25</v>
      </c>
    </row>
    <row r="230" spans="1:14" ht="12.5" hidden="1" x14ac:dyDescent="0.25">
      <c r="A230" s="1" t="s">
        <v>11</v>
      </c>
      <c r="B230" s="1" t="s">
        <v>53</v>
      </c>
      <c r="C230" s="1" t="str">
        <f>IF(OR(Table2[[#This Row],[units]]="litre_(l)", Table2[[#This Row],[units]]="gallon_(gal)", Table2[[#This Row],[units]]="cubic_metre_(m3)"), "water", Table2[[#This Row],[type2]])</f>
        <v>water</v>
      </c>
      <c r="D230" s="1" t="s">
        <v>130</v>
      </c>
      <c r="E230" s="3">
        <v>44572</v>
      </c>
      <c r="F230" s="8">
        <f t="shared" si="6"/>
        <v>44866</v>
      </c>
      <c r="G230" s="1" t="s">
        <v>151</v>
      </c>
      <c r="H230" s="8">
        <f t="shared" si="7"/>
        <v>44895</v>
      </c>
      <c r="I230" s="1">
        <v>5</v>
      </c>
      <c r="J23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30" s="4" t="str">
        <f>IF(Table2[[#This Row],[Type]]="electricity", "kilowatt_hour_(kwh)",
IF(Table2[[#This Row],[Type]]="water", "cubic_metre_(m3)",
IF(Table2[[#This Row],[Type]]="heat", "therm_(thm)",
"NA")))</f>
        <v>cubic_metre_(m3)</v>
      </c>
      <c r="L230" s="1" t="s">
        <v>133</v>
      </c>
      <c r="M230" s="10">
        <f>IF(Table2[[#This Row],[Type]]="electricity", Table2[[#This Row],[Quantity_correct]]/6.6667,
IF(Table2[[#This Row],[Type]]="water", Table2[[#This Row],[Quantity_correct]]/3.333,
IF(Table2[[#This Row],[Type]]="heat", Table2[[#This Row],[Quantity_correct]]/0.8333,
"NA")))</f>
        <v>1.5001500150015001</v>
      </c>
      <c r="N230" s="1">
        <v>1.5</v>
      </c>
    </row>
    <row r="231" spans="1:14" ht="12.5" hidden="1" x14ac:dyDescent="0.25">
      <c r="A231" s="1" t="s">
        <v>11</v>
      </c>
      <c r="B231" s="1" t="s">
        <v>53</v>
      </c>
      <c r="C231" s="1" t="str">
        <f>IF(OR(Table2[[#This Row],[units]]="litre_(l)", Table2[[#This Row],[units]]="gallon_(gal)", Table2[[#This Row],[units]]="cubic_metre_(m3)"), "water", Table2[[#This Row],[type2]])</f>
        <v>water</v>
      </c>
      <c r="D231" s="1" t="s">
        <v>130</v>
      </c>
      <c r="E231" s="3">
        <v>44573</v>
      </c>
      <c r="F231" s="8">
        <f t="shared" si="6"/>
        <v>44896</v>
      </c>
      <c r="G231" s="1" t="s">
        <v>51</v>
      </c>
      <c r="H231" s="8">
        <f t="shared" si="7"/>
        <v>44926</v>
      </c>
      <c r="I231" s="1">
        <v>4</v>
      </c>
      <c r="J23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231" s="4" t="str">
        <f>IF(Table2[[#This Row],[Type]]="electricity", "kilowatt_hour_(kwh)",
IF(Table2[[#This Row],[Type]]="water", "cubic_metre_(m3)",
IF(Table2[[#This Row],[Type]]="heat", "therm_(thm)",
"NA")))</f>
        <v>cubic_metre_(m3)</v>
      </c>
      <c r="L231" s="1" t="s">
        <v>133</v>
      </c>
      <c r="M231" s="10">
        <f>IF(Table2[[#This Row],[Type]]="electricity", Table2[[#This Row],[Quantity_correct]]/6.6667,
IF(Table2[[#This Row],[Type]]="water", Table2[[#This Row],[Quantity_correct]]/3.333,
IF(Table2[[#This Row],[Type]]="heat", Table2[[#This Row],[Quantity_correct]]/0.8333,
"NA")))</f>
        <v>1.2001200120012001</v>
      </c>
      <c r="N231" s="1">
        <v>1.2</v>
      </c>
    </row>
    <row r="232" spans="1:14" ht="12.5" hidden="1" x14ac:dyDescent="0.25">
      <c r="A232" s="1" t="s">
        <v>11</v>
      </c>
      <c r="B232" s="1" t="s">
        <v>53</v>
      </c>
      <c r="C232" s="1" t="str">
        <f>IF(OR(Table2[[#This Row],[units]]="litre_(l)", Table2[[#This Row],[units]]="gallon_(gal)", Table2[[#This Row],[units]]="cubic_metre_(m3)"), "water", Table2[[#This Row],[type2]])</f>
        <v>water</v>
      </c>
      <c r="D232" s="1" t="s">
        <v>130</v>
      </c>
      <c r="E232" s="3">
        <v>44927</v>
      </c>
      <c r="F232" s="8">
        <f t="shared" si="6"/>
        <v>44927</v>
      </c>
      <c r="G232" s="1" t="s">
        <v>68</v>
      </c>
      <c r="H232" s="8">
        <f t="shared" si="7"/>
        <v>44957</v>
      </c>
      <c r="I232" s="1">
        <v>7</v>
      </c>
      <c r="J23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v>
      </c>
      <c r="K232" s="4" t="str">
        <f>IF(Table2[[#This Row],[Type]]="electricity", "kilowatt_hour_(kwh)",
IF(Table2[[#This Row],[Type]]="water", "cubic_metre_(m3)",
IF(Table2[[#This Row],[Type]]="heat", "therm_(thm)",
"NA")))</f>
        <v>cubic_metre_(m3)</v>
      </c>
      <c r="L232" s="1" t="s">
        <v>133</v>
      </c>
      <c r="M232" s="10">
        <f>IF(Table2[[#This Row],[Type]]="electricity", Table2[[#This Row],[Quantity_correct]]/6.6667,
IF(Table2[[#This Row],[Type]]="water", Table2[[#This Row],[Quantity_correct]]/3.333,
IF(Table2[[#This Row],[Type]]="heat", Table2[[#This Row],[Quantity_correct]]/0.8333,
"NA")))</f>
        <v>2.1002100210021002</v>
      </c>
      <c r="N232" s="1">
        <v>2.1</v>
      </c>
    </row>
    <row r="233" spans="1:14" ht="12.5" hidden="1" x14ac:dyDescent="0.25">
      <c r="A233" s="1" t="s">
        <v>11</v>
      </c>
      <c r="B233" s="1" t="s">
        <v>53</v>
      </c>
      <c r="C233" s="1" t="str">
        <f>IF(OR(Table2[[#This Row],[units]]="litre_(l)", Table2[[#This Row],[units]]="gallon_(gal)", Table2[[#This Row],[units]]="cubic_metre_(m3)"), "water", Table2[[#This Row],[type2]])</f>
        <v>water</v>
      </c>
      <c r="D233" s="1" t="s">
        <v>130</v>
      </c>
      <c r="E233" s="3">
        <v>44928</v>
      </c>
      <c r="F233" s="8">
        <f t="shared" si="6"/>
        <v>44958</v>
      </c>
      <c r="G233" s="1" t="s">
        <v>65</v>
      </c>
      <c r="H233" s="8">
        <f t="shared" si="7"/>
        <v>44985</v>
      </c>
      <c r="I233" s="1">
        <v>5</v>
      </c>
      <c r="J23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33" s="4" t="str">
        <f>IF(Table2[[#This Row],[Type]]="electricity", "kilowatt_hour_(kwh)",
IF(Table2[[#This Row],[Type]]="water", "cubic_metre_(m3)",
IF(Table2[[#This Row],[Type]]="heat", "therm_(thm)",
"NA")))</f>
        <v>cubic_metre_(m3)</v>
      </c>
      <c r="L233" s="1" t="s">
        <v>133</v>
      </c>
      <c r="M233" s="10">
        <f>IF(Table2[[#This Row],[Type]]="electricity", Table2[[#This Row],[Quantity_correct]]/6.6667,
IF(Table2[[#This Row],[Type]]="water", Table2[[#This Row],[Quantity_correct]]/3.333,
IF(Table2[[#This Row],[Type]]="heat", Table2[[#This Row],[Quantity_correct]]/0.8333,
"NA")))</f>
        <v>1.5001500150015001</v>
      </c>
      <c r="N233" s="1">
        <v>1.5</v>
      </c>
    </row>
    <row r="234" spans="1:14" ht="12.5" hidden="1" x14ac:dyDescent="0.25">
      <c r="A234" s="1" t="s">
        <v>11</v>
      </c>
      <c r="B234" s="1" t="s">
        <v>53</v>
      </c>
      <c r="C234" s="1" t="str">
        <f>IF(OR(Table2[[#This Row],[units]]="litre_(l)", Table2[[#This Row],[units]]="gallon_(gal)", Table2[[#This Row],[units]]="cubic_metre_(m3)"), "water", Table2[[#This Row],[type2]])</f>
        <v>water</v>
      </c>
      <c r="D234" s="1" t="s">
        <v>130</v>
      </c>
      <c r="E234" s="3">
        <v>44929</v>
      </c>
      <c r="F234" s="8">
        <f t="shared" si="6"/>
        <v>44986</v>
      </c>
      <c r="G234" s="1" t="s">
        <v>74</v>
      </c>
      <c r="H234" s="8">
        <f t="shared" si="7"/>
        <v>45016</v>
      </c>
      <c r="I234" s="1">
        <v>5</v>
      </c>
      <c r="J23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34" s="4" t="str">
        <f>IF(Table2[[#This Row],[Type]]="electricity", "kilowatt_hour_(kwh)",
IF(Table2[[#This Row],[Type]]="water", "cubic_metre_(m3)",
IF(Table2[[#This Row],[Type]]="heat", "therm_(thm)",
"NA")))</f>
        <v>cubic_metre_(m3)</v>
      </c>
      <c r="L234" s="1" t="s">
        <v>133</v>
      </c>
      <c r="M234" s="10">
        <f>IF(Table2[[#This Row],[Type]]="electricity", Table2[[#This Row],[Quantity_correct]]/6.6667,
IF(Table2[[#This Row],[Type]]="water", Table2[[#This Row],[Quantity_correct]]/3.333,
IF(Table2[[#This Row],[Type]]="heat", Table2[[#This Row],[Quantity_correct]]/0.8333,
"NA")))</f>
        <v>1.5001500150015001</v>
      </c>
      <c r="N234" s="1">
        <v>1.5</v>
      </c>
    </row>
    <row r="235" spans="1:14" ht="12.5" hidden="1" x14ac:dyDescent="0.25">
      <c r="A235" s="1" t="s">
        <v>11</v>
      </c>
      <c r="B235" s="1" t="s">
        <v>53</v>
      </c>
      <c r="C235" s="1" t="str">
        <f>IF(OR(Table2[[#This Row],[units]]="litre_(l)", Table2[[#This Row],[units]]="gallon_(gal)", Table2[[#This Row],[units]]="cubic_metre_(m3)"), "water", Table2[[#This Row],[type2]])</f>
        <v>water</v>
      </c>
      <c r="D235" s="1" t="s">
        <v>130</v>
      </c>
      <c r="E235" s="3">
        <v>44930</v>
      </c>
      <c r="F235" s="8">
        <f t="shared" si="6"/>
        <v>45017</v>
      </c>
      <c r="G235" s="1" t="s">
        <v>103</v>
      </c>
      <c r="H235" s="8">
        <f t="shared" si="7"/>
        <v>45046</v>
      </c>
      <c r="I235" s="1">
        <v>4</v>
      </c>
      <c r="J23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235" s="4" t="str">
        <f>IF(Table2[[#This Row],[Type]]="electricity", "kilowatt_hour_(kwh)",
IF(Table2[[#This Row],[Type]]="water", "cubic_metre_(m3)",
IF(Table2[[#This Row],[Type]]="heat", "therm_(thm)",
"NA")))</f>
        <v>cubic_metre_(m3)</v>
      </c>
      <c r="L235" s="1" t="s">
        <v>133</v>
      </c>
      <c r="M235" s="10">
        <f>IF(Table2[[#This Row],[Type]]="electricity", Table2[[#This Row],[Quantity_correct]]/6.6667,
IF(Table2[[#This Row],[Type]]="water", Table2[[#This Row],[Quantity_correct]]/3.333,
IF(Table2[[#This Row],[Type]]="heat", Table2[[#This Row],[Quantity_correct]]/0.8333,
"NA")))</f>
        <v>1.2001200120012001</v>
      </c>
      <c r="N235" s="1">
        <v>1.2</v>
      </c>
    </row>
    <row r="236" spans="1:14" ht="12.5" hidden="1" x14ac:dyDescent="0.25">
      <c r="A236" s="1" t="s">
        <v>11</v>
      </c>
      <c r="B236" s="1" t="s">
        <v>53</v>
      </c>
      <c r="C236" s="1" t="str">
        <f>IF(OR(Table2[[#This Row],[units]]="litre_(l)", Table2[[#This Row],[units]]="gallon_(gal)", Table2[[#This Row],[units]]="cubic_metre_(m3)"), "water", Table2[[#This Row],[type2]])</f>
        <v>water</v>
      </c>
      <c r="D236" s="1" t="s">
        <v>130</v>
      </c>
      <c r="E236" s="3">
        <v>44931</v>
      </c>
      <c r="F236" s="8">
        <f t="shared" si="6"/>
        <v>45047</v>
      </c>
      <c r="G236" s="1" t="s">
        <v>73</v>
      </c>
      <c r="H236" s="8">
        <f t="shared" si="7"/>
        <v>45077</v>
      </c>
      <c r="I236" s="1">
        <v>6</v>
      </c>
      <c r="J23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v>
      </c>
      <c r="K236" s="4" t="str">
        <f>IF(Table2[[#This Row],[Type]]="electricity", "kilowatt_hour_(kwh)",
IF(Table2[[#This Row],[Type]]="water", "cubic_metre_(m3)",
IF(Table2[[#This Row],[Type]]="heat", "therm_(thm)",
"NA")))</f>
        <v>cubic_metre_(m3)</v>
      </c>
      <c r="L236" s="1" t="s">
        <v>133</v>
      </c>
      <c r="M236" s="10">
        <f>IF(Table2[[#This Row],[Type]]="electricity", Table2[[#This Row],[Quantity_correct]]/6.6667,
IF(Table2[[#This Row],[Type]]="water", Table2[[#This Row],[Quantity_correct]]/3.333,
IF(Table2[[#This Row],[Type]]="heat", Table2[[#This Row],[Quantity_correct]]/0.8333,
"NA")))</f>
        <v>1.8001800180018002</v>
      </c>
      <c r="N236" s="1">
        <v>1.8</v>
      </c>
    </row>
    <row r="237" spans="1:14" ht="12.5" hidden="1" x14ac:dyDescent="0.25">
      <c r="A237" s="1" t="s">
        <v>11</v>
      </c>
      <c r="B237" s="1" t="s">
        <v>53</v>
      </c>
      <c r="C237" s="1" t="str">
        <f>IF(OR(Table2[[#This Row],[units]]="litre_(l)", Table2[[#This Row],[units]]="gallon_(gal)", Table2[[#This Row],[units]]="cubic_metre_(m3)"), "water", Table2[[#This Row],[type2]])</f>
        <v>water</v>
      </c>
      <c r="D237" s="1" t="s">
        <v>130</v>
      </c>
      <c r="E237" s="3">
        <v>44932</v>
      </c>
      <c r="F237" s="8">
        <f t="shared" si="6"/>
        <v>45078</v>
      </c>
      <c r="G237" s="1" t="s">
        <v>69</v>
      </c>
      <c r="H237" s="8">
        <f t="shared" si="7"/>
        <v>45107</v>
      </c>
      <c r="I237" s="1">
        <v>22</v>
      </c>
      <c r="J23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22</v>
      </c>
      <c r="K237" s="4" t="str">
        <f>IF(Table2[[#This Row],[Type]]="electricity", "kilowatt_hour_(kwh)",
IF(Table2[[#This Row],[Type]]="water", "cubic_metre_(m3)",
IF(Table2[[#This Row],[Type]]="heat", "therm_(thm)",
"NA")))</f>
        <v>cubic_metre_(m3)</v>
      </c>
      <c r="L237" s="1" t="s">
        <v>133</v>
      </c>
      <c r="M237" s="10">
        <f>IF(Table2[[#This Row],[Type]]="electricity", Table2[[#This Row],[Quantity_correct]]/6.6667,
IF(Table2[[#This Row],[Type]]="water", Table2[[#This Row],[Quantity_correct]]/3.333,
IF(Table2[[#This Row],[Type]]="heat", Table2[[#This Row],[Quantity_correct]]/0.8333,
"NA")))</f>
        <v>6.6006600660066006</v>
      </c>
      <c r="N237" s="1">
        <v>6.6</v>
      </c>
    </row>
    <row r="238" spans="1:14" ht="12.5" hidden="1" x14ac:dyDescent="0.25">
      <c r="A238" s="1" t="s">
        <v>11</v>
      </c>
      <c r="B238" s="1" t="s">
        <v>53</v>
      </c>
      <c r="C238" s="1" t="str">
        <f>IF(OR(Table2[[#This Row],[units]]="litre_(l)", Table2[[#This Row],[units]]="gallon_(gal)", Table2[[#This Row],[units]]="cubic_metre_(m3)"), "water", Table2[[#This Row],[type2]])</f>
        <v>water</v>
      </c>
      <c r="D238" s="1" t="s">
        <v>130</v>
      </c>
      <c r="E238" s="3">
        <v>44933</v>
      </c>
      <c r="F238" s="8">
        <f t="shared" si="6"/>
        <v>45108</v>
      </c>
      <c r="G238" s="1" t="s">
        <v>71</v>
      </c>
      <c r="H238" s="8">
        <f t="shared" si="7"/>
        <v>45138</v>
      </c>
      <c r="I238" s="1">
        <v>5</v>
      </c>
      <c r="J23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38" s="4" t="str">
        <f>IF(Table2[[#This Row],[Type]]="electricity", "kilowatt_hour_(kwh)",
IF(Table2[[#This Row],[Type]]="water", "cubic_metre_(m3)",
IF(Table2[[#This Row],[Type]]="heat", "therm_(thm)",
"NA")))</f>
        <v>cubic_metre_(m3)</v>
      </c>
      <c r="L238" s="1" t="s">
        <v>133</v>
      </c>
      <c r="M238" s="10">
        <f>IF(Table2[[#This Row],[Type]]="electricity", Table2[[#This Row],[Quantity_correct]]/6.6667,
IF(Table2[[#This Row],[Type]]="water", Table2[[#This Row],[Quantity_correct]]/3.333,
IF(Table2[[#This Row],[Type]]="heat", Table2[[#This Row],[Quantity_correct]]/0.8333,
"NA")))</f>
        <v>1.5001500150015001</v>
      </c>
      <c r="N238" s="1">
        <v>1.5</v>
      </c>
    </row>
    <row r="239" spans="1:14" ht="12.5" hidden="1" x14ac:dyDescent="0.25">
      <c r="A239" s="1" t="s">
        <v>11</v>
      </c>
      <c r="B239" s="1" t="s">
        <v>53</v>
      </c>
      <c r="C239" s="1" t="str">
        <f>IF(OR(Table2[[#This Row],[units]]="litre_(l)", Table2[[#This Row],[units]]="gallon_(gal)", Table2[[#This Row],[units]]="cubic_metre_(m3)"), "water", Table2[[#This Row],[type2]])</f>
        <v>water</v>
      </c>
      <c r="D239" s="1" t="s">
        <v>130</v>
      </c>
      <c r="E239" s="3">
        <v>44934</v>
      </c>
      <c r="F239" s="8">
        <f t="shared" si="6"/>
        <v>45139</v>
      </c>
      <c r="G239" s="1" t="s">
        <v>72</v>
      </c>
      <c r="H239" s="8">
        <f t="shared" si="7"/>
        <v>45169</v>
      </c>
      <c r="I239" s="1">
        <v>5</v>
      </c>
      <c r="J23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39" s="4" t="str">
        <f>IF(Table2[[#This Row],[Type]]="electricity", "kilowatt_hour_(kwh)",
IF(Table2[[#This Row],[Type]]="water", "cubic_metre_(m3)",
IF(Table2[[#This Row],[Type]]="heat", "therm_(thm)",
"NA")))</f>
        <v>cubic_metre_(m3)</v>
      </c>
      <c r="L239" s="1" t="s">
        <v>133</v>
      </c>
      <c r="M239" s="10">
        <f>IF(Table2[[#This Row],[Type]]="electricity", Table2[[#This Row],[Quantity_correct]]/6.6667,
IF(Table2[[#This Row],[Type]]="water", Table2[[#This Row],[Quantity_correct]]/3.333,
IF(Table2[[#This Row],[Type]]="heat", Table2[[#This Row],[Quantity_correct]]/0.8333,
"NA")))</f>
        <v>1.5001500150015001</v>
      </c>
      <c r="N239" s="1">
        <v>1.5</v>
      </c>
    </row>
    <row r="240" spans="1:14" ht="12.5" hidden="1" x14ac:dyDescent="0.25">
      <c r="A240" s="1" t="s">
        <v>11</v>
      </c>
      <c r="B240" s="1" t="s">
        <v>53</v>
      </c>
      <c r="C240" s="1" t="str">
        <f>IF(OR(Table2[[#This Row],[units]]="litre_(l)", Table2[[#This Row],[units]]="gallon_(gal)", Table2[[#This Row],[units]]="cubic_metre_(m3)"), "water", Table2[[#This Row],[type2]])</f>
        <v>water</v>
      </c>
      <c r="D240" s="1" t="s">
        <v>130</v>
      </c>
      <c r="E240" s="3">
        <v>44935</v>
      </c>
      <c r="F240" s="8">
        <f t="shared" si="6"/>
        <v>45170</v>
      </c>
      <c r="G240" s="1" t="s">
        <v>67</v>
      </c>
      <c r="H240" s="8">
        <f t="shared" si="7"/>
        <v>45199</v>
      </c>
      <c r="I240" s="1">
        <v>5</v>
      </c>
      <c r="J24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40" s="4" t="str">
        <f>IF(Table2[[#This Row],[Type]]="electricity", "kilowatt_hour_(kwh)",
IF(Table2[[#This Row],[Type]]="water", "cubic_metre_(m3)",
IF(Table2[[#This Row],[Type]]="heat", "therm_(thm)",
"NA")))</f>
        <v>cubic_metre_(m3)</v>
      </c>
      <c r="L240" s="1" t="s">
        <v>133</v>
      </c>
      <c r="M240" s="10">
        <f>IF(Table2[[#This Row],[Type]]="electricity", Table2[[#This Row],[Quantity_correct]]/6.6667,
IF(Table2[[#This Row],[Type]]="water", Table2[[#This Row],[Quantity_correct]]/3.333,
IF(Table2[[#This Row],[Type]]="heat", Table2[[#This Row],[Quantity_correct]]/0.8333,
"NA")))</f>
        <v>1.5001500150015001</v>
      </c>
      <c r="N240" s="1">
        <v>1.5</v>
      </c>
    </row>
    <row r="241" spans="1:14" ht="12.5" hidden="1" x14ac:dyDescent="0.25">
      <c r="A241" s="1" t="s">
        <v>11</v>
      </c>
      <c r="B241" s="1" t="s">
        <v>53</v>
      </c>
      <c r="C241" s="1" t="str">
        <f>IF(OR(Table2[[#This Row],[units]]="litre_(l)", Table2[[#This Row],[units]]="gallon_(gal)", Table2[[#This Row],[units]]="cubic_metre_(m3)"), "water", Table2[[#This Row],[type2]])</f>
        <v>water</v>
      </c>
      <c r="D241" s="1" t="s">
        <v>130</v>
      </c>
      <c r="E241" s="3">
        <v>44936</v>
      </c>
      <c r="F241" s="8">
        <f t="shared" si="6"/>
        <v>45200</v>
      </c>
      <c r="G241" s="1" t="s">
        <v>75</v>
      </c>
      <c r="H241" s="8">
        <f t="shared" si="7"/>
        <v>45230</v>
      </c>
      <c r="I241" s="1">
        <v>4</v>
      </c>
      <c r="J24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241" s="4" t="str">
        <f>IF(Table2[[#This Row],[Type]]="electricity", "kilowatt_hour_(kwh)",
IF(Table2[[#This Row],[Type]]="water", "cubic_metre_(m3)",
IF(Table2[[#This Row],[Type]]="heat", "therm_(thm)",
"NA")))</f>
        <v>cubic_metre_(m3)</v>
      </c>
      <c r="L241" s="1" t="s">
        <v>133</v>
      </c>
      <c r="M241" s="10">
        <f>IF(Table2[[#This Row],[Type]]="electricity", Table2[[#This Row],[Quantity_correct]]/6.6667,
IF(Table2[[#This Row],[Type]]="water", Table2[[#This Row],[Quantity_correct]]/3.333,
IF(Table2[[#This Row],[Type]]="heat", Table2[[#This Row],[Quantity_correct]]/0.8333,
"NA")))</f>
        <v>1.2001200120012001</v>
      </c>
      <c r="N241" s="1">
        <v>1.2</v>
      </c>
    </row>
    <row r="242" spans="1:14" ht="12.5" hidden="1" x14ac:dyDescent="0.25">
      <c r="A242" s="1" t="s">
        <v>11</v>
      </c>
      <c r="B242" s="1" t="s">
        <v>53</v>
      </c>
      <c r="C242" s="1" t="str">
        <f>IF(OR(Table2[[#This Row],[units]]="litre_(l)", Table2[[#This Row],[units]]="gallon_(gal)", Table2[[#This Row],[units]]="cubic_metre_(m3)"), "water", Table2[[#This Row],[type2]])</f>
        <v>water</v>
      </c>
      <c r="D242" s="1" t="s">
        <v>130</v>
      </c>
      <c r="E242" s="3">
        <v>44937</v>
      </c>
      <c r="F242" s="8">
        <f t="shared" si="6"/>
        <v>45231</v>
      </c>
      <c r="G242" s="1" t="s">
        <v>56</v>
      </c>
      <c r="H242" s="8">
        <f t="shared" si="7"/>
        <v>45260</v>
      </c>
      <c r="I242" s="1">
        <v>5</v>
      </c>
      <c r="J24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242" s="4" t="str">
        <f>IF(Table2[[#This Row],[Type]]="electricity", "kilowatt_hour_(kwh)",
IF(Table2[[#This Row],[Type]]="water", "cubic_metre_(m3)",
IF(Table2[[#This Row],[Type]]="heat", "therm_(thm)",
"NA")))</f>
        <v>cubic_metre_(m3)</v>
      </c>
      <c r="L242" s="1" t="s">
        <v>133</v>
      </c>
      <c r="M242" s="10">
        <f>IF(Table2[[#This Row],[Type]]="electricity", Table2[[#This Row],[Quantity_correct]]/6.6667,
IF(Table2[[#This Row],[Type]]="water", Table2[[#This Row],[Quantity_correct]]/3.333,
IF(Table2[[#This Row],[Type]]="heat", Table2[[#This Row],[Quantity_correct]]/0.8333,
"NA")))</f>
        <v>1.5001500150015001</v>
      </c>
      <c r="N242" s="1">
        <v>1.5</v>
      </c>
    </row>
    <row r="243" spans="1:14" ht="12.5" hidden="1" x14ac:dyDescent="0.25">
      <c r="A243" s="1" t="s">
        <v>12</v>
      </c>
      <c r="B243" s="1" t="s">
        <v>169</v>
      </c>
      <c r="C243" s="1" t="str">
        <f>IF(OR(Table2[[#This Row],[units]]="litre_(l)", Table2[[#This Row],[units]]="gallon_(gal)", Table2[[#This Row],[units]]="cubic_metre_(m3)"), "water", Table2[[#This Row],[type2]])</f>
        <v>electricity</v>
      </c>
      <c r="D243" s="1" t="s">
        <v>128</v>
      </c>
      <c r="E243" s="1" t="s">
        <v>170</v>
      </c>
      <c r="F243" s="8">
        <f t="shared" si="6"/>
        <v>44461</v>
      </c>
      <c r="G243" s="3">
        <v>44874</v>
      </c>
      <c r="H243" s="8">
        <f t="shared" si="7"/>
        <v>44815</v>
      </c>
      <c r="I243" s="4">
        <v>9109</v>
      </c>
      <c r="J24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9109</v>
      </c>
      <c r="K243" s="4" t="str">
        <f>IF(Table2[[#This Row],[Type]]="electricity", "kilowatt_hour_(kwh)",
IF(Table2[[#This Row],[Type]]="water", "cubic_metre_(m3)",
IF(Table2[[#This Row],[Type]]="heat", "therm_(thm)",
"NA")))</f>
        <v>kilowatt_hour_(kwh)</v>
      </c>
      <c r="L243" s="1" t="s">
        <v>129</v>
      </c>
      <c r="M243" s="10">
        <f>IF(Table2[[#This Row],[Type]]="electricity", Table2[[#This Row],[Quantity_correct]]/6.6667,
IF(Table2[[#This Row],[Type]]="water", Table2[[#This Row],[Quantity_correct]]/3.333,
IF(Table2[[#This Row],[Type]]="heat", Table2[[#This Row],[Quantity_correct]]/0.8333,
"NA")))</f>
        <v>1366.3431682841588</v>
      </c>
      <c r="N243" s="1">
        <v>0</v>
      </c>
    </row>
    <row r="244" spans="1:14" ht="12.5" hidden="1" x14ac:dyDescent="0.25">
      <c r="A244" s="1" t="s">
        <v>12</v>
      </c>
      <c r="B244" s="1" t="s">
        <v>169</v>
      </c>
      <c r="C244" s="1" t="str">
        <f>IF(OR(Table2[[#This Row],[units]]="litre_(l)", Table2[[#This Row],[units]]="gallon_(gal)", Table2[[#This Row],[units]]="cubic_metre_(m3)"), "water", Table2[[#This Row],[type2]])</f>
        <v>electricity</v>
      </c>
      <c r="D244" s="1" t="s">
        <v>128</v>
      </c>
      <c r="E244" s="3">
        <v>44904</v>
      </c>
      <c r="F244" s="8">
        <f t="shared" si="6"/>
        <v>44816</v>
      </c>
      <c r="G244" s="1" t="s">
        <v>67</v>
      </c>
      <c r="H244" s="8">
        <f t="shared" si="7"/>
        <v>45199</v>
      </c>
      <c r="I244" s="4">
        <v>8905</v>
      </c>
      <c r="J24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8905</v>
      </c>
      <c r="K244" s="4" t="str">
        <f>IF(Table2[[#This Row],[Type]]="electricity", "kilowatt_hour_(kwh)",
IF(Table2[[#This Row],[Type]]="water", "cubic_metre_(m3)",
IF(Table2[[#This Row],[Type]]="heat", "therm_(thm)",
"NA")))</f>
        <v>kilowatt_hour_(kwh)</v>
      </c>
      <c r="L244" s="1" t="s">
        <v>129</v>
      </c>
      <c r="M244" s="10">
        <f>IF(Table2[[#This Row],[Type]]="electricity", Table2[[#This Row],[Quantity_correct]]/6.6667,
IF(Table2[[#This Row],[Type]]="water", Table2[[#This Row],[Quantity_correct]]/3.333,
IF(Table2[[#This Row],[Type]]="heat", Table2[[#This Row],[Quantity_correct]]/0.8333,
"NA")))</f>
        <v>1335.7433212833937</v>
      </c>
      <c r="N244" s="1">
        <v>0</v>
      </c>
    </row>
    <row r="245" spans="1:14" ht="12.5" hidden="1" x14ac:dyDescent="0.25">
      <c r="A245" s="1" t="s">
        <v>12</v>
      </c>
      <c r="B245" s="1" t="s">
        <v>169</v>
      </c>
      <c r="C245" s="1" t="str">
        <f>IF(OR(Table2[[#This Row],[units]]="litre_(l)", Table2[[#This Row],[units]]="gallon_(gal)", Table2[[#This Row],[units]]="cubic_metre_(m3)"), "water", Table2[[#This Row],[type2]])</f>
        <v>heat</v>
      </c>
      <c r="D245" s="1" t="s">
        <v>140</v>
      </c>
      <c r="E245" s="1" t="s">
        <v>170</v>
      </c>
      <c r="F245" s="8">
        <f t="shared" si="6"/>
        <v>44461</v>
      </c>
      <c r="G245" s="3">
        <v>44874</v>
      </c>
      <c r="H245" s="8">
        <f t="shared" si="7"/>
        <v>44815</v>
      </c>
      <c r="I245" s="4">
        <v>36940</v>
      </c>
      <c r="J24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1260.4454210754391</v>
      </c>
      <c r="K245" s="4" t="str">
        <f>IF(Table2[[#This Row],[Type]]="electricity", "kilowatt_hour_(kwh)",
IF(Table2[[#This Row],[Type]]="water", "cubic_metre_(m3)",
IF(Table2[[#This Row],[Type]]="heat", "therm_(thm)",
"NA")))</f>
        <v>therm_(thm)</v>
      </c>
      <c r="L245" s="1" t="s">
        <v>129</v>
      </c>
      <c r="M245" s="10">
        <f>IF(Table2[[#This Row],[Type]]="electricity", Table2[[#This Row],[Quantity_correct]]/6.6667,
IF(Table2[[#This Row],[Type]]="water", Table2[[#This Row],[Quantity_correct]]/3.333,
IF(Table2[[#This Row],[Type]]="heat", Table2[[#This Row],[Quantity_correct]]/0.8333,
"NA")))</f>
        <v>1512.5950090908905</v>
      </c>
      <c r="N245" s="1">
        <v>44328</v>
      </c>
    </row>
    <row r="246" spans="1:14" ht="12.5" hidden="1" x14ac:dyDescent="0.25">
      <c r="A246" s="1" t="s">
        <v>12</v>
      </c>
      <c r="B246" s="1" t="s">
        <v>169</v>
      </c>
      <c r="C246" s="1" t="str">
        <f>IF(OR(Table2[[#This Row],[units]]="litre_(l)", Table2[[#This Row],[units]]="gallon_(gal)", Table2[[#This Row],[units]]="cubic_metre_(m3)"), "water", Table2[[#This Row],[type2]])</f>
        <v>heat</v>
      </c>
      <c r="D246" s="1" t="s">
        <v>140</v>
      </c>
      <c r="E246" s="3">
        <v>44904</v>
      </c>
      <c r="F246" s="8">
        <f t="shared" si="6"/>
        <v>44816</v>
      </c>
      <c r="G246" s="1" t="s">
        <v>67</v>
      </c>
      <c r="H246" s="8">
        <f t="shared" si="7"/>
        <v>45199</v>
      </c>
      <c r="I246" s="4">
        <v>30412</v>
      </c>
      <c r="J24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1037.7007619314093</v>
      </c>
      <c r="K246" s="4" t="str">
        <f>IF(Table2[[#This Row],[Type]]="electricity", "kilowatt_hour_(kwh)",
IF(Table2[[#This Row],[Type]]="water", "cubic_metre_(m3)",
IF(Table2[[#This Row],[Type]]="heat", "therm_(thm)",
"NA")))</f>
        <v>therm_(thm)</v>
      </c>
      <c r="L246" s="1" t="s">
        <v>129</v>
      </c>
      <c r="M246" s="10">
        <f>IF(Table2[[#This Row],[Type]]="electricity", Table2[[#This Row],[Quantity_correct]]/6.6667,
IF(Table2[[#This Row],[Type]]="water", Table2[[#This Row],[Quantity_correct]]/3.333,
IF(Table2[[#This Row],[Type]]="heat", Table2[[#This Row],[Quantity_correct]]/0.8333,
"NA")))</f>
        <v>1245.290725946729</v>
      </c>
      <c r="N246" s="1">
        <v>36494.400000000001</v>
      </c>
    </row>
    <row r="247" spans="1:14" ht="12.5" hidden="1" x14ac:dyDescent="0.25">
      <c r="A247" s="1" t="s">
        <v>12</v>
      </c>
      <c r="B247" s="1" t="s">
        <v>169</v>
      </c>
      <c r="C247" s="1" t="str">
        <f>IF(OR(Table2[[#This Row],[units]]="litre_(l)", Table2[[#This Row],[units]]="gallon_(gal)", Table2[[#This Row],[units]]="cubic_metre_(m3)"), "water", Table2[[#This Row],[type2]])</f>
        <v>water</v>
      </c>
      <c r="D247" s="1" t="s">
        <v>130</v>
      </c>
      <c r="E247" s="3">
        <v>44562</v>
      </c>
      <c r="F247" s="8">
        <f t="shared" si="6"/>
        <v>44562</v>
      </c>
      <c r="G247" s="1" t="s">
        <v>51</v>
      </c>
      <c r="H247" s="8">
        <f t="shared" si="7"/>
        <v>44926</v>
      </c>
      <c r="I247" s="1">
        <v>43</v>
      </c>
      <c r="J24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43</v>
      </c>
      <c r="K247" s="4" t="str">
        <f>IF(Table2[[#This Row],[Type]]="electricity", "kilowatt_hour_(kwh)",
IF(Table2[[#This Row],[Type]]="water", "cubic_metre_(m3)",
IF(Table2[[#This Row],[Type]]="heat", "therm_(thm)",
"NA")))</f>
        <v>cubic_metre_(m3)</v>
      </c>
      <c r="L247" s="1" t="s">
        <v>133</v>
      </c>
      <c r="M247" s="10">
        <f>IF(Table2[[#This Row],[Type]]="electricity", Table2[[#This Row],[Quantity_correct]]/6.6667,
IF(Table2[[#This Row],[Type]]="water", Table2[[#This Row],[Quantity_correct]]/3.333,
IF(Table2[[#This Row],[Type]]="heat", Table2[[#This Row],[Quantity_correct]]/0.8333,
"NA")))</f>
        <v>12.901290129012901</v>
      </c>
      <c r="N247" s="1">
        <v>12.9</v>
      </c>
    </row>
    <row r="248" spans="1:14" ht="12.5" hidden="1" x14ac:dyDescent="0.25">
      <c r="A248" s="1" t="s">
        <v>12</v>
      </c>
      <c r="B248" s="1" t="s">
        <v>169</v>
      </c>
      <c r="C248" s="1" t="str">
        <f>IF(OR(Table2[[#This Row],[units]]="litre_(l)", Table2[[#This Row],[units]]="gallon_(gal)", Table2[[#This Row],[units]]="cubic_metre_(m3)"), "water", Table2[[#This Row],[type2]])</f>
        <v>water</v>
      </c>
      <c r="D248" s="1" t="s">
        <v>130</v>
      </c>
      <c r="E248" s="3">
        <v>44927</v>
      </c>
      <c r="F248" s="8">
        <f t="shared" si="6"/>
        <v>44927</v>
      </c>
      <c r="G248" s="1" t="s">
        <v>45</v>
      </c>
      <c r="H248" s="8">
        <f t="shared" si="7"/>
        <v>45291</v>
      </c>
      <c r="I248" s="1">
        <v>29</v>
      </c>
      <c r="J24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v>
      </c>
      <c r="K248" s="4" t="str">
        <f>IF(Table2[[#This Row],[Type]]="electricity", "kilowatt_hour_(kwh)",
IF(Table2[[#This Row],[Type]]="water", "cubic_metre_(m3)",
IF(Table2[[#This Row],[Type]]="heat", "therm_(thm)",
"NA")))</f>
        <v>cubic_metre_(m3)</v>
      </c>
      <c r="L248" s="1" t="s">
        <v>133</v>
      </c>
      <c r="M248" s="10">
        <f>IF(Table2[[#This Row],[Type]]="electricity", Table2[[#This Row],[Quantity_correct]]/6.6667,
IF(Table2[[#This Row],[Type]]="water", Table2[[#This Row],[Quantity_correct]]/3.333,
IF(Table2[[#This Row],[Type]]="heat", Table2[[#This Row],[Quantity_correct]]/0.8333,
"NA")))</f>
        <v>8.7008700870087008</v>
      </c>
      <c r="N248" s="1">
        <v>8.6999999999999993</v>
      </c>
    </row>
    <row r="249" spans="1:14" ht="12.5" hidden="1" x14ac:dyDescent="0.25">
      <c r="A249" s="1" t="s">
        <v>14</v>
      </c>
      <c r="B249" s="1" t="s">
        <v>14</v>
      </c>
      <c r="C249" s="1" t="str">
        <f>IF(OR(Table2[[#This Row],[units]]="litre_(l)", Table2[[#This Row],[units]]="gallon_(gal)", Table2[[#This Row],[units]]="cubic_metre_(m3)"), "water", Table2[[#This Row],[type2]])</f>
        <v>electricity</v>
      </c>
      <c r="D249" s="1" t="s">
        <v>128</v>
      </c>
      <c r="E249" s="1" t="s">
        <v>171</v>
      </c>
      <c r="F249" s="8">
        <f t="shared" si="6"/>
        <v>44922</v>
      </c>
      <c r="G249" s="1" t="s">
        <v>172</v>
      </c>
      <c r="H249" s="8">
        <f t="shared" si="7"/>
        <v>44952</v>
      </c>
      <c r="I249" s="4">
        <v>2780</v>
      </c>
      <c r="J24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2780</v>
      </c>
      <c r="K249" s="4" t="str">
        <f>IF(Table2[[#This Row],[Type]]="electricity", "kilowatt_hour_(kwh)",
IF(Table2[[#This Row],[Type]]="water", "cubic_metre_(m3)",
IF(Table2[[#This Row],[Type]]="heat", "therm_(thm)",
"NA")))</f>
        <v>kilowatt_hour_(kwh)</v>
      </c>
      <c r="L249" s="1" t="s">
        <v>129</v>
      </c>
      <c r="M249" s="10">
        <f>IF(Table2[[#This Row],[Type]]="electricity", Table2[[#This Row],[Quantity_correct]]/6.6667,
IF(Table2[[#This Row],[Type]]="water", Table2[[#This Row],[Quantity_correct]]/3.333,
IF(Table2[[#This Row],[Type]]="heat", Table2[[#This Row],[Quantity_correct]]/0.8333,
"NA")))</f>
        <v>416.99791501042495</v>
      </c>
      <c r="N249" s="1">
        <v>417</v>
      </c>
    </row>
    <row r="250" spans="1:14" ht="12.5" hidden="1" x14ac:dyDescent="0.25">
      <c r="A250" s="1" t="s">
        <v>14</v>
      </c>
      <c r="B250" s="1" t="s">
        <v>14</v>
      </c>
      <c r="C250" s="1" t="str">
        <f>IF(OR(Table2[[#This Row],[units]]="litre_(l)", Table2[[#This Row],[units]]="gallon_(gal)", Table2[[#This Row],[units]]="cubic_metre_(m3)"), "water", Table2[[#This Row],[type2]])</f>
        <v>electricity</v>
      </c>
      <c r="D250" s="1" t="s">
        <v>128</v>
      </c>
      <c r="E250" s="1" t="s">
        <v>173</v>
      </c>
      <c r="F250" s="8">
        <f t="shared" si="6"/>
        <v>44953</v>
      </c>
      <c r="G250" s="1" t="s">
        <v>77</v>
      </c>
      <c r="H250" s="8">
        <f t="shared" si="7"/>
        <v>44983</v>
      </c>
      <c r="I250" s="4">
        <v>2942</v>
      </c>
      <c r="J25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2942</v>
      </c>
      <c r="K250" s="4" t="str">
        <f>IF(Table2[[#This Row],[Type]]="electricity", "kilowatt_hour_(kwh)",
IF(Table2[[#This Row],[Type]]="water", "cubic_metre_(m3)",
IF(Table2[[#This Row],[Type]]="heat", "therm_(thm)",
"NA")))</f>
        <v>kilowatt_hour_(kwh)</v>
      </c>
      <c r="L250" s="1" t="s">
        <v>129</v>
      </c>
      <c r="M250" s="10">
        <f>IF(Table2[[#This Row],[Type]]="electricity", Table2[[#This Row],[Quantity_correct]]/6.6667,
IF(Table2[[#This Row],[Type]]="water", Table2[[#This Row],[Quantity_correct]]/3.333,
IF(Table2[[#This Row],[Type]]="heat", Table2[[#This Row],[Quantity_correct]]/0.8333,
"NA")))</f>
        <v>441.29779351103247</v>
      </c>
      <c r="N250" s="1">
        <v>441.3</v>
      </c>
    </row>
    <row r="251" spans="1:14" ht="12.5" hidden="1" x14ac:dyDescent="0.25">
      <c r="A251" s="1" t="s">
        <v>14</v>
      </c>
      <c r="B251" s="1" t="s">
        <v>14</v>
      </c>
      <c r="C251" s="1" t="str">
        <f>IF(OR(Table2[[#This Row],[units]]="litre_(l)", Table2[[#This Row],[units]]="gallon_(gal)", Table2[[#This Row],[units]]="cubic_metre_(m3)"), "water", Table2[[#This Row],[type2]])</f>
        <v>electricity</v>
      </c>
      <c r="D251" s="1" t="s">
        <v>128</v>
      </c>
      <c r="E251" s="1" t="s">
        <v>174</v>
      </c>
      <c r="F251" s="8">
        <f t="shared" si="6"/>
        <v>44984</v>
      </c>
      <c r="G251" s="1" t="s">
        <v>175</v>
      </c>
      <c r="H251" s="8">
        <f t="shared" si="7"/>
        <v>45011</v>
      </c>
      <c r="I251" s="4">
        <v>2316</v>
      </c>
      <c r="J25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2316</v>
      </c>
      <c r="K251" s="4" t="str">
        <f>IF(Table2[[#This Row],[Type]]="electricity", "kilowatt_hour_(kwh)",
IF(Table2[[#This Row],[Type]]="water", "cubic_metre_(m3)",
IF(Table2[[#This Row],[Type]]="heat", "therm_(thm)",
"NA")))</f>
        <v>kilowatt_hour_(kwh)</v>
      </c>
      <c r="L251" s="1" t="s">
        <v>129</v>
      </c>
      <c r="M251" s="10">
        <f>IF(Table2[[#This Row],[Type]]="electricity", Table2[[#This Row],[Quantity_correct]]/6.6667,
IF(Table2[[#This Row],[Type]]="water", Table2[[#This Row],[Quantity_correct]]/3.333,
IF(Table2[[#This Row],[Type]]="heat", Table2[[#This Row],[Quantity_correct]]/0.8333,
"NA")))</f>
        <v>347.39826300868498</v>
      </c>
      <c r="N251" s="1">
        <v>347.4</v>
      </c>
    </row>
    <row r="252" spans="1:14" ht="12.5" hidden="1" x14ac:dyDescent="0.25">
      <c r="A252" s="1" t="s">
        <v>14</v>
      </c>
      <c r="B252" s="1" t="s">
        <v>14</v>
      </c>
      <c r="C252" s="1" t="str">
        <f>IF(OR(Table2[[#This Row],[units]]="litre_(l)", Table2[[#This Row],[units]]="gallon_(gal)", Table2[[#This Row],[units]]="cubic_metre_(m3)"), "water", Table2[[#This Row],[type2]])</f>
        <v>electricity</v>
      </c>
      <c r="D252" s="1" t="s">
        <v>128</v>
      </c>
      <c r="E252" s="1" t="s">
        <v>176</v>
      </c>
      <c r="F252" s="8">
        <f t="shared" si="6"/>
        <v>45012</v>
      </c>
      <c r="G252" s="1" t="s">
        <v>177</v>
      </c>
      <c r="H252" s="8">
        <f t="shared" si="7"/>
        <v>45042</v>
      </c>
      <c r="I252" s="5">
        <v>7938.47</v>
      </c>
      <c r="J25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7938.47</v>
      </c>
      <c r="K252" s="5" t="str">
        <f>IF(Table2[[#This Row],[Type]]="electricity", "kilowatt_hour_(kwh)",
IF(Table2[[#This Row],[Type]]="water", "cubic_metre_(m3)",
IF(Table2[[#This Row],[Type]]="heat", "therm_(thm)",
"NA")))</f>
        <v>kilowatt_hour_(kwh)</v>
      </c>
      <c r="L252" s="1" t="s">
        <v>129</v>
      </c>
      <c r="M252" s="10">
        <f>IF(Table2[[#This Row],[Type]]="electricity", Table2[[#This Row],[Quantity_correct]]/6.6667,
IF(Table2[[#This Row],[Type]]="water", Table2[[#This Row],[Quantity_correct]]/3.333,
IF(Table2[[#This Row],[Type]]="heat", Table2[[#This Row],[Quantity_correct]]/0.8333,
"NA")))</f>
        <v>1190.7645461772693</v>
      </c>
      <c r="N252" s="1">
        <v>1190.7705000000001</v>
      </c>
    </row>
    <row r="253" spans="1:14" ht="12.5" hidden="1" x14ac:dyDescent="0.25">
      <c r="A253" s="1" t="s">
        <v>14</v>
      </c>
      <c r="B253" s="1" t="s">
        <v>14</v>
      </c>
      <c r="C253" s="1" t="str">
        <f>IF(OR(Table2[[#This Row],[units]]="litre_(l)", Table2[[#This Row],[units]]="gallon_(gal)", Table2[[#This Row],[units]]="cubic_metre_(m3)"), "water", Table2[[#This Row],[type2]])</f>
        <v>electricity</v>
      </c>
      <c r="D253" s="1" t="s">
        <v>128</v>
      </c>
      <c r="E253" s="1" t="s">
        <v>134</v>
      </c>
      <c r="F253" s="8">
        <f t="shared" si="6"/>
        <v>45043</v>
      </c>
      <c r="G253" s="1" t="s">
        <v>178</v>
      </c>
      <c r="H253" s="8">
        <f t="shared" si="7"/>
        <v>45072</v>
      </c>
      <c r="I253" s="1">
        <v>826</v>
      </c>
      <c r="J25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826</v>
      </c>
      <c r="K253" s="4" t="str">
        <f>IF(Table2[[#This Row],[Type]]="electricity", "kilowatt_hour_(kwh)",
IF(Table2[[#This Row],[Type]]="water", "cubic_metre_(m3)",
IF(Table2[[#This Row],[Type]]="heat", "therm_(thm)",
"NA")))</f>
        <v>kilowatt_hour_(kwh)</v>
      </c>
      <c r="L253" s="1" t="s">
        <v>129</v>
      </c>
      <c r="M253" s="10">
        <f>IF(Table2[[#This Row],[Type]]="electricity", Table2[[#This Row],[Quantity_correct]]/6.6667,
IF(Table2[[#This Row],[Type]]="water", Table2[[#This Row],[Quantity_correct]]/3.333,
IF(Table2[[#This Row],[Type]]="heat", Table2[[#This Row],[Quantity_correct]]/0.8333,
"NA")))</f>
        <v>123.89938050309749</v>
      </c>
      <c r="N253" s="1">
        <v>123.9</v>
      </c>
    </row>
    <row r="254" spans="1:14" ht="12.5" hidden="1" x14ac:dyDescent="0.25">
      <c r="A254" s="1" t="s">
        <v>14</v>
      </c>
      <c r="B254" s="1" t="s">
        <v>14</v>
      </c>
      <c r="C254" s="1" t="str">
        <f>IF(OR(Table2[[#This Row],[units]]="litre_(l)", Table2[[#This Row],[units]]="gallon_(gal)", Table2[[#This Row],[units]]="cubic_metre_(m3)"), "water", Table2[[#This Row],[type2]])</f>
        <v>electricity</v>
      </c>
      <c r="D254" s="1" t="s">
        <v>128</v>
      </c>
      <c r="E254" s="1" t="s">
        <v>179</v>
      </c>
      <c r="F254" s="8">
        <f t="shared" si="6"/>
        <v>45073</v>
      </c>
      <c r="G254" s="1" t="s">
        <v>180</v>
      </c>
      <c r="H254" s="8">
        <f t="shared" si="7"/>
        <v>45103</v>
      </c>
      <c r="I254" s="1">
        <v>328</v>
      </c>
      <c r="J25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328</v>
      </c>
      <c r="K254" s="4" t="str">
        <f>IF(Table2[[#This Row],[Type]]="electricity", "kilowatt_hour_(kwh)",
IF(Table2[[#This Row],[Type]]="water", "cubic_metre_(m3)",
IF(Table2[[#This Row],[Type]]="heat", "therm_(thm)",
"NA")))</f>
        <v>kilowatt_hour_(kwh)</v>
      </c>
      <c r="L254" s="1" t="s">
        <v>129</v>
      </c>
      <c r="M254" s="10">
        <f>IF(Table2[[#This Row],[Type]]="electricity", Table2[[#This Row],[Quantity_correct]]/6.6667,
IF(Table2[[#This Row],[Type]]="water", Table2[[#This Row],[Quantity_correct]]/3.333,
IF(Table2[[#This Row],[Type]]="heat", Table2[[#This Row],[Quantity_correct]]/0.8333,
"NA")))</f>
        <v>49.199754001229998</v>
      </c>
      <c r="N254" s="1">
        <v>49.2</v>
      </c>
    </row>
    <row r="255" spans="1:14" ht="12.5" hidden="1" x14ac:dyDescent="0.25">
      <c r="A255" s="1" t="s">
        <v>14</v>
      </c>
      <c r="B255" s="1" t="s">
        <v>14</v>
      </c>
      <c r="C255" s="1" t="str">
        <f>IF(OR(Table2[[#This Row],[units]]="litre_(l)", Table2[[#This Row],[units]]="gallon_(gal)", Table2[[#This Row],[units]]="cubic_metre_(m3)"), "water", Table2[[#This Row],[type2]])</f>
        <v>electricity</v>
      </c>
      <c r="D255" s="1" t="s">
        <v>128</v>
      </c>
      <c r="E255" s="1" t="s">
        <v>181</v>
      </c>
      <c r="F255" s="8">
        <f t="shared" si="6"/>
        <v>45104</v>
      </c>
      <c r="G255" s="1" t="s">
        <v>182</v>
      </c>
      <c r="H255" s="8">
        <f t="shared" si="7"/>
        <v>45133</v>
      </c>
      <c r="I255" s="1">
        <v>281</v>
      </c>
      <c r="J25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281</v>
      </c>
      <c r="K255" s="4" t="str">
        <f>IF(Table2[[#This Row],[Type]]="electricity", "kilowatt_hour_(kwh)",
IF(Table2[[#This Row],[Type]]="water", "cubic_metre_(m3)",
IF(Table2[[#This Row],[Type]]="heat", "therm_(thm)",
"NA")))</f>
        <v>kilowatt_hour_(kwh)</v>
      </c>
      <c r="L255" s="1" t="s">
        <v>129</v>
      </c>
      <c r="M255" s="10">
        <f>IF(Table2[[#This Row],[Type]]="electricity", Table2[[#This Row],[Quantity_correct]]/6.6667,
IF(Table2[[#This Row],[Type]]="water", Table2[[#This Row],[Quantity_correct]]/3.333,
IF(Table2[[#This Row],[Type]]="heat", Table2[[#This Row],[Quantity_correct]]/0.8333,
"NA")))</f>
        <v>42.149789251053747</v>
      </c>
      <c r="N255" s="1">
        <v>42.15</v>
      </c>
    </row>
    <row r="256" spans="1:14" ht="12.5" hidden="1" x14ac:dyDescent="0.25">
      <c r="A256" s="1" t="s">
        <v>14</v>
      </c>
      <c r="B256" s="1" t="s">
        <v>14</v>
      </c>
      <c r="C256" s="1" t="str">
        <f>IF(OR(Table2[[#This Row],[units]]="litre_(l)", Table2[[#This Row],[units]]="gallon_(gal)", Table2[[#This Row],[units]]="cubic_metre_(m3)"), "water", Table2[[#This Row],[type2]])</f>
        <v>electricity</v>
      </c>
      <c r="D256" s="1" t="s">
        <v>128</v>
      </c>
      <c r="E256" s="1" t="s">
        <v>154</v>
      </c>
      <c r="F256" s="8">
        <f t="shared" si="6"/>
        <v>45134</v>
      </c>
      <c r="G256" s="1" t="s">
        <v>183</v>
      </c>
      <c r="H256" s="8">
        <f t="shared" si="7"/>
        <v>45164</v>
      </c>
      <c r="I256" s="1">
        <v>278</v>
      </c>
      <c r="J25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278</v>
      </c>
      <c r="K256" s="4" t="str">
        <f>IF(Table2[[#This Row],[Type]]="electricity", "kilowatt_hour_(kwh)",
IF(Table2[[#This Row],[Type]]="water", "cubic_metre_(m3)",
IF(Table2[[#This Row],[Type]]="heat", "therm_(thm)",
"NA")))</f>
        <v>kilowatt_hour_(kwh)</v>
      </c>
      <c r="L256" s="1" t="s">
        <v>129</v>
      </c>
      <c r="M256" s="10">
        <f>IF(Table2[[#This Row],[Type]]="electricity", Table2[[#This Row],[Quantity_correct]]/6.6667,
IF(Table2[[#This Row],[Type]]="water", Table2[[#This Row],[Quantity_correct]]/3.333,
IF(Table2[[#This Row],[Type]]="heat", Table2[[#This Row],[Quantity_correct]]/0.8333,
"NA")))</f>
        <v>41.699791501042498</v>
      </c>
      <c r="N256" s="1">
        <v>41.7</v>
      </c>
    </row>
    <row r="257" spans="1:14" ht="12.5" hidden="1" x14ac:dyDescent="0.25">
      <c r="A257" s="1" t="s">
        <v>14</v>
      </c>
      <c r="B257" s="1" t="s">
        <v>14</v>
      </c>
      <c r="C257" s="1" t="str">
        <f>IF(OR(Table2[[#This Row],[units]]="litre_(l)", Table2[[#This Row],[units]]="gallon_(gal)", Table2[[#This Row],[units]]="cubic_metre_(m3)"), "water", Table2[[#This Row],[type2]])</f>
        <v>electricity</v>
      </c>
      <c r="D257" s="1" t="s">
        <v>128</v>
      </c>
      <c r="E257" s="1" t="s">
        <v>184</v>
      </c>
      <c r="F257" s="8">
        <f t="shared" si="6"/>
        <v>45165</v>
      </c>
      <c r="G257" s="1" t="s">
        <v>185</v>
      </c>
      <c r="H257" s="8">
        <f t="shared" si="7"/>
        <v>45195</v>
      </c>
      <c r="I257" s="1">
        <v>435</v>
      </c>
      <c r="J25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435</v>
      </c>
      <c r="K257" s="4" t="str">
        <f>IF(Table2[[#This Row],[Type]]="electricity", "kilowatt_hour_(kwh)",
IF(Table2[[#This Row],[Type]]="water", "cubic_metre_(m3)",
IF(Table2[[#This Row],[Type]]="heat", "therm_(thm)",
"NA")))</f>
        <v>kilowatt_hour_(kwh)</v>
      </c>
      <c r="L257" s="1" t="s">
        <v>129</v>
      </c>
      <c r="M257" s="10">
        <f>IF(Table2[[#This Row],[Type]]="electricity", Table2[[#This Row],[Quantity_correct]]/6.6667,
IF(Table2[[#This Row],[Type]]="water", Table2[[#This Row],[Quantity_correct]]/3.333,
IF(Table2[[#This Row],[Type]]="heat", Table2[[#This Row],[Quantity_correct]]/0.8333,
"NA")))</f>
        <v>65.249673751631249</v>
      </c>
      <c r="N257" s="1">
        <v>65.25</v>
      </c>
    </row>
    <row r="258" spans="1:14" ht="12.5" hidden="1" x14ac:dyDescent="0.25">
      <c r="A258" s="1" t="s">
        <v>14</v>
      </c>
      <c r="B258" s="1" t="s">
        <v>14</v>
      </c>
      <c r="C258" s="1" t="str">
        <f>IF(OR(Table2[[#This Row],[units]]="litre_(l)", Table2[[#This Row],[units]]="gallon_(gal)", Table2[[#This Row],[units]]="cubic_metre_(m3)"), "water", Table2[[#This Row],[type2]])</f>
        <v>electricity</v>
      </c>
      <c r="D258" s="1" t="s">
        <v>128</v>
      </c>
      <c r="E258" s="1" t="s">
        <v>186</v>
      </c>
      <c r="F258" s="8">
        <f t="shared" ref="F258:F321" si="8">DATE(RIGHT(TEXT(E258,"dd-mm-yyyy"),4), LEFT(TEXT(E258,"dd-mm-yyyy"),2),MID(TEXT(E258,"dd-mm-yyyy"),4,2))</f>
        <v>45196</v>
      </c>
      <c r="G258" s="1" t="s">
        <v>155</v>
      </c>
      <c r="H258" s="8">
        <f t="shared" ref="H258:H321" si="9">DATE(RIGHT(TEXT(G258,"dd-mm-yyyy"),4), LEFT(TEXT(G258,"dd-mm-yyyy"),2),MID(TEXT(G258,"dd-mm-yyyy"),4,2))</f>
        <v>45226</v>
      </c>
      <c r="I258" s="1">
        <v>818</v>
      </c>
      <c r="J25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818</v>
      </c>
      <c r="K258" s="4" t="str">
        <f>IF(Table2[[#This Row],[Type]]="electricity", "kilowatt_hour_(kwh)",
IF(Table2[[#This Row],[Type]]="water", "cubic_metre_(m3)",
IF(Table2[[#This Row],[Type]]="heat", "therm_(thm)",
"NA")))</f>
        <v>kilowatt_hour_(kwh)</v>
      </c>
      <c r="L258" s="1" t="s">
        <v>129</v>
      </c>
      <c r="M258" s="10">
        <f>IF(Table2[[#This Row],[Type]]="electricity", Table2[[#This Row],[Quantity_correct]]/6.6667,
IF(Table2[[#This Row],[Type]]="water", Table2[[#This Row],[Quantity_correct]]/3.333,
IF(Table2[[#This Row],[Type]]="heat", Table2[[#This Row],[Quantity_correct]]/0.8333,
"NA")))</f>
        <v>122.69938650306749</v>
      </c>
      <c r="N258" s="1">
        <v>122.7</v>
      </c>
    </row>
    <row r="259" spans="1:14" ht="12.5" hidden="1" x14ac:dyDescent="0.25">
      <c r="A259" s="1" t="s">
        <v>14</v>
      </c>
      <c r="B259" s="1" t="s">
        <v>14</v>
      </c>
      <c r="C259" s="1" t="str">
        <f>IF(OR(Table2[[#This Row],[units]]="litre_(l)", Table2[[#This Row],[units]]="gallon_(gal)", Table2[[#This Row],[units]]="cubic_metre_(m3)"), "water", Table2[[#This Row],[type2]])</f>
        <v>electricity</v>
      </c>
      <c r="D259" s="1" t="s">
        <v>128</v>
      </c>
      <c r="E259" s="1" t="s">
        <v>155</v>
      </c>
      <c r="F259" s="8">
        <f t="shared" si="8"/>
        <v>45226</v>
      </c>
      <c r="G259" s="1" t="s">
        <v>187</v>
      </c>
      <c r="H259" s="8">
        <f t="shared" si="9"/>
        <v>45257</v>
      </c>
      <c r="I259" s="4">
        <v>1460</v>
      </c>
      <c r="J25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1460</v>
      </c>
      <c r="K259" s="4" t="str">
        <f>IF(Table2[[#This Row],[Type]]="electricity", "kilowatt_hour_(kwh)",
IF(Table2[[#This Row],[Type]]="water", "cubic_metre_(m3)",
IF(Table2[[#This Row],[Type]]="heat", "therm_(thm)",
"NA")))</f>
        <v>kilowatt_hour_(kwh)</v>
      </c>
      <c r="L259" s="1" t="s">
        <v>129</v>
      </c>
      <c r="M259" s="10">
        <f>IF(Table2[[#This Row],[Type]]="electricity", Table2[[#This Row],[Quantity_correct]]/6.6667,
IF(Table2[[#This Row],[Type]]="water", Table2[[#This Row],[Quantity_correct]]/3.333,
IF(Table2[[#This Row],[Type]]="heat", Table2[[#This Row],[Quantity_correct]]/0.8333,
"NA")))</f>
        <v>218.998905005475</v>
      </c>
      <c r="N259" s="1">
        <v>219</v>
      </c>
    </row>
    <row r="260" spans="1:14" ht="12.5" hidden="1" x14ac:dyDescent="0.25">
      <c r="A260" s="1" t="s">
        <v>14</v>
      </c>
      <c r="B260" s="1" t="s">
        <v>14</v>
      </c>
      <c r="C260" s="1" t="str">
        <f>IF(OR(Table2[[#This Row],[units]]="litre_(l)", Table2[[#This Row],[units]]="gallon_(gal)", Table2[[#This Row],[units]]="cubic_metre_(m3)"), "water", Table2[[#This Row],[type2]])</f>
        <v>electricity</v>
      </c>
      <c r="D260" s="1" t="s">
        <v>128</v>
      </c>
      <c r="E260" s="1" t="s">
        <v>187</v>
      </c>
      <c r="F260" s="8">
        <f t="shared" si="8"/>
        <v>45257</v>
      </c>
      <c r="G260" s="1" t="s">
        <v>188</v>
      </c>
      <c r="H260" s="8">
        <f t="shared" si="9"/>
        <v>45287</v>
      </c>
      <c r="I260" s="4">
        <v>2209</v>
      </c>
      <c r="J26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2209</v>
      </c>
      <c r="K260" s="4" t="str">
        <f>IF(Table2[[#This Row],[Type]]="electricity", "kilowatt_hour_(kwh)",
IF(Table2[[#This Row],[Type]]="water", "cubic_metre_(m3)",
IF(Table2[[#This Row],[Type]]="heat", "therm_(thm)",
"NA")))</f>
        <v>kilowatt_hour_(kwh)</v>
      </c>
      <c r="L260" s="1" t="s">
        <v>129</v>
      </c>
      <c r="M260" s="10">
        <f>IF(Table2[[#This Row],[Type]]="electricity", Table2[[#This Row],[Quantity_correct]]/6.6667,
IF(Table2[[#This Row],[Type]]="water", Table2[[#This Row],[Quantity_correct]]/3.333,
IF(Table2[[#This Row],[Type]]="heat", Table2[[#This Row],[Quantity_correct]]/0.8333,
"NA")))</f>
        <v>331.34834325828371</v>
      </c>
      <c r="N260" s="1">
        <v>331.35</v>
      </c>
    </row>
    <row r="261" spans="1:14" ht="12.5" hidden="1" x14ac:dyDescent="0.25">
      <c r="A261" s="1" t="s">
        <v>15</v>
      </c>
      <c r="B261" s="1" t="s">
        <v>15</v>
      </c>
      <c r="C261" s="1" t="str">
        <f>IF(OR(Table2[[#This Row],[units]]="litre_(l)", Table2[[#This Row],[units]]="gallon_(gal)", Table2[[#This Row],[units]]="cubic_metre_(m3)"), "water", Table2[[#This Row],[type2]])</f>
        <v>electricity</v>
      </c>
      <c r="D261" s="1" t="s">
        <v>128</v>
      </c>
      <c r="E261" s="1" t="s">
        <v>189</v>
      </c>
      <c r="F261" s="8">
        <f t="shared" si="8"/>
        <v>44915</v>
      </c>
      <c r="G261" s="1" t="s">
        <v>190</v>
      </c>
      <c r="H261" s="8">
        <f t="shared" si="9"/>
        <v>44945</v>
      </c>
      <c r="I261" s="1">
        <v>514</v>
      </c>
      <c r="J26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514</v>
      </c>
      <c r="K261" s="4" t="str">
        <f>IF(Table2[[#This Row],[Type]]="electricity", "kilowatt_hour_(kwh)",
IF(Table2[[#This Row],[Type]]="water", "cubic_metre_(m3)",
IF(Table2[[#This Row],[Type]]="heat", "therm_(thm)",
"NA")))</f>
        <v>kilowatt_hour_(kwh)</v>
      </c>
      <c r="L261" s="1" t="s">
        <v>129</v>
      </c>
      <c r="M261" s="10">
        <f>IF(Table2[[#This Row],[Type]]="electricity", Table2[[#This Row],[Quantity_correct]]/6.6667,
IF(Table2[[#This Row],[Type]]="water", Table2[[#This Row],[Quantity_correct]]/3.333,
IF(Table2[[#This Row],[Type]]="heat", Table2[[#This Row],[Quantity_correct]]/0.8333,
"NA")))</f>
        <v>77.099614501927491</v>
      </c>
      <c r="N261" s="1">
        <v>77.099999999999994</v>
      </c>
    </row>
    <row r="262" spans="1:14" ht="12.5" hidden="1" x14ac:dyDescent="0.25">
      <c r="A262" s="1" t="s">
        <v>15</v>
      </c>
      <c r="B262" s="1" t="s">
        <v>15</v>
      </c>
      <c r="C262" s="1" t="str">
        <f>IF(OR(Table2[[#This Row],[units]]="litre_(l)", Table2[[#This Row],[units]]="gallon_(gal)", Table2[[#This Row],[units]]="cubic_metre_(m3)"), "water", Table2[[#This Row],[type2]])</f>
        <v>electricity</v>
      </c>
      <c r="D262" s="1" t="s">
        <v>128</v>
      </c>
      <c r="E262" s="1" t="s">
        <v>189</v>
      </c>
      <c r="F262" s="8">
        <f t="shared" si="8"/>
        <v>44915</v>
      </c>
      <c r="G262" s="1" t="s">
        <v>190</v>
      </c>
      <c r="H262" s="8">
        <f t="shared" si="9"/>
        <v>44945</v>
      </c>
      <c r="I262" s="4">
        <v>1179</v>
      </c>
      <c r="J26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1179</v>
      </c>
      <c r="K262" s="4" t="str">
        <f>IF(Table2[[#This Row],[Type]]="electricity", "kilowatt_hour_(kwh)",
IF(Table2[[#This Row],[Type]]="water", "cubic_metre_(m3)",
IF(Table2[[#This Row],[Type]]="heat", "therm_(thm)",
"NA")))</f>
        <v>kilowatt_hour_(kwh)</v>
      </c>
      <c r="L262" s="1" t="s">
        <v>129</v>
      </c>
      <c r="M262" s="10">
        <f>IF(Table2[[#This Row],[Type]]="electricity", Table2[[#This Row],[Quantity_correct]]/6.6667,
IF(Table2[[#This Row],[Type]]="water", Table2[[#This Row],[Quantity_correct]]/3.333,
IF(Table2[[#This Row],[Type]]="heat", Table2[[#This Row],[Quantity_correct]]/0.8333,
"NA")))</f>
        <v>176.84911575442123</v>
      </c>
      <c r="N262" s="1">
        <v>176.85</v>
      </c>
    </row>
    <row r="263" spans="1:14" ht="12.5" hidden="1" x14ac:dyDescent="0.25">
      <c r="A263" s="1" t="s">
        <v>15</v>
      </c>
      <c r="B263" s="1" t="s">
        <v>15</v>
      </c>
      <c r="C263" s="1" t="str">
        <f>IF(OR(Table2[[#This Row],[units]]="litre_(l)", Table2[[#This Row],[units]]="gallon_(gal)", Table2[[#This Row],[units]]="cubic_metre_(m3)"), "water", Table2[[#This Row],[type2]])</f>
        <v>electricity</v>
      </c>
      <c r="D263" s="1" t="s">
        <v>128</v>
      </c>
      <c r="E263" s="1" t="s">
        <v>191</v>
      </c>
      <c r="F263" s="8">
        <f t="shared" si="8"/>
        <v>44946</v>
      </c>
      <c r="G263" s="1" t="s">
        <v>192</v>
      </c>
      <c r="H263" s="8">
        <f t="shared" si="9"/>
        <v>44974</v>
      </c>
      <c r="I263" s="1">
        <v>481</v>
      </c>
      <c r="J26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481</v>
      </c>
      <c r="K263" s="4" t="str">
        <f>IF(Table2[[#This Row],[Type]]="electricity", "kilowatt_hour_(kwh)",
IF(Table2[[#This Row],[Type]]="water", "cubic_metre_(m3)",
IF(Table2[[#This Row],[Type]]="heat", "therm_(thm)",
"NA")))</f>
        <v>kilowatt_hour_(kwh)</v>
      </c>
      <c r="L263" s="1" t="s">
        <v>129</v>
      </c>
      <c r="M263" s="10">
        <f>IF(Table2[[#This Row],[Type]]="electricity", Table2[[#This Row],[Quantity_correct]]/6.6667,
IF(Table2[[#This Row],[Type]]="water", Table2[[#This Row],[Quantity_correct]]/3.333,
IF(Table2[[#This Row],[Type]]="heat", Table2[[#This Row],[Quantity_correct]]/0.8333,
"NA")))</f>
        <v>72.149639251803748</v>
      </c>
      <c r="N263" s="1">
        <v>72.150000000000006</v>
      </c>
    </row>
    <row r="264" spans="1:14" ht="12.5" hidden="1" x14ac:dyDescent="0.25">
      <c r="A264" s="1" t="s">
        <v>15</v>
      </c>
      <c r="B264" s="1" t="s">
        <v>15</v>
      </c>
      <c r="C264" s="1" t="str">
        <f>IF(OR(Table2[[#This Row],[units]]="litre_(l)", Table2[[#This Row],[units]]="gallon_(gal)", Table2[[#This Row],[units]]="cubic_metre_(m3)"), "water", Table2[[#This Row],[type2]])</f>
        <v>electricity</v>
      </c>
      <c r="D264" s="1" t="s">
        <v>128</v>
      </c>
      <c r="E264" s="1" t="s">
        <v>191</v>
      </c>
      <c r="F264" s="8">
        <f t="shared" si="8"/>
        <v>44946</v>
      </c>
      <c r="G264" s="1" t="s">
        <v>192</v>
      </c>
      <c r="H264" s="8">
        <f t="shared" si="9"/>
        <v>44974</v>
      </c>
      <c r="I264" s="1">
        <v>907</v>
      </c>
      <c r="J26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907</v>
      </c>
      <c r="K264" s="4" t="str">
        <f>IF(Table2[[#This Row],[Type]]="electricity", "kilowatt_hour_(kwh)",
IF(Table2[[#This Row],[Type]]="water", "cubic_metre_(m3)",
IF(Table2[[#This Row],[Type]]="heat", "therm_(thm)",
"NA")))</f>
        <v>kilowatt_hour_(kwh)</v>
      </c>
      <c r="L264" s="1" t="s">
        <v>129</v>
      </c>
      <c r="M264" s="10">
        <f>IF(Table2[[#This Row],[Type]]="electricity", Table2[[#This Row],[Quantity_correct]]/6.6667,
IF(Table2[[#This Row],[Type]]="water", Table2[[#This Row],[Quantity_correct]]/3.333,
IF(Table2[[#This Row],[Type]]="heat", Table2[[#This Row],[Quantity_correct]]/0.8333,
"NA")))</f>
        <v>136.04931975340125</v>
      </c>
      <c r="N264" s="1">
        <v>136.05000000000001</v>
      </c>
    </row>
    <row r="265" spans="1:14" ht="12.5" hidden="1" x14ac:dyDescent="0.25">
      <c r="A265" s="1" t="s">
        <v>15</v>
      </c>
      <c r="B265" s="1" t="s">
        <v>15</v>
      </c>
      <c r="C265" s="1" t="str">
        <f>IF(OR(Table2[[#This Row],[units]]="litre_(l)", Table2[[#This Row],[units]]="gallon_(gal)", Table2[[#This Row],[units]]="cubic_metre_(m3)"), "water", Table2[[#This Row],[type2]])</f>
        <v>electricity</v>
      </c>
      <c r="D265" s="1" t="s">
        <v>128</v>
      </c>
      <c r="E265" s="1" t="s">
        <v>193</v>
      </c>
      <c r="F265" s="8">
        <f t="shared" si="8"/>
        <v>44975</v>
      </c>
      <c r="G265" s="1" t="s">
        <v>194</v>
      </c>
      <c r="H265" s="8">
        <f t="shared" si="9"/>
        <v>45006</v>
      </c>
      <c r="I265" s="1">
        <v>631</v>
      </c>
      <c r="J26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631</v>
      </c>
      <c r="K265" s="4" t="str">
        <f>IF(Table2[[#This Row],[Type]]="electricity", "kilowatt_hour_(kwh)",
IF(Table2[[#This Row],[Type]]="water", "cubic_metre_(m3)",
IF(Table2[[#This Row],[Type]]="heat", "therm_(thm)",
"NA")))</f>
        <v>kilowatt_hour_(kwh)</v>
      </c>
      <c r="L265" s="1" t="s">
        <v>129</v>
      </c>
      <c r="M265" s="10">
        <f>IF(Table2[[#This Row],[Type]]="electricity", Table2[[#This Row],[Quantity_correct]]/6.6667,
IF(Table2[[#This Row],[Type]]="water", Table2[[#This Row],[Quantity_correct]]/3.333,
IF(Table2[[#This Row],[Type]]="heat", Table2[[#This Row],[Quantity_correct]]/0.8333,
"NA")))</f>
        <v>94.649526752366242</v>
      </c>
      <c r="N265" s="1">
        <v>94.65</v>
      </c>
    </row>
    <row r="266" spans="1:14" ht="12.5" hidden="1" x14ac:dyDescent="0.25">
      <c r="A266" s="1" t="s">
        <v>15</v>
      </c>
      <c r="B266" s="1" t="s">
        <v>15</v>
      </c>
      <c r="C266" s="1" t="str">
        <f>IF(OR(Table2[[#This Row],[units]]="litre_(l)", Table2[[#This Row],[units]]="gallon_(gal)", Table2[[#This Row],[units]]="cubic_metre_(m3)"), "water", Table2[[#This Row],[type2]])</f>
        <v>electricity</v>
      </c>
      <c r="D266" s="1" t="s">
        <v>128</v>
      </c>
      <c r="E266" s="1" t="s">
        <v>193</v>
      </c>
      <c r="F266" s="8">
        <f t="shared" si="8"/>
        <v>44975</v>
      </c>
      <c r="G266" s="1" t="s">
        <v>194</v>
      </c>
      <c r="H266" s="8">
        <f t="shared" si="9"/>
        <v>45006</v>
      </c>
      <c r="I266" s="1">
        <v>735</v>
      </c>
      <c r="J26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735</v>
      </c>
      <c r="K266" s="4" t="str">
        <f>IF(Table2[[#This Row],[Type]]="electricity", "kilowatt_hour_(kwh)",
IF(Table2[[#This Row],[Type]]="water", "cubic_metre_(m3)",
IF(Table2[[#This Row],[Type]]="heat", "therm_(thm)",
"NA")))</f>
        <v>kilowatt_hour_(kwh)</v>
      </c>
      <c r="L266" s="1" t="s">
        <v>129</v>
      </c>
      <c r="M266" s="10">
        <f>IF(Table2[[#This Row],[Type]]="electricity", Table2[[#This Row],[Quantity_correct]]/6.6667,
IF(Table2[[#This Row],[Type]]="water", Table2[[#This Row],[Quantity_correct]]/3.333,
IF(Table2[[#This Row],[Type]]="heat", Table2[[#This Row],[Quantity_correct]]/0.8333,
"NA")))</f>
        <v>110.24944875275624</v>
      </c>
      <c r="N266" s="1">
        <v>110.25</v>
      </c>
    </row>
    <row r="267" spans="1:14" ht="12.5" hidden="1" x14ac:dyDescent="0.25">
      <c r="A267" s="1" t="s">
        <v>15</v>
      </c>
      <c r="B267" s="1" t="s">
        <v>15</v>
      </c>
      <c r="C267" s="1" t="str">
        <f>IF(OR(Table2[[#This Row],[units]]="litre_(l)", Table2[[#This Row],[units]]="gallon_(gal)", Table2[[#This Row],[units]]="cubic_metre_(m3)"), "water", Table2[[#This Row],[type2]])</f>
        <v>electricity</v>
      </c>
      <c r="D267" s="1" t="s">
        <v>128</v>
      </c>
      <c r="E267" s="1" t="s">
        <v>195</v>
      </c>
      <c r="F267" s="8">
        <f t="shared" si="8"/>
        <v>45007</v>
      </c>
      <c r="G267" s="1" t="s">
        <v>196</v>
      </c>
      <c r="H267" s="8">
        <f t="shared" si="9"/>
        <v>45035</v>
      </c>
      <c r="I267" s="1">
        <v>832</v>
      </c>
      <c r="J26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832</v>
      </c>
      <c r="K267" s="4" t="str">
        <f>IF(Table2[[#This Row],[Type]]="electricity", "kilowatt_hour_(kwh)",
IF(Table2[[#This Row],[Type]]="water", "cubic_metre_(m3)",
IF(Table2[[#This Row],[Type]]="heat", "therm_(thm)",
"NA")))</f>
        <v>kilowatt_hour_(kwh)</v>
      </c>
      <c r="L267" s="1" t="s">
        <v>129</v>
      </c>
      <c r="M267" s="10">
        <f>IF(Table2[[#This Row],[Type]]="electricity", Table2[[#This Row],[Quantity_correct]]/6.6667,
IF(Table2[[#This Row],[Type]]="water", Table2[[#This Row],[Quantity_correct]]/3.333,
IF(Table2[[#This Row],[Type]]="heat", Table2[[#This Row],[Quantity_correct]]/0.8333,
"NA")))</f>
        <v>124.79937600311999</v>
      </c>
      <c r="N267" s="1">
        <v>124.8</v>
      </c>
    </row>
    <row r="268" spans="1:14" ht="12.5" hidden="1" x14ac:dyDescent="0.25">
      <c r="A268" s="1" t="s">
        <v>15</v>
      </c>
      <c r="B268" s="1" t="s">
        <v>15</v>
      </c>
      <c r="C268" s="1" t="str">
        <f>IF(OR(Table2[[#This Row],[units]]="litre_(l)", Table2[[#This Row],[units]]="gallon_(gal)", Table2[[#This Row],[units]]="cubic_metre_(m3)"), "water", Table2[[#This Row],[type2]])</f>
        <v>electricity</v>
      </c>
      <c r="D268" s="1" t="s">
        <v>128</v>
      </c>
      <c r="E268" s="1" t="s">
        <v>195</v>
      </c>
      <c r="F268" s="8">
        <f t="shared" si="8"/>
        <v>45007</v>
      </c>
      <c r="G268" s="1" t="s">
        <v>196</v>
      </c>
      <c r="H268" s="8">
        <f t="shared" si="9"/>
        <v>45035</v>
      </c>
      <c r="I268" s="4">
        <v>1241</v>
      </c>
      <c r="J26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1241</v>
      </c>
      <c r="K268" s="4" t="str">
        <f>IF(Table2[[#This Row],[Type]]="electricity", "kilowatt_hour_(kwh)",
IF(Table2[[#This Row],[Type]]="water", "cubic_metre_(m3)",
IF(Table2[[#This Row],[Type]]="heat", "therm_(thm)",
"NA")))</f>
        <v>kilowatt_hour_(kwh)</v>
      </c>
      <c r="L268" s="1" t="s">
        <v>129</v>
      </c>
      <c r="M268" s="10">
        <f>IF(Table2[[#This Row],[Type]]="electricity", Table2[[#This Row],[Quantity_correct]]/6.6667,
IF(Table2[[#This Row],[Type]]="water", Table2[[#This Row],[Quantity_correct]]/3.333,
IF(Table2[[#This Row],[Type]]="heat", Table2[[#This Row],[Quantity_correct]]/0.8333,
"NA")))</f>
        <v>186.14906925465374</v>
      </c>
      <c r="N268" s="1">
        <v>186.15</v>
      </c>
    </row>
    <row r="269" spans="1:14" ht="12.5" hidden="1" x14ac:dyDescent="0.25">
      <c r="A269" s="1" t="s">
        <v>15</v>
      </c>
      <c r="B269" s="1" t="s">
        <v>15</v>
      </c>
      <c r="C269" s="1" t="str">
        <f>IF(OR(Table2[[#This Row],[units]]="litre_(l)", Table2[[#This Row],[units]]="gallon_(gal)", Table2[[#This Row],[units]]="cubic_metre_(m3)"), "water", Table2[[#This Row],[type2]])</f>
        <v>electricity</v>
      </c>
      <c r="D269" s="1" t="s">
        <v>128</v>
      </c>
      <c r="E269" s="1" t="s">
        <v>116</v>
      </c>
      <c r="F269" s="8">
        <f t="shared" si="8"/>
        <v>45036</v>
      </c>
      <c r="G269" s="1" t="s">
        <v>197</v>
      </c>
      <c r="H269" s="8">
        <f t="shared" si="9"/>
        <v>45064</v>
      </c>
      <c r="I269" s="4">
        <v>1254</v>
      </c>
      <c r="J26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1254</v>
      </c>
      <c r="K269" s="4" t="str">
        <f>IF(Table2[[#This Row],[Type]]="electricity", "kilowatt_hour_(kwh)",
IF(Table2[[#This Row],[Type]]="water", "cubic_metre_(m3)",
IF(Table2[[#This Row],[Type]]="heat", "therm_(thm)",
"NA")))</f>
        <v>kilowatt_hour_(kwh)</v>
      </c>
      <c r="L269" s="1" t="s">
        <v>129</v>
      </c>
      <c r="M269" s="10">
        <f>IF(Table2[[#This Row],[Type]]="electricity", Table2[[#This Row],[Quantity_correct]]/6.6667,
IF(Table2[[#This Row],[Type]]="water", Table2[[#This Row],[Quantity_correct]]/3.333,
IF(Table2[[#This Row],[Type]]="heat", Table2[[#This Row],[Quantity_correct]]/0.8333,
"NA")))</f>
        <v>188.0990595047025</v>
      </c>
      <c r="N269" s="1">
        <v>188.1</v>
      </c>
    </row>
    <row r="270" spans="1:14" ht="12.5" hidden="1" x14ac:dyDescent="0.25">
      <c r="A270" s="1" t="s">
        <v>15</v>
      </c>
      <c r="B270" s="1" t="s">
        <v>15</v>
      </c>
      <c r="C270" s="1" t="str">
        <f>IF(OR(Table2[[#This Row],[units]]="litre_(l)", Table2[[#This Row],[units]]="gallon_(gal)", Table2[[#This Row],[units]]="cubic_metre_(m3)"), "water", Table2[[#This Row],[type2]])</f>
        <v>electricity</v>
      </c>
      <c r="D270" s="1" t="s">
        <v>128</v>
      </c>
      <c r="E270" s="1" t="s">
        <v>116</v>
      </c>
      <c r="F270" s="8">
        <f t="shared" si="8"/>
        <v>45036</v>
      </c>
      <c r="G270" s="1" t="s">
        <v>197</v>
      </c>
      <c r="H270" s="8">
        <f t="shared" si="9"/>
        <v>45064</v>
      </c>
      <c r="I270" s="4">
        <v>1324</v>
      </c>
      <c r="J27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1324</v>
      </c>
      <c r="K270" s="4" t="str">
        <f>IF(Table2[[#This Row],[Type]]="electricity", "kilowatt_hour_(kwh)",
IF(Table2[[#This Row],[Type]]="water", "cubic_metre_(m3)",
IF(Table2[[#This Row],[Type]]="heat", "therm_(thm)",
"NA")))</f>
        <v>kilowatt_hour_(kwh)</v>
      </c>
      <c r="L270" s="1" t="s">
        <v>129</v>
      </c>
      <c r="M270" s="10">
        <f>IF(Table2[[#This Row],[Type]]="electricity", Table2[[#This Row],[Quantity_correct]]/6.6667,
IF(Table2[[#This Row],[Type]]="water", Table2[[#This Row],[Quantity_correct]]/3.333,
IF(Table2[[#This Row],[Type]]="heat", Table2[[#This Row],[Quantity_correct]]/0.8333,
"NA")))</f>
        <v>198.59900700496499</v>
      </c>
      <c r="N270" s="1">
        <v>198.6</v>
      </c>
    </row>
    <row r="271" spans="1:14" ht="12.5" hidden="1" x14ac:dyDescent="0.25">
      <c r="A271" s="1" t="s">
        <v>15</v>
      </c>
      <c r="B271" s="1" t="s">
        <v>15</v>
      </c>
      <c r="C271" s="1" t="str">
        <f>IF(OR(Table2[[#This Row],[units]]="litre_(l)", Table2[[#This Row],[units]]="gallon_(gal)", Table2[[#This Row],[units]]="cubic_metre_(m3)"), "water", Table2[[#This Row],[type2]])</f>
        <v>electricity</v>
      </c>
      <c r="D271" s="1" t="s">
        <v>128</v>
      </c>
      <c r="E271" s="1" t="s">
        <v>198</v>
      </c>
      <c r="F271" s="8">
        <f t="shared" si="8"/>
        <v>45065</v>
      </c>
      <c r="G271" s="1" t="s">
        <v>199</v>
      </c>
      <c r="H271" s="8">
        <f t="shared" si="9"/>
        <v>45097</v>
      </c>
      <c r="I271" s="4">
        <v>1207</v>
      </c>
      <c r="J27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1207</v>
      </c>
      <c r="K271" s="4" t="str">
        <f>IF(Table2[[#This Row],[Type]]="electricity", "kilowatt_hour_(kwh)",
IF(Table2[[#This Row],[Type]]="water", "cubic_metre_(m3)",
IF(Table2[[#This Row],[Type]]="heat", "therm_(thm)",
"NA")))</f>
        <v>kilowatt_hour_(kwh)</v>
      </c>
      <c r="L271" s="1" t="s">
        <v>129</v>
      </c>
      <c r="M271" s="10">
        <f>IF(Table2[[#This Row],[Type]]="electricity", Table2[[#This Row],[Quantity_correct]]/6.6667,
IF(Table2[[#This Row],[Type]]="water", Table2[[#This Row],[Quantity_correct]]/3.333,
IF(Table2[[#This Row],[Type]]="heat", Table2[[#This Row],[Quantity_correct]]/0.8333,
"NA")))</f>
        <v>181.04909475452624</v>
      </c>
      <c r="N271" s="1">
        <v>181.05</v>
      </c>
    </row>
    <row r="272" spans="1:14" ht="12.5" hidden="1" x14ac:dyDescent="0.25">
      <c r="A272" s="1" t="s">
        <v>15</v>
      </c>
      <c r="B272" s="1" t="s">
        <v>15</v>
      </c>
      <c r="C272" s="1" t="str">
        <f>IF(OR(Table2[[#This Row],[units]]="litre_(l)", Table2[[#This Row],[units]]="gallon_(gal)", Table2[[#This Row],[units]]="cubic_metre_(m3)"), "water", Table2[[#This Row],[type2]])</f>
        <v>electricity</v>
      </c>
      <c r="D272" s="1" t="s">
        <v>128</v>
      </c>
      <c r="E272" s="1" t="s">
        <v>198</v>
      </c>
      <c r="F272" s="8">
        <f t="shared" si="8"/>
        <v>45065</v>
      </c>
      <c r="G272" s="1" t="s">
        <v>199</v>
      </c>
      <c r="H272" s="8">
        <f t="shared" si="9"/>
        <v>45097</v>
      </c>
      <c r="I272" s="4">
        <v>2149</v>
      </c>
      <c r="J27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2149</v>
      </c>
      <c r="K272" s="4" t="str">
        <f>IF(Table2[[#This Row],[Type]]="electricity", "kilowatt_hour_(kwh)",
IF(Table2[[#This Row],[Type]]="water", "cubic_metre_(m3)",
IF(Table2[[#This Row],[Type]]="heat", "therm_(thm)",
"NA")))</f>
        <v>kilowatt_hour_(kwh)</v>
      </c>
      <c r="L272" s="1" t="s">
        <v>129</v>
      </c>
      <c r="M272" s="10">
        <f>IF(Table2[[#This Row],[Type]]="electricity", Table2[[#This Row],[Quantity_correct]]/6.6667,
IF(Table2[[#This Row],[Type]]="water", Table2[[#This Row],[Quantity_correct]]/3.333,
IF(Table2[[#This Row],[Type]]="heat", Table2[[#This Row],[Quantity_correct]]/0.8333,
"NA")))</f>
        <v>322.34838825805872</v>
      </c>
      <c r="N272" s="1">
        <v>322.35000000000002</v>
      </c>
    </row>
    <row r="273" spans="1:14" ht="12.5" hidden="1" x14ac:dyDescent="0.25">
      <c r="A273" s="1" t="s">
        <v>15</v>
      </c>
      <c r="B273" s="1" t="s">
        <v>15</v>
      </c>
      <c r="C273" s="1" t="str">
        <f>IF(OR(Table2[[#This Row],[units]]="litre_(l)", Table2[[#This Row],[units]]="gallon_(gal)", Table2[[#This Row],[units]]="cubic_metre_(m3)"), "water", Table2[[#This Row],[type2]])</f>
        <v>electricity</v>
      </c>
      <c r="D273" s="1" t="s">
        <v>128</v>
      </c>
      <c r="E273" s="1" t="s">
        <v>200</v>
      </c>
      <c r="F273" s="8">
        <f t="shared" si="8"/>
        <v>45098</v>
      </c>
      <c r="G273" s="1" t="s">
        <v>201</v>
      </c>
      <c r="H273" s="8">
        <f t="shared" si="9"/>
        <v>45126</v>
      </c>
      <c r="I273" s="4">
        <v>1925</v>
      </c>
      <c r="J27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1925</v>
      </c>
      <c r="K273" s="4" t="str">
        <f>IF(Table2[[#This Row],[Type]]="electricity", "kilowatt_hour_(kwh)",
IF(Table2[[#This Row],[Type]]="water", "cubic_metre_(m3)",
IF(Table2[[#This Row],[Type]]="heat", "therm_(thm)",
"NA")))</f>
        <v>kilowatt_hour_(kwh)</v>
      </c>
      <c r="L273" s="1" t="s">
        <v>129</v>
      </c>
      <c r="M273" s="10">
        <f>IF(Table2[[#This Row],[Type]]="electricity", Table2[[#This Row],[Quantity_correct]]/6.6667,
IF(Table2[[#This Row],[Type]]="water", Table2[[#This Row],[Quantity_correct]]/3.333,
IF(Table2[[#This Row],[Type]]="heat", Table2[[#This Row],[Quantity_correct]]/0.8333,
"NA")))</f>
        <v>288.74855625721875</v>
      </c>
      <c r="N273" s="1">
        <v>288.75</v>
      </c>
    </row>
    <row r="274" spans="1:14" ht="12.5" hidden="1" x14ac:dyDescent="0.25">
      <c r="A274" s="1" t="s">
        <v>15</v>
      </c>
      <c r="B274" s="1" t="s">
        <v>15</v>
      </c>
      <c r="C274" s="1" t="str">
        <f>IF(OR(Table2[[#This Row],[units]]="litre_(l)", Table2[[#This Row],[units]]="gallon_(gal)", Table2[[#This Row],[units]]="cubic_metre_(m3)"), "water", Table2[[#This Row],[type2]])</f>
        <v>electricity</v>
      </c>
      <c r="D274" s="1" t="s">
        <v>128</v>
      </c>
      <c r="E274" s="1" t="s">
        <v>200</v>
      </c>
      <c r="F274" s="8">
        <f t="shared" si="8"/>
        <v>45098</v>
      </c>
      <c r="G274" s="1" t="s">
        <v>201</v>
      </c>
      <c r="H274" s="8">
        <f t="shared" si="9"/>
        <v>45126</v>
      </c>
      <c r="I274" s="4">
        <v>2107</v>
      </c>
      <c r="J27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2107</v>
      </c>
      <c r="K274" s="4" t="str">
        <f>IF(Table2[[#This Row],[Type]]="electricity", "kilowatt_hour_(kwh)",
IF(Table2[[#This Row],[Type]]="water", "cubic_metre_(m3)",
IF(Table2[[#This Row],[Type]]="heat", "therm_(thm)",
"NA")))</f>
        <v>kilowatt_hour_(kwh)</v>
      </c>
      <c r="L274" s="1" t="s">
        <v>129</v>
      </c>
      <c r="M274" s="10">
        <f>IF(Table2[[#This Row],[Type]]="electricity", Table2[[#This Row],[Quantity_correct]]/6.6667,
IF(Table2[[#This Row],[Type]]="water", Table2[[#This Row],[Quantity_correct]]/3.333,
IF(Table2[[#This Row],[Type]]="heat", Table2[[#This Row],[Quantity_correct]]/0.8333,
"NA")))</f>
        <v>316.04841975790123</v>
      </c>
      <c r="N274" s="1">
        <v>316.05</v>
      </c>
    </row>
    <row r="275" spans="1:14" ht="12.5" hidden="1" x14ac:dyDescent="0.25">
      <c r="A275" s="1" t="s">
        <v>15</v>
      </c>
      <c r="B275" s="1" t="s">
        <v>15</v>
      </c>
      <c r="C275" s="1" t="str">
        <f>IF(OR(Table2[[#This Row],[units]]="litre_(l)", Table2[[#This Row],[units]]="gallon_(gal)", Table2[[#This Row],[units]]="cubic_metre_(m3)"), "water", Table2[[#This Row],[type2]])</f>
        <v>electricity</v>
      </c>
      <c r="D275" s="1" t="s">
        <v>128</v>
      </c>
      <c r="E275" s="1" t="s">
        <v>122</v>
      </c>
      <c r="F275" s="8">
        <f t="shared" si="8"/>
        <v>45127</v>
      </c>
      <c r="G275" s="1" t="s">
        <v>202</v>
      </c>
      <c r="H275" s="8">
        <f t="shared" si="9"/>
        <v>45156</v>
      </c>
      <c r="I275" s="4">
        <v>1905</v>
      </c>
      <c r="J27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1905</v>
      </c>
      <c r="K275" s="4" t="str">
        <f>IF(Table2[[#This Row],[Type]]="electricity", "kilowatt_hour_(kwh)",
IF(Table2[[#This Row],[Type]]="water", "cubic_metre_(m3)",
IF(Table2[[#This Row],[Type]]="heat", "therm_(thm)",
"NA")))</f>
        <v>kilowatt_hour_(kwh)</v>
      </c>
      <c r="L275" s="1" t="s">
        <v>129</v>
      </c>
      <c r="M275" s="10">
        <f>IF(Table2[[#This Row],[Type]]="electricity", Table2[[#This Row],[Quantity_correct]]/6.6667,
IF(Table2[[#This Row],[Type]]="water", Table2[[#This Row],[Quantity_correct]]/3.333,
IF(Table2[[#This Row],[Type]]="heat", Table2[[#This Row],[Quantity_correct]]/0.8333,
"NA")))</f>
        <v>285.74857125714374</v>
      </c>
      <c r="N275" s="1">
        <v>285.75</v>
      </c>
    </row>
    <row r="276" spans="1:14" ht="12.5" hidden="1" x14ac:dyDescent="0.25">
      <c r="A276" s="1" t="s">
        <v>15</v>
      </c>
      <c r="B276" s="1" t="s">
        <v>15</v>
      </c>
      <c r="C276" s="1" t="str">
        <f>IF(OR(Table2[[#This Row],[units]]="litre_(l)", Table2[[#This Row],[units]]="gallon_(gal)", Table2[[#This Row],[units]]="cubic_metre_(m3)"), "water", Table2[[#This Row],[type2]])</f>
        <v>electricity</v>
      </c>
      <c r="D276" s="1" t="s">
        <v>128</v>
      </c>
      <c r="E276" s="1" t="s">
        <v>122</v>
      </c>
      <c r="F276" s="8">
        <f t="shared" si="8"/>
        <v>45127</v>
      </c>
      <c r="G276" s="1" t="s">
        <v>202</v>
      </c>
      <c r="H276" s="8">
        <f t="shared" si="9"/>
        <v>45156</v>
      </c>
      <c r="I276" s="4">
        <v>2665</v>
      </c>
      <c r="J27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2665</v>
      </c>
      <c r="K276" s="4" t="str">
        <f>IF(Table2[[#This Row],[Type]]="electricity", "kilowatt_hour_(kwh)",
IF(Table2[[#This Row],[Type]]="water", "cubic_metre_(m3)",
IF(Table2[[#This Row],[Type]]="heat", "therm_(thm)",
"NA")))</f>
        <v>kilowatt_hour_(kwh)</v>
      </c>
      <c r="L276" s="1" t="s">
        <v>129</v>
      </c>
      <c r="M276" s="10">
        <f>IF(Table2[[#This Row],[Type]]="electricity", Table2[[#This Row],[Quantity_correct]]/6.6667,
IF(Table2[[#This Row],[Type]]="water", Table2[[#This Row],[Quantity_correct]]/3.333,
IF(Table2[[#This Row],[Type]]="heat", Table2[[#This Row],[Quantity_correct]]/0.8333,
"NA")))</f>
        <v>399.74800125999371</v>
      </c>
      <c r="N276" s="1">
        <v>399.75</v>
      </c>
    </row>
    <row r="277" spans="1:14" ht="12.5" hidden="1" x14ac:dyDescent="0.25">
      <c r="A277" s="1" t="s">
        <v>15</v>
      </c>
      <c r="B277" s="1" t="s">
        <v>15</v>
      </c>
      <c r="C277" s="1" t="str">
        <f>IF(OR(Table2[[#This Row],[units]]="litre_(l)", Table2[[#This Row],[units]]="gallon_(gal)", Table2[[#This Row],[units]]="cubic_metre_(m3)"), "water", Table2[[#This Row],[type2]])</f>
        <v>electricity</v>
      </c>
      <c r="D277" s="1" t="s">
        <v>128</v>
      </c>
      <c r="E277" s="1" t="s">
        <v>203</v>
      </c>
      <c r="F277" s="8">
        <f t="shared" si="8"/>
        <v>45157</v>
      </c>
      <c r="G277" s="1" t="s">
        <v>204</v>
      </c>
      <c r="H277" s="8">
        <f t="shared" si="9"/>
        <v>45188</v>
      </c>
      <c r="I277" s="4">
        <v>1241</v>
      </c>
      <c r="J27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1241</v>
      </c>
      <c r="K277" s="4" t="str">
        <f>IF(Table2[[#This Row],[Type]]="electricity", "kilowatt_hour_(kwh)",
IF(Table2[[#This Row],[Type]]="water", "cubic_metre_(m3)",
IF(Table2[[#This Row],[Type]]="heat", "therm_(thm)",
"NA")))</f>
        <v>kilowatt_hour_(kwh)</v>
      </c>
      <c r="L277" s="1" t="s">
        <v>129</v>
      </c>
      <c r="M277" s="10">
        <f>IF(Table2[[#This Row],[Type]]="electricity", Table2[[#This Row],[Quantity_correct]]/6.6667,
IF(Table2[[#This Row],[Type]]="water", Table2[[#This Row],[Quantity_correct]]/3.333,
IF(Table2[[#This Row],[Type]]="heat", Table2[[#This Row],[Quantity_correct]]/0.8333,
"NA")))</f>
        <v>186.14906925465374</v>
      </c>
      <c r="N277" s="1">
        <v>186.15</v>
      </c>
    </row>
    <row r="278" spans="1:14" ht="12.5" hidden="1" x14ac:dyDescent="0.25">
      <c r="A278" s="1" t="s">
        <v>15</v>
      </c>
      <c r="B278" s="1" t="s">
        <v>15</v>
      </c>
      <c r="C278" s="1" t="str">
        <f>IF(OR(Table2[[#This Row],[units]]="litre_(l)", Table2[[#This Row],[units]]="gallon_(gal)", Table2[[#This Row],[units]]="cubic_metre_(m3)"), "water", Table2[[#This Row],[type2]])</f>
        <v>electricity</v>
      </c>
      <c r="D278" s="1" t="s">
        <v>128</v>
      </c>
      <c r="E278" s="1" t="s">
        <v>203</v>
      </c>
      <c r="F278" s="8">
        <f t="shared" si="8"/>
        <v>45157</v>
      </c>
      <c r="G278" s="1" t="s">
        <v>204</v>
      </c>
      <c r="H278" s="8">
        <f t="shared" si="9"/>
        <v>45188</v>
      </c>
      <c r="I278" s="4">
        <v>1707</v>
      </c>
      <c r="J27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1707</v>
      </c>
      <c r="K278" s="4" t="str">
        <f>IF(Table2[[#This Row],[Type]]="electricity", "kilowatt_hour_(kwh)",
IF(Table2[[#This Row],[Type]]="water", "cubic_metre_(m3)",
IF(Table2[[#This Row],[Type]]="heat", "therm_(thm)",
"NA")))</f>
        <v>kilowatt_hour_(kwh)</v>
      </c>
      <c r="L278" s="1" t="s">
        <v>129</v>
      </c>
      <c r="M278" s="10">
        <f>IF(Table2[[#This Row],[Type]]="electricity", Table2[[#This Row],[Quantity_correct]]/6.6667,
IF(Table2[[#This Row],[Type]]="water", Table2[[#This Row],[Quantity_correct]]/3.333,
IF(Table2[[#This Row],[Type]]="heat", Table2[[#This Row],[Quantity_correct]]/0.8333,
"NA")))</f>
        <v>256.04871975640123</v>
      </c>
      <c r="N278" s="1">
        <v>256.05</v>
      </c>
    </row>
    <row r="279" spans="1:14" ht="12.5" hidden="1" x14ac:dyDescent="0.25">
      <c r="A279" s="1" t="s">
        <v>15</v>
      </c>
      <c r="B279" s="1" t="s">
        <v>15</v>
      </c>
      <c r="C279" s="1" t="str">
        <f>IF(OR(Table2[[#This Row],[units]]="litre_(l)", Table2[[#This Row],[units]]="gallon_(gal)", Table2[[#This Row],[units]]="cubic_metre_(m3)"), "water", Table2[[#This Row],[type2]])</f>
        <v>electricity</v>
      </c>
      <c r="D279" s="1" t="s">
        <v>128</v>
      </c>
      <c r="E279" s="1" t="s">
        <v>205</v>
      </c>
      <c r="F279" s="8">
        <f t="shared" si="8"/>
        <v>45189</v>
      </c>
      <c r="G279" s="1" t="s">
        <v>206</v>
      </c>
      <c r="H279" s="8">
        <f t="shared" si="9"/>
        <v>45218</v>
      </c>
      <c r="I279" s="1">
        <v>401</v>
      </c>
      <c r="J27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401</v>
      </c>
      <c r="K279" s="4" t="str">
        <f>IF(Table2[[#This Row],[Type]]="electricity", "kilowatt_hour_(kwh)",
IF(Table2[[#This Row],[Type]]="water", "cubic_metre_(m3)",
IF(Table2[[#This Row],[Type]]="heat", "therm_(thm)",
"NA")))</f>
        <v>kilowatt_hour_(kwh)</v>
      </c>
      <c r="L279" s="1" t="s">
        <v>129</v>
      </c>
      <c r="M279" s="10">
        <f>IF(Table2[[#This Row],[Type]]="electricity", Table2[[#This Row],[Quantity_correct]]/6.6667,
IF(Table2[[#This Row],[Type]]="water", Table2[[#This Row],[Quantity_correct]]/3.333,
IF(Table2[[#This Row],[Type]]="heat", Table2[[#This Row],[Quantity_correct]]/0.8333,
"NA")))</f>
        <v>60.149699251503748</v>
      </c>
      <c r="N279" s="1">
        <v>60.15</v>
      </c>
    </row>
    <row r="280" spans="1:14" ht="12.5" hidden="1" x14ac:dyDescent="0.25">
      <c r="A280" s="1" t="s">
        <v>15</v>
      </c>
      <c r="B280" s="1" t="s">
        <v>15</v>
      </c>
      <c r="C280" s="1" t="str">
        <f>IF(OR(Table2[[#This Row],[units]]="litre_(l)", Table2[[#This Row],[units]]="gallon_(gal)", Table2[[#This Row],[units]]="cubic_metre_(m3)"), "water", Table2[[#This Row],[type2]])</f>
        <v>electricity</v>
      </c>
      <c r="D280" s="1" t="s">
        <v>128</v>
      </c>
      <c r="E280" s="1" t="s">
        <v>205</v>
      </c>
      <c r="F280" s="8">
        <f t="shared" si="8"/>
        <v>45189</v>
      </c>
      <c r="G280" s="1" t="s">
        <v>206</v>
      </c>
      <c r="H280" s="8">
        <f t="shared" si="9"/>
        <v>45218</v>
      </c>
      <c r="I280" s="1">
        <v>699</v>
      </c>
      <c r="J28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699</v>
      </c>
      <c r="K280" s="4" t="str">
        <f>IF(Table2[[#This Row],[Type]]="electricity", "kilowatt_hour_(kwh)",
IF(Table2[[#This Row],[Type]]="water", "cubic_metre_(m3)",
IF(Table2[[#This Row],[Type]]="heat", "therm_(thm)",
"NA")))</f>
        <v>kilowatt_hour_(kwh)</v>
      </c>
      <c r="L280" s="1" t="s">
        <v>129</v>
      </c>
      <c r="M280" s="10">
        <f>IF(Table2[[#This Row],[Type]]="electricity", Table2[[#This Row],[Quantity_correct]]/6.6667,
IF(Table2[[#This Row],[Type]]="water", Table2[[#This Row],[Quantity_correct]]/3.333,
IF(Table2[[#This Row],[Type]]="heat", Table2[[#This Row],[Quantity_correct]]/0.8333,
"NA")))</f>
        <v>104.84947575262125</v>
      </c>
      <c r="N280" s="1">
        <v>104.85</v>
      </c>
    </row>
    <row r="281" spans="1:14" ht="12.5" hidden="1" x14ac:dyDescent="0.25">
      <c r="A281" s="1" t="s">
        <v>15</v>
      </c>
      <c r="B281" s="1" t="s">
        <v>15</v>
      </c>
      <c r="C281" s="1" t="str">
        <f>IF(OR(Table2[[#This Row],[units]]="litre_(l)", Table2[[#This Row],[units]]="gallon_(gal)", Table2[[#This Row],[units]]="cubic_metre_(m3)"), "water", Table2[[#This Row],[type2]])</f>
        <v>electricity</v>
      </c>
      <c r="D281" s="1" t="s">
        <v>128</v>
      </c>
      <c r="E281" s="1" t="s">
        <v>207</v>
      </c>
      <c r="F281" s="8">
        <f t="shared" si="8"/>
        <v>45219</v>
      </c>
      <c r="G281" s="1" t="s">
        <v>208</v>
      </c>
      <c r="H281" s="8">
        <f t="shared" si="9"/>
        <v>45247</v>
      </c>
      <c r="I281" s="1">
        <v>227.18</v>
      </c>
      <c r="J28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227.18</v>
      </c>
      <c r="K281" s="4" t="str">
        <f>IF(Table2[[#This Row],[Type]]="electricity", "kilowatt_hour_(kwh)",
IF(Table2[[#This Row],[Type]]="water", "cubic_metre_(m3)",
IF(Table2[[#This Row],[Type]]="heat", "therm_(thm)",
"NA")))</f>
        <v>kilowatt_hour_(kwh)</v>
      </c>
      <c r="L281" s="1" t="s">
        <v>129</v>
      </c>
      <c r="M281" s="10">
        <f>IF(Table2[[#This Row],[Type]]="electricity", Table2[[#This Row],[Quantity_correct]]/6.6667,
IF(Table2[[#This Row],[Type]]="water", Table2[[#This Row],[Quantity_correct]]/3.333,
IF(Table2[[#This Row],[Type]]="heat", Table2[[#This Row],[Quantity_correct]]/0.8333,
"NA")))</f>
        <v>34.076829615851921</v>
      </c>
      <c r="N281" s="1">
        <v>34.076999999999998</v>
      </c>
    </row>
    <row r="282" spans="1:14" ht="12.5" hidden="1" x14ac:dyDescent="0.25">
      <c r="A282" s="1" t="s">
        <v>15</v>
      </c>
      <c r="B282" s="1" t="s">
        <v>15</v>
      </c>
      <c r="C282" s="1" t="str">
        <f>IF(OR(Table2[[#This Row],[units]]="litre_(l)", Table2[[#This Row],[units]]="gallon_(gal)", Table2[[#This Row],[units]]="cubic_metre_(m3)"), "water", Table2[[#This Row],[type2]])</f>
        <v>electricity</v>
      </c>
      <c r="D282" s="1" t="s">
        <v>128</v>
      </c>
      <c r="E282" s="1" t="s">
        <v>207</v>
      </c>
      <c r="F282" s="8">
        <f t="shared" si="8"/>
        <v>45219</v>
      </c>
      <c r="G282" s="1" t="s">
        <v>208</v>
      </c>
      <c r="H282" s="8">
        <f t="shared" si="9"/>
        <v>45247</v>
      </c>
      <c r="I282" s="1">
        <v>516</v>
      </c>
      <c r="J28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516</v>
      </c>
      <c r="K282" s="4" t="str">
        <f>IF(Table2[[#This Row],[Type]]="electricity", "kilowatt_hour_(kwh)",
IF(Table2[[#This Row],[Type]]="water", "cubic_metre_(m3)",
IF(Table2[[#This Row],[Type]]="heat", "therm_(thm)",
"NA")))</f>
        <v>kilowatt_hour_(kwh)</v>
      </c>
      <c r="L282" s="1" t="s">
        <v>129</v>
      </c>
      <c r="M282" s="10">
        <f>IF(Table2[[#This Row],[Type]]="electricity", Table2[[#This Row],[Quantity_correct]]/6.6667,
IF(Table2[[#This Row],[Type]]="water", Table2[[#This Row],[Quantity_correct]]/3.333,
IF(Table2[[#This Row],[Type]]="heat", Table2[[#This Row],[Quantity_correct]]/0.8333,
"NA")))</f>
        <v>77.399613001934995</v>
      </c>
      <c r="N282" s="1">
        <v>77.400000000000006</v>
      </c>
    </row>
    <row r="283" spans="1:14" ht="12.5" hidden="1" x14ac:dyDescent="0.25">
      <c r="A283" s="1" t="s">
        <v>15</v>
      </c>
      <c r="B283" s="1" t="s">
        <v>15</v>
      </c>
      <c r="C283" s="1" t="str">
        <f>IF(OR(Table2[[#This Row],[units]]="litre_(l)", Table2[[#This Row],[units]]="gallon_(gal)", Table2[[#This Row],[units]]="cubic_metre_(m3)"), "water", Table2[[#This Row],[type2]])</f>
        <v>electricity</v>
      </c>
      <c r="D283" s="1" t="s">
        <v>128</v>
      </c>
      <c r="E283" s="1" t="s">
        <v>209</v>
      </c>
      <c r="F283" s="8">
        <f t="shared" si="8"/>
        <v>45248</v>
      </c>
      <c r="G283" s="1" t="s">
        <v>210</v>
      </c>
      <c r="H283" s="8">
        <f t="shared" si="9"/>
        <v>45278</v>
      </c>
      <c r="I283" s="1">
        <v>280</v>
      </c>
      <c r="J28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280</v>
      </c>
      <c r="K283" s="4" t="str">
        <f>IF(Table2[[#This Row],[Type]]="electricity", "kilowatt_hour_(kwh)",
IF(Table2[[#This Row],[Type]]="water", "cubic_metre_(m3)",
IF(Table2[[#This Row],[Type]]="heat", "therm_(thm)",
"NA")))</f>
        <v>kilowatt_hour_(kwh)</v>
      </c>
      <c r="L283" s="1" t="s">
        <v>129</v>
      </c>
      <c r="M283" s="10">
        <f>IF(Table2[[#This Row],[Type]]="electricity", Table2[[#This Row],[Quantity_correct]]/6.6667,
IF(Table2[[#This Row],[Type]]="water", Table2[[#This Row],[Quantity_correct]]/3.333,
IF(Table2[[#This Row],[Type]]="heat", Table2[[#This Row],[Quantity_correct]]/0.8333,
"NA")))</f>
        <v>41.999790001049995</v>
      </c>
      <c r="N283" s="1">
        <v>42</v>
      </c>
    </row>
    <row r="284" spans="1:14" ht="12.5" hidden="1" x14ac:dyDescent="0.25">
      <c r="A284" s="1" t="s">
        <v>15</v>
      </c>
      <c r="B284" s="1" t="s">
        <v>15</v>
      </c>
      <c r="C284" s="1" t="str">
        <f>IF(OR(Table2[[#This Row],[units]]="litre_(l)", Table2[[#This Row],[units]]="gallon_(gal)", Table2[[#This Row],[units]]="cubic_metre_(m3)"), "water", Table2[[#This Row],[type2]])</f>
        <v>electricity</v>
      </c>
      <c r="D284" s="1" t="s">
        <v>128</v>
      </c>
      <c r="E284" s="1" t="s">
        <v>209</v>
      </c>
      <c r="F284" s="8">
        <f t="shared" si="8"/>
        <v>45248</v>
      </c>
      <c r="G284" s="1" t="s">
        <v>210</v>
      </c>
      <c r="H284" s="8">
        <f t="shared" si="9"/>
        <v>45278</v>
      </c>
      <c r="I284" s="1">
        <v>543</v>
      </c>
      <c r="J28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543</v>
      </c>
      <c r="K284" s="4" t="str">
        <f>IF(Table2[[#This Row],[Type]]="electricity", "kilowatt_hour_(kwh)",
IF(Table2[[#This Row],[Type]]="water", "cubic_metre_(m3)",
IF(Table2[[#This Row],[Type]]="heat", "therm_(thm)",
"NA")))</f>
        <v>kilowatt_hour_(kwh)</v>
      </c>
      <c r="L284" s="1" t="s">
        <v>129</v>
      </c>
      <c r="M284" s="10">
        <f>IF(Table2[[#This Row],[Type]]="electricity", Table2[[#This Row],[Quantity_correct]]/6.6667,
IF(Table2[[#This Row],[Type]]="water", Table2[[#This Row],[Quantity_correct]]/3.333,
IF(Table2[[#This Row],[Type]]="heat", Table2[[#This Row],[Quantity_correct]]/0.8333,
"NA")))</f>
        <v>81.449592752036239</v>
      </c>
      <c r="N284" s="1">
        <v>81.45</v>
      </c>
    </row>
    <row r="285" spans="1:14" ht="12.5" hidden="1" x14ac:dyDescent="0.25">
      <c r="A285" s="1" t="s">
        <v>15</v>
      </c>
      <c r="B285" s="1" t="s">
        <v>15</v>
      </c>
      <c r="C285" s="1" t="str">
        <f>IF(OR(Table2[[#This Row],[units]]="litre_(l)", Table2[[#This Row],[units]]="gallon_(gal)", Table2[[#This Row],[units]]="cubic_metre_(m3)"), "water", Table2[[#This Row],[type2]])</f>
        <v>heat</v>
      </c>
      <c r="D285" s="1" t="s">
        <v>140</v>
      </c>
      <c r="E285" s="3">
        <v>44693</v>
      </c>
      <c r="F285" s="8">
        <f t="shared" si="8"/>
        <v>44900</v>
      </c>
      <c r="G285" s="3">
        <v>45047</v>
      </c>
      <c r="H285" s="8">
        <f t="shared" si="9"/>
        <v>44931</v>
      </c>
      <c r="I285" s="1">
        <v>138</v>
      </c>
      <c r="J28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138</v>
      </c>
      <c r="K285" s="4" t="str">
        <f>IF(Table2[[#This Row],[Type]]="electricity", "kilowatt_hour_(kwh)",
IF(Table2[[#This Row],[Type]]="water", "cubic_metre_(m3)",
IF(Table2[[#This Row],[Type]]="heat", "therm_(thm)",
"NA")))</f>
        <v>therm_(thm)</v>
      </c>
      <c r="L285" s="1" t="s">
        <v>211</v>
      </c>
      <c r="M285" s="10">
        <f>IF(Table2[[#This Row],[Type]]="electricity", Table2[[#This Row],[Quantity_correct]]/6.6667,
IF(Table2[[#This Row],[Type]]="water", Table2[[#This Row],[Quantity_correct]]/3.333,
IF(Table2[[#This Row],[Type]]="heat", Table2[[#This Row],[Quantity_correct]]/0.8333,
"NA")))</f>
        <v>165.60662426497058</v>
      </c>
      <c r="N285" s="1">
        <v>165.6</v>
      </c>
    </row>
    <row r="286" spans="1:14" ht="12.5" hidden="1" x14ac:dyDescent="0.25">
      <c r="A286" s="1" t="s">
        <v>15</v>
      </c>
      <c r="B286" s="1" t="s">
        <v>15</v>
      </c>
      <c r="C286" s="1" t="str">
        <f>IF(OR(Table2[[#This Row],[units]]="litre_(l)", Table2[[#This Row],[units]]="gallon_(gal)", Table2[[#This Row],[units]]="cubic_metre_(m3)"), "water", Table2[[#This Row],[type2]])</f>
        <v>heat</v>
      </c>
      <c r="D286" s="1" t="s">
        <v>140</v>
      </c>
      <c r="E286" s="3">
        <v>44693</v>
      </c>
      <c r="F286" s="8">
        <f t="shared" si="8"/>
        <v>44900</v>
      </c>
      <c r="G286" s="3">
        <v>45047</v>
      </c>
      <c r="H286" s="8">
        <f t="shared" si="9"/>
        <v>44931</v>
      </c>
      <c r="I286" s="1">
        <v>210</v>
      </c>
      <c r="J28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210</v>
      </c>
      <c r="K286" s="4" t="str">
        <f>IF(Table2[[#This Row],[Type]]="electricity", "kilowatt_hour_(kwh)",
IF(Table2[[#This Row],[Type]]="water", "cubic_metre_(m3)",
IF(Table2[[#This Row],[Type]]="heat", "therm_(thm)",
"NA")))</f>
        <v>therm_(thm)</v>
      </c>
      <c r="L286" s="1" t="s">
        <v>211</v>
      </c>
      <c r="M286" s="10">
        <f>IF(Table2[[#This Row],[Type]]="electricity", Table2[[#This Row],[Quantity_correct]]/6.6667,
IF(Table2[[#This Row],[Type]]="water", Table2[[#This Row],[Quantity_correct]]/3.333,
IF(Table2[[#This Row],[Type]]="heat", Table2[[#This Row],[Quantity_correct]]/0.8333,
"NA")))</f>
        <v>252.01008040321611</v>
      </c>
      <c r="N286" s="1">
        <v>252</v>
      </c>
    </row>
    <row r="287" spans="1:14" ht="12.5" hidden="1" x14ac:dyDescent="0.25">
      <c r="A287" s="1" t="s">
        <v>15</v>
      </c>
      <c r="B287" s="1" t="s">
        <v>15</v>
      </c>
      <c r="C287" s="1" t="str">
        <f>IF(OR(Table2[[#This Row],[units]]="litre_(l)", Table2[[#This Row],[units]]="gallon_(gal)", Table2[[#This Row],[units]]="cubic_metre_(m3)"), "water", Table2[[#This Row],[type2]])</f>
        <v>heat</v>
      </c>
      <c r="D287" s="1" t="s">
        <v>140</v>
      </c>
      <c r="E287" s="3">
        <v>45047</v>
      </c>
      <c r="F287" s="8">
        <f t="shared" si="8"/>
        <v>44931</v>
      </c>
      <c r="G287" s="3">
        <v>44987</v>
      </c>
      <c r="H287" s="8">
        <f t="shared" si="9"/>
        <v>44960</v>
      </c>
      <c r="I287" s="1">
        <v>53</v>
      </c>
      <c r="J28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53</v>
      </c>
      <c r="K287" s="4" t="str">
        <f>IF(Table2[[#This Row],[Type]]="electricity", "kilowatt_hour_(kwh)",
IF(Table2[[#This Row],[Type]]="water", "cubic_metre_(m3)",
IF(Table2[[#This Row],[Type]]="heat", "therm_(thm)",
"NA")))</f>
        <v>therm_(thm)</v>
      </c>
      <c r="L287" s="1" t="s">
        <v>211</v>
      </c>
      <c r="M287" s="10">
        <f>IF(Table2[[#This Row],[Type]]="electricity", Table2[[#This Row],[Quantity_correct]]/6.6667,
IF(Table2[[#This Row],[Type]]="water", Table2[[#This Row],[Quantity_correct]]/3.333,
IF(Table2[[#This Row],[Type]]="heat", Table2[[#This Row],[Quantity_correct]]/0.8333,
"NA")))</f>
        <v>63.602544101764067</v>
      </c>
      <c r="N287" s="1">
        <v>63.6</v>
      </c>
    </row>
    <row r="288" spans="1:14" ht="12.5" hidden="1" x14ac:dyDescent="0.25">
      <c r="A288" s="1" t="s">
        <v>15</v>
      </c>
      <c r="B288" s="1" t="s">
        <v>15</v>
      </c>
      <c r="C288" s="1" t="str">
        <f>IF(OR(Table2[[#This Row],[units]]="litre_(l)", Table2[[#This Row],[units]]="gallon_(gal)", Table2[[#This Row],[units]]="cubic_metre_(m3)"), "water", Table2[[#This Row],[type2]])</f>
        <v>heat</v>
      </c>
      <c r="D288" s="1" t="s">
        <v>140</v>
      </c>
      <c r="E288" s="3">
        <v>45047</v>
      </c>
      <c r="F288" s="8">
        <f t="shared" si="8"/>
        <v>44931</v>
      </c>
      <c r="G288" s="3">
        <v>44987</v>
      </c>
      <c r="H288" s="8">
        <f t="shared" si="9"/>
        <v>44960</v>
      </c>
      <c r="I288" s="1">
        <v>215</v>
      </c>
      <c r="J28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215</v>
      </c>
      <c r="K288" s="4" t="str">
        <f>IF(Table2[[#This Row],[Type]]="electricity", "kilowatt_hour_(kwh)",
IF(Table2[[#This Row],[Type]]="water", "cubic_metre_(m3)",
IF(Table2[[#This Row],[Type]]="heat", "therm_(thm)",
"NA")))</f>
        <v>therm_(thm)</v>
      </c>
      <c r="L288" s="1" t="s">
        <v>211</v>
      </c>
      <c r="M288" s="10">
        <f>IF(Table2[[#This Row],[Type]]="electricity", Table2[[#This Row],[Quantity_correct]]/6.6667,
IF(Table2[[#This Row],[Type]]="water", Table2[[#This Row],[Quantity_correct]]/3.333,
IF(Table2[[#This Row],[Type]]="heat", Table2[[#This Row],[Quantity_correct]]/0.8333,
"NA")))</f>
        <v>258.0103204128165</v>
      </c>
      <c r="N288" s="1">
        <v>258</v>
      </c>
    </row>
    <row r="289" spans="1:14" ht="12.5" hidden="1" x14ac:dyDescent="0.25">
      <c r="A289" s="1" t="s">
        <v>15</v>
      </c>
      <c r="B289" s="1" t="s">
        <v>15</v>
      </c>
      <c r="C289" s="1" t="str">
        <f>IF(OR(Table2[[#This Row],[units]]="litre_(l)", Table2[[#This Row],[units]]="gallon_(gal)", Table2[[#This Row],[units]]="cubic_metre_(m3)"), "water", Table2[[#This Row],[type2]])</f>
        <v>heat</v>
      </c>
      <c r="D289" s="1" t="s">
        <v>140</v>
      </c>
      <c r="E289" s="3">
        <v>44987</v>
      </c>
      <c r="F289" s="8">
        <f t="shared" si="8"/>
        <v>44960</v>
      </c>
      <c r="G289" s="3">
        <v>44988</v>
      </c>
      <c r="H289" s="8">
        <f t="shared" si="9"/>
        <v>44988</v>
      </c>
      <c r="I289" s="1">
        <v>29</v>
      </c>
      <c r="J28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v>
      </c>
      <c r="K289" s="4" t="str">
        <f>IF(Table2[[#This Row],[Type]]="electricity", "kilowatt_hour_(kwh)",
IF(Table2[[#This Row],[Type]]="water", "cubic_metre_(m3)",
IF(Table2[[#This Row],[Type]]="heat", "therm_(thm)",
"NA")))</f>
        <v>therm_(thm)</v>
      </c>
      <c r="L289" s="1" t="s">
        <v>211</v>
      </c>
      <c r="M289" s="10">
        <f>IF(Table2[[#This Row],[Type]]="electricity", Table2[[#This Row],[Quantity_correct]]/6.6667,
IF(Table2[[#This Row],[Type]]="water", Table2[[#This Row],[Quantity_correct]]/3.333,
IF(Table2[[#This Row],[Type]]="heat", Table2[[#This Row],[Quantity_correct]]/0.8333,
"NA")))</f>
        <v>34.801392055682228</v>
      </c>
      <c r="N289" s="1">
        <v>34.799999999999997</v>
      </c>
    </row>
    <row r="290" spans="1:14" ht="12.5" hidden="1" x14ac:dyDescent="0.25">
      <c r="A290" s="1" t="s">
        <v>15</v>
      </c>
      <c r="B290" s="1" t="s">
        <v>15</v>
      </c>
      <c r="C290" s="1" t="str">
        <f>IF(OR(Table2[[#This Row],[units]]="litre_(l)", Table2[[#This Row],[units]]="gallon_(gal)", Table2[[#This Row],[units]]="cubic_metre_(m3)"), "water", Table2[[#This Row],[type2]])</f>
        <v>heat</v>
      </c>
      <c r="D290" s="1" t="s">
        <v>140</v>
      </c>
      <c r="E290" s="3">
        <v>44987</v>
      </c>
      <c r="F290" s="8">
        <f t="shared" si="8"/>
        <v>44960</v>
      </c>
      <c r="G290" s="3">
        <v>44988</v>
      </c>
      <c r="H290" s="8">
        <f t="shared" si="9"/>
        <v>44988</v>
      </c>
      <c r="I290" s="1">
        <v>110</v>
      </c>
      <c r="J29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110</v>
      </c>
      <c r="K290" s="4" t="str">
        <f>IF(Table2[[#This Row],[Type]]="electricity", "kilowatt_hour_(kwh)",
IF(Table2[[#This Row],[Type]]="water", "cubic_metre_(m3)",
IF(Table2[[#This Row],[Type]]="heat", "therm_(thm)",
"NA")))</f>
        <v>therm_(thm)</v>
      </c>
      <c r="L290" s="1" t="s">
        <v>211</v>
      </c>
      <c r="M290" s="10">
        <f>IF(Table2[[#This Row],[Type]]="electricity", Table2[[#This Row],[Quantity_correct]]/6.6667,
IF(Table2[[#This Row],[Type]]="water", Table2[[#This Row],[Quantity_correct]]/3.333,
IF(Table2[[#This Row],[Type]]="heat", Table2[[#This Row],[Quantity_correct]]/0.8333,
"NA")))</f>
        <v>132.00528021120843</v>
      </c>
      <c r="N290" s="1">
        <v>132</v>
      </c>
    </row>
    <row r="291" spans="1:14" ht="12.5" hidden="1" x14ac:dyDescent="0.25">
      <c r="A291" s="1" t="s">
        <v>15</v>
      </c>
      <c r="B291" s="1" t="s">
        <v>15</v>
      </c>
      <c r="C291" s="1" t="str">
        <f>IF(OR(Table2[[#This Row],[units]]="litre_(l)", Table2[[#This Row],[units]]="gallon_(gal)", Table2[[#This Row],[units]]="cubic_metre_(m3)"), "water", Table2[[#This Row],[type2]])</f>
        <v>heat</v>
      </c>
      <c r="D291" s="1" t="s">
        <v>140</v>
      </c>
      <c r="E291" s="3">
        <v>44988</v>
      </c>
      <c r="F291" s="8">
        <f t="shared" si="8"/>
        <v>44988</v>
      </c>
      <c r="G291" s="3">
        <v>45050</v>
      </c>
      <c r="H291" s="8">
        <f t="shared" si="9"/>
        <v>45021</v>
      </c>
      <c r="I291" s="1">
        <v>61</v>
      </c>
      <c r="J29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61</v>
      </c>
      <c r="K291" s="4" t="str">
        <f>IF(Table2[[#This Row],[Type]]="electricity", "kilowatt_hour_(kwh)",
IF(Table2[[#This Row],[Type]]="water", "cubic_metre_(m3)",
IF(Table2[[#This Row],[Type]]="heat", "therm_(thm)",
"NA")))</f>
        <v>therm_(thm)</v>
      </c>
      <c r="L291" s="1" t="s">
        <v>211</v>
      </c>
      <c r="M291" s="10">
        <f>IF(Table2[[#This Row],[Type]]="electricity", Table2[[#This Row],[Quantity_correct]]/6.6667,
IF(Table2[[#This Row],[Type]]="water", Table2[[#This Row],[Quantity_correct]]/3.333,
IF(Table2[[#This Row],[Type]]="heat", Table2[[#This Row],[Quantity_correct]]/0.8333,
"NA")))</f>
        <v>73.202928117124685</v>
      </c>
      <c r="N291" s="1">
        <v>73.2</v>
      </c>
    </row>
    <row r="292" spans="1:14" ht="12.5" hidden="1" x14ac:dyDescent="0.25">
      <c r="A292" s="1" t="s">
        <v>15</v>
      </c>
      <c r="B292" s="1" t="s">
        <v>15</v>
      </c>
      <c r="C292" s="1" t="str">
        <f>IF(OR(Table2[[#This Row],[units]]="litre_(l)", Table2[[#This Row],[units]]="gallon_(gal)", Table2[[#This Row],[units]]="cubic_metre_(m3)"), "water", Table2[[#This Row],[type2]])</f>
        <v>heat</v>
      </c>
      <c r="D292" s="1" t="s">
        <v>140</v>
      </c>
      <c r="E292" s="3">
        <v>44988</v>
      </c>
      <c r="F292" s="8">
        <f t="shared" si="8"/>
        <v>44988</v>
      </c>
      <c r="G292" s="3">
        <v>45050</v>
      </c>
      <c r="H292" s="8">
        <f t="shared" si="9"/>
        <v>45021</v>
      </c>
      <c r="I292" s="1">
        <v>98</v>
      </c>
      <c r="J29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98</v>
      </c>
      <c r="K292" s="4" t="str">
        <f>IF(Table2[[#This Row],[Type]]="electricity", "kilowatt_hour_(kwh)",
IF(Table2[[#This Row],[Type]]="water", "cubic_metre_(m3)",
IF(Table2[[#This Row],[Type]]="heat", "therm_(thm)",
"NA")))</f>
        <v>therm_(thm)</v>
      </c>
      <c r="L292" s="1" t="s">
        <v>211</v>
      </c>
      <c r="M292" s="10">
        <f>IF(Table2[[#This Row],[Type]]="electricity", Table2[[#This Row],[Quantity_correct]]/6.6667,
IF(Table2[[#This Row],[Type]]="water", Table2[[#This Row],[Quantity_correct]]/3.333,
IF(Table2[[#This Row],[Type]]="heat", Table2[[#This Row],[Quantity_correct]]/0.8333,
"NA")))</f>
        <v>117.60470418816752</v>
      </c>
      <c r="N292" s="1">
        <v>117.6</v>
      </c>
    </row>
    <row r="293" spans="1:14" ht="12.5" hidden="1" x14ac:dyDescent="0.25">
      <c r="A293" s="1" t="s">
        <v>15</v>
      </c>
      <c r="B293" s="1" t="s">
        <v>15</v>
      </c>
      <c r="C293" s="1" t="str">
        <f>IF(OR(Table2[[#This Row],[units]]="litre_(l)", Table2[[#This Row],[units]]="gallon_(gal)", Table2[[#This Row],[units]]="cubic_metre_(m3)"), "water", Table2[[#This Row],[type2]])</f>
        <v>heat</v>
      </c>
      <c r="D293" s="1" t="s">
        <v>140</v>
      </c>
      <c r="E293" s="3">
        <v>45050</v>
      </c>
      <c r="F293" s="8">
        <f t="shared" si="8"/>
        <v>45021</v>
      </c>
      <c r="G293" s="3">
        <v>44962</v>
      </c>
      <c r="H293" s="8">
        <f t="shared" si="9"/>
        <v>45048</v>
      </c>
      <c r="I293" s="1">
        <v>1</v>
      </c>
      <c r="J29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v>
      </c>
      <c r="K293" s="4" t="str">
        <f>IF(Table2[[#This Row],[Type]]="electricity", "kilowatt_hour_(kwh)",
IF(Table2[[#This Row],[Type]]="water", "cubic_metre_(m3)",
IF(Table2[[#This Row],[Type]]="heat", "therm_(thm)",
"NA")))</f>
        <v>therm_(thm)</v>
      </c>
      <c r="L293" s="1" t="s">
        <v>211</v>
      </c>
      <c r="M293" s="10">
        <f>IF(Table2[[#This Row],[Type]]="electricity", Table2[[#This Row],[Quantity_correct]]/6.6667,
IF(Table2[[#This Row],[Type]]="water", Table2[[#This Row],[Quantity_correct]]/3.333,
IF(Table2[[#This Row],[Type]]="heat", Table2[[#This Row],[Quantity_correct]]/0.8333,
"NA")))</f>
        <v>1.2000480019200768</v>
      </c>
      <c r="N293" s="1">
        <v>1.2</v>
      </c>
    </row>
    <row r="294" spans="1:14" ht="12.5" hidden="1" x14ac:dyDescent="0.25">
      <c r="A294" s="1" t="s">
        <v>15</v>
      </c>
      <c r="B294" s="1" t="s">
        <v>15</v>
      </c>
      <c r="C294" s="1" t="str">
        <f>IF(OR(Table2[[#This Row],[units]]="litre_(l)", Table2[[#This Row],[units]]="gallon_(gal)", Table2[[#This Row],[units]]="cubic_metre_(m3)"), "water", Table2[[#This Row],[type2]])</f>
        <v>heat</v>
      </c>
      <c r="D294" s="1" t="s">
        <v>140</v>
      </c>
      <c r="E294" s="3">
        <v>45050</v>
      </c>
      <c r="F294" s="8">
        <f t="shared" si="8"/>
        <v>45021</v>
      </c>
      <c r="G294" s="3">
        <v>44962</v>
      </c>
      <c r="H294" s="8">
        <f t="shared" si="9"/>
        <v>45048</v>
      </c>
      <c r="I294" s="1">
        <v>3</v>
      </c>
      <c r="J29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v>
      </c>
      <c r="K294" s="4" t="str">
        <f>IF(Table2[[#This Row],[Type]]="electricity", "kilowatt_hour_(kwh)",
IF(Table2[[#This Row],[Type]]="water", "cubic_metre_(m3)",
IF(Table2[[#This Row],[Type]]="heat", "therm_(thm)",
"NA")))</f>
        <v>therm_(thm)</v>
      </c>
      <c r="L294" s="1" t="s">
        <v>211</v>
      </c>
      <c r="M294" s="10">
        <f>IF(Table2[[#This Row],[Type]]="electricity", Table2[[#This Row],[Quantity_correct]]/6.6667,
IF(Table2[[#This Row],[Type]]="water", Table2[[#This Row],[Quantity_correct]]/3.333,
IF(Table2[[#This Row],[Type]]="heat", Table2[[#This Row],[Quantity_correct]]/0.8333,
"NA")))</f>
        <v>3.6001440057602303</v>
      </c>
      <c r="N294" s="1">
        <v>3.6</v>
      </c>
    </row>
    <row r="295" spans="1:14" ht="12.5" hidden="1" x14ac:dyDescent="0.25">
      <c r="A295" s="1" t="s">
        <v>15</v>
      </c>
      <c r="B295" s="1" t="s">
        <v>15</v>
      </c>
      <c r="C295" s="1" t="str">
        <f>IF(OR(Table2[[#This Row],[units]]="litre_(l)", Table2[[#This Row],[units]]="gallon_(gal)", Table2[[#This Row],[units]]="cubic_metre_(m3)"), "water", Table2[[#This Row],[type2]])</f>
        <v>heat</v>
      </c>
      <c r="D295" s="1" t="s">
        <v>140</v>
      </c>
      <c r="E295" s="3">
        <v>44962</v>
      </c>
      <c r="F295" s="8">
        <f t="shared" si="8"/>
        <v>45048</v>
      </c>
      <c r="G295" s="3">
        <v>45052</v>
      </c>
      <c r="H295" s="8">
        <f t="shared" si="9"/>
        <v>45082</v>
      </c>
      <c r="I295" s="1">
        <v>0</v>
      </c>
      <c r="J29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295" s="4" t="str">
        <f>IF(Table2[[#This Row],[Type]]="electricity", "kilowatt_hour_(kwh)",
IF(Table2[[#This Row],[Type]]="water", "cubic_metre_(m3)",
IF(Table2[[#This Row],[Type]]="heat", "therm_(thm)",
"NA")))</f>
        <v>therm_(thm)</v>
      </c>
      <c r="L295" s="1" t="s">
        <v>211</v>
      </c>
      <c r="M295" s="10">
        <f>IF(Table2[[#This Row],[Type]]="electricity", Table2[[#This Row],[Quantity_correct]]/6.6667,
IF(Table2[[#This Row],[Type]]="water", Table2[[#This Row],[Quantity_correct]]/3.333,
IF(Table2[[#This Row],[Type]]="heat", Table2[[#This Row],[Quantity_correct]]/0.8333,
"NA")))</f>
        <v>0</v>
      </c>
      <c r="N295" s="1">
        <v>0</v>
      </c>
    </row>
    <row r="296" spans="1:14" ht="12.5" hidden="1" x14ac:dyDescent="0.25">
      <c r="A296" s="1" t="s">
        <v>15</v>
      </c>
      <c r="B296" s="1" t="s">
        <v>15</v>
      </c>
      <c r="C296" s="1" t="str">
        <f>IF(OR(Table2[[#This Row],[units]]="litre_(l)", Table2[[#This Row],[units]]="gallon_(gal)", Table2[[#This Row],[units]]="cubic_metre_(m3)"), "water", Table2[[#This Row],[type2]])</f>
        <v>heat</v>
      </c>
      <c r="D296" s="1" t="s">
        <v>140</v>
      </c>
      <c r="E296" s="3">
        <v>45052</v>
      </c>
      <c r="F296" s="8">
        <f t="shared" si="8"/>
        <v>45082</v>
      </c>
      <c r="G296" s="3">
        <v>45084</v>
      </c>
      <c r="H296" s="8">
        <f t="shared" si="9"/>
        <v>45113</v>
      </c>
      <c r="I296" s="1">
        <v>0</v>
      </c>
      <c r="J29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296" s="4" t="str">
        <f>IF(Table2[[#This Row],[Type]]="electricity", "kilowatt_hour_(kwh)",
IF(Table2[[#This Row],[Type]]="water", "cubic_metre_(m3)",
IF(Table2[[#This Row],[Type]]="heat", "therm_(thm)",
"NA")))</f>
        <v>therm_(thm)</v>
      </c>
      <c r="L296" s="1" t="s">
        <v>211</v>
      </c>
      <c r="M296" s="10">
        <f>IF(Table2[[#This Row],[Type]]="electricity", Table2[[#This Row],[Quantity_correct]]/6.6667,
IF(Table2[[#This Row],[Type]]="water", Table2[[#This Row],[Quantity_correct]]/3.333,
IF(Table2[[#This Row],[Type]]="heat", Table2[[#This Row],[Quantity_correct]]/0.8333,
"NA")))</f>
        <v>0</v>
      </c>
      <c r="N296" s="1">
        <v>0</v>
      </c>
    </row>
    <row r="297" spans="1:14" ht="12.5" hidden="1" x14ac:dyDescent="0.25">
      <c r="A297" s="1" t="s">
        <v>15</v>
      </c>
      <c r="B297" s="1" t="s">
        <v>15</v>
      </c>
      <c r="C297" s="1" t="str">
        <f>IF(OR(Table2[[#This Row],[units]]="litre_(l)", Table2[[#This Row],[units]]="gallon_(gal)", Table2[[#This Row],[units]]="cubic_metre_(m3)"), "water", Table2[[#This Row],[type2]])</f>
        <v>heat</v>
      </c>
      <c r="D297" s="1" t="s">
        <v>140</v>
      </c>
      <c r="E297" s="3">
        <v>45084</v>
      </c>
      <c r="F297" s="8">
        <f t="shared" si="8"/>
        <v>45113</v>
      </c>
      <c r="G297" s="3">
        <v>44993</v>
      </c>
      <c r="H297" s="8">
        <f t="shared" si="9"/>
        <v>45141</v>
      </c>
      <c r="I297" s="1">
        <v>0</v>
      </c>
      <c r="J29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297" s="4" t="str">
        <f>IF(Table2[[#This Row],[Type]]="electricity", "kilowatt_hour_(kwh)",
IF(Table2[[#This Row],[Type]]="water", "cubic_metre_(m3)",
IF(Table2[[#This Row],[Type]]="heat", "therm_(thm)",
"NA")))</f>
        <v>therm_(thm)</v>
      </c>
      <c r="L297" s="1" t="s">
        <v>211</v>
      </c>
      <c r="M297" s="10">
        <f>IF(Table2[[#This Row],[Type]]="electricity", Table2[[#This Row],[Quantity_correct]]/6.6667,
IF(Table2[[#This Row],[Type]]="water", Table2[[#This Row],[Quantity_correct]]/3.333,
IF(Table2[[#This Row],[Type]]="heat", Table2[[#This Row],[Quantity_correct]]/0.8333,
"NA")))</f>
        <v>0</v>
      </c>
      <c r="N297" s="1">
        <v>0</v>
      </c>
    </row>
    <row r="298" spans="1:14" ht="12.5" hidden="1" x14ac:dyDescent="0.25">
      <c r="A298" s="1" t="s">
        <v>15</v>
      </c>
      <c r="B298" s="1" t="s">
        <v>15</v>
      </c>
      <c r="C298" s="1" t="str">
        <f>IF(OR(Table2[[#This Row],[units]]="litre_(l)", Table2[[#This Row],[units]]="gallon_(gal)", Table2[[#This Row],[units]]="cubic_metre_(m3)"), "water", Table2[[#This Row],[type2]])</f>
        <v>heat</v>
      </c>
      <c r="D298" s="1" t="s">
        <v>140</v>
      </c>
      <c r="E298" s="3">
        <v>44993</v>
      </c>
      <c r="F298" s="8">
        <f t="shared" si="8"/>
        <v>45141</v>
      </c>
      <c r="G298" s="3">
        <v>45055</v>
      </c>
      <c r="H298" s="8">
        <f t="shared" si="9"/>
        <v>45174</v>
      </c>
      <c r="I298" s="1">
        <v>0</v>
      </c>
      <c r="J29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298" s="4" t="str">
        <f>IF(Table2[[#This Row],[Type]]="electricity", "kilowatt_hour_(kwh)",
IF(Table2[[#This Row],[Type]]="water", "cubic_metre_(m3)",
IF(Table2[[#This Row],[Type]]="heat", "therm_(thm)",
"NA")))</f>
        <v>therm_(thm)</v>
      </c>
      <c r="L298" s="1" t="s">
        <v>211</v>
      </c>
      <c r="M298" s="10">
        <f>IF(Table2[[#This Row],[Type]]="electricity", Table2[[#This Row],[Quantity_correct]]/6.6667,
IF(Table2[[#This Row],[Type]]="water", Table2[[#This Row],[Quantity_correct]]/3.333,
IF(Table2[[#This Row],[Type]]="heat", Table2[[#This Row],[Quantity_correct]]/0.8333,
"NA")))</f>
        <v>0</v>
      </c>
      <c r="N298" s="1">
        <v>0</v>
      </c>
    </row>
    <row r="299" spans="1:14" ht="12.5" hidden="1" x14ac:dyDescent="0.25">
      <c r="A299" s="1" t="s">
        <v>15</v>
      </c>
      <c r="B299" s="1" t="s">
        <v>15</v>
      </c>
      <c r="C299" s="1" t="str">
        <f>IF(OR(Table2[[#This Row],[units]]="litre_(l)", Table2[[#This Row],[units]]="gallon_(gal)", Table2[[#This Row],[units]]="cubic_metre_(m3)"), "water", Table2[[#This Row],[type2]])</f>
        <v>heat</v>
      </c>
      <c r="D299" s="1" t="s">
        <v>140</v>
      </c>
      <c r="E299" s="3">
        <v>45055</v>
      </c>
      <c r="F299" s="8">
        <f t="shared" si="8"/>
        <v>45174</v>
      </c>
      <c r="G299" s="3">
        <v>45026</v>
      </c>
      <c r="H299" s="8">
        <f t="shared" si="9"/>
        <v>45203</v>
      </c>
      <c r="I299" s="1">
        <v>0</v>
      </c>
      <c r="J29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299" s="4" t="str">
        <f>IF(Table2[[#This Row],[Type]]="electricity", "kilowatt_hour_(kwh)",
IF(Table2[[#This Row],[Type]]="water", "cubic_metre_(m3)",
IF(Table2[[#This Row],[Type]]="heat", "therm_(thm)",
"NA")))</f>
        <v>therm_(thm)</v>
      </c>
      <c r="L299" s="1" t="s">
        <v>211</v>
      </c>
      <c r="M299" s="10">
        <f>IF(Table2[[#This Row],[Type]]="electricity", Table2[[#This Row],[Quantity_correct]]/6.6667,
IF(Table2[[#This Row],[Type]]="water", Table2[[#This Row],[Quantity_correct]]/3.333,
IF(Table2[[#This Row],[Type]]="heat", Table2[[#This Row],[Quantity_correct]]/0.8333,
"NA")))</f>
        <v>0</v>
      </c>
      <c r="N299" s="1">
        <v>0</v>
      </c>
    </row>
    <row r="300" spans="1:14" ht="12.5" hidden="1" x14ac:dyDescent="0.25">
      <c r="A300" s="1" t="s">
        <v>15</v>
      </c>
      <c r="B300" s="1" t="s">
        <v>15</v>
      </c>
      <c r="C300" s="1" t="str">
        <f>IF(OR(Table2[[#This Row],[units]]="litre_(l)", Table2[[#This Row],[units]]="gallon_(gal)", Table2[[#This Row],[units]]="cubic_metre_(m3)"), "water", Table2[[#This Row],[type2]])</f>
        <v>heat</v>
      </c>
      <c r="D300" s="1" t="s">
        <v>140</v>
      </c>
      <c r="E300" s="3">
        <v>45055</v>
      </c>
      <c r="F300" s="8">
        <f t="shared" si="8"/>
        <v>45174</v>
      </c>
      <c r="G300" s="3">
        <v>45056</v>
      </c>
      <c r="H300" s="8">
        <f t="shared" si="9"/>
        <v>45204</v>
      </c>
      <c r="I300" s="1">
        <v>0</v>
      </c>
      <c r="J30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00" s="4" t="str">
        <f>IF(Table2[[#This Row],[Type]]="electricity", "kilowatt_hour_(kwh)",
IF(Table2[[#This Row],[Type]]="water", "cubic_metre_(m3)",
IF(Table2[[#This Row],[Type]]="heat", "therm_(thm)",
"NA")))</f>
        <v>therm_(thm)</v>
      </c>
      <c r="L300" s="1" t="s">
        <v>211</v>
      </c>
      <c r="M300" s="10">
        <f>IF(Table2[[#This Row],[Type]]="electricity", Table2[[#This Row],[Quantity_correct]]/6.6667,
IF(Table2[[#This Row],[Type]]="water", Table2[[#This Row],[Quantity_correct]]/3.333,
IF(Table2[[#This Row],[Type]]="heat", Table2[[#This Row],[Quantity_correct]]/0.8333,
"NA")))</f>
        <v>0</v>
      </c>
      <c r="N300" s="1">
        <v>0</v>
      </c>
    </row>
    <row r="301" spans="1:14" ht="12.5" hidden="1" x14ac:dyDescent="0.25">
      <c r="A301" s="1" t="s">
        <v>15</v>
      </c>
      <c r="B301" s="1" t="s">
        <v>15</v>
      </c>
      <c r="C301" s="1" t="str">
        <f>IF(OR(Table2[[#This Row],[units]]="litre_(l)", Table2[[#This Row],[units]]="gallon_(gal)", Table2[[#This Row],[units]]="cubic_metre_(m3)"), "water", Table2[[#This Row],[type2]])</f>
        <v>heat</v>
      </c>
      <c r="D301" s="1" t="s">
        <v>140</v>
      </c>
      <c r="E301" s="3">
        <v>45026</v>
      </c>
      <c r="F301" s="8">
        <f t="shared" si="8"/>
        <v>45203</v>
      </c>
      <c r="G301" s="3">
        <v>44968</v>
      </c>
      <c r="H301" s="8">
        <f t="shared" si="9"/>
        <v>45232</v>
      </c>
      <c r="I301" s="1">
        <v>3</v>
      </c>
      <c r="J30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v>
      </c>
      <c r="K301" s="4" t="str">
        <f>IF(Table2[[#This Row],[Type]]="electricity", "kilowatt_hour_(kwh)",
IF(Table2[[#This Row],[Type]]="water", "cubic_metre_(m3)",
IF(Table2[[#This Row],[Type]]="heat", "therm_(thm)",
"NA")))</f>
        <v>therm_(thm)</v>
      </c>
      <c r="L301" s="1" t="s">
        <v>211</v>
      </c>
      <c r="M301" s="10">
        <f>IF(Table2[[#This Row],[Type]]="electricity", Table2[[#This Row],[Quantity_correct]]/6.6667,
IF(Table2[[#This Row],[Type]]="water", Table2[[#This Row],[Quantity_correct]]/3.333,
IF(Table2[[#This Row],[Type]]="heat", Table2[[#This Row],[Quantity_correct]]/0.8333,
"NA")))</f>
        <v>3.6001440057602303</v>
      </c>
      <c r="N301" s="1">
        <v>3.6</v>
      </c>
    </row>
    <row r="302" spans="1:14" ht="12.5" hidden="1" x14ac:dyDescent="0.25">
      <c r="A302" s="1" t="s">
        <v>15</v>
      </c>
      <c r="B302" s="1" t="s">
        <v>15</v>
      </c>
      <c r="C302" s="1" t="str">
        <f>IF(OR(Table2[[#This Row],[units]]="litre_(l)", Table2[[#This Row],[units]]="gallon_(gal)", Table2[[#This Row],[units]]="cubic_metre_(m3)"), "water", Table2[[#This Row],[type2]])</f>
        <v>heat</v>
      </c>
      <c r="D302" s="1" t="s">
        <v>140</v>
      </c>
      <c r="E302" s="3">
        <v>45056</v>
      </c>
      <c r="F302" s="8">
        <f t="shared" si="8"/>
        <v>45204</v>
      </c>
      <c r="G302" s="3">
        <v>44968</v>
      </c>
      <c r="H302" s="8">
        <f t="shared" si="9"/>
        <v>45232</v>
      </c>
      <c r="I302" s="1">
        <v>33</v>
      </c>
      <c r="J30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v>
      </c>
      <c r="K302" s="4" t="str">
        <f>IF(Table2[[#This Row],[Type]]="electricity", "kilowatt_hour_(kwh)",
IF(Table2[[#This Row],[Type]]="water", "cubic_metre_(m3)",
IF(Table2[[#This Row],[Type]]="heat", "therm_(thm)",
"NA")))</f>
        <v>therm_(thm)</v>
      </c>
      <c r="L302" s="1" t="s">
        <v>211</v>
      </c>
      <c r="M302" s="10">
        <f>IF(Table2[[#This Row],[Type]]="electricity", Table2[[#This Row],[Quantity_correct]]/6.6667,
IF(Table2[[#This Row],[Type]]="water", Table2[[#This Row],[Quantity_correct]]/3.333,
IF(Table2[[#This Row],[Type]]="heat", Table2[[#This Row],[Quantity_correct]]/0.8333,
"NA")))</f>
        <v>39.60158406336253</v>
      </c>
      <c r="N302" s="1">
        <v>39.6</v>
      </c>
    </row>
    <row r="303" spans="1:14" ht="12.5" hidden="1" x14ac:dyDescent="0.25">
      <c r="A303" s="1" t="s">
        <v>15</v>
      </c>
      <c r="B303" s="1" t="s">
        <v>15</v>
      </c>
      <c r="C303" s="1" t="str">
        <f>IF(OR(Table2[[#This Row],[units]]="litre_(l)", Table2[[#This Row],[units]]="gallon_(gal)", Table2[[#This Row],[units]]="cubic_metre_(m3)"), "water", Table2[[#This Row],[type2]])</f>
        <v>heat</v>
      </c>
      <c r="D303" s="1" t="s">
        <v>140</v>
      </c>
      <c r="E303" s="3">
        <v>44968</v>
      </c>
      <c r="F303" s="8">
        <f t="shared" si="8"/>
        <v>45232</v>
      </c>
      <c r="G303" s="3">
        <v>45028</v>
      </c>
      <c r="H303" s="8">
        <f t="shared" si="9"/>
        <v>45264</v>
      </c>
      <c r="I303" s="1">
        <v>28</v>
      </c>
      <c r="J30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v>
      </c>
      <c r="K303" s="4" t="str">
        <f>IF(Table2[[#This Row],[Type]]="electricity", "kilowatt_hour_(kwh)",
IF(Table2[[#This Row],[Type]]="water", "cubic_metre_(m3)",
IF(Table2[[#This Row],[Type]]="heat", "therm_(thm)",
"NA")))</f>
        <v>therm_(thm)</v>
      </c>
      <c r="L303" s="1" t="s">
        <v>211</v>
      </c>
      <c r="M303" s="10">
        <f>IF(Table2[[#This Row],[Type]]="electricity", Table2[[#This Row],[Quantity_correct]]/6.6667,
IF(Table2[[#This Row],[Type]]="water", Table2[[#This Row],[Quantity_correct]]/3.333,
IF(Table2[[#This Row],[Type]]="heat", Table2[[#This Row],[Quantity_correct]]/0.8333,
"NA")))</f>
        <v>33.601344053762148</v>
      </c>
      <c r="N303" s="1">
        <v>33.6</v>
      </c>
    </row>
    <row r="304" spans="1:14" ht="12.5" hidden="1" x14ac:dyDescent="0.25">
      <c r="A304" s="1" t="s">
        <v>15</v>
      </c>
      <c r="B304" s="1" t="s">
        <v>15</v>
      </c>
      <c r="C304" s="1" t="str">
        <f>IF(OR(Table2[[#This Row],[units]]="litre_(l)", Table2[[#This Row],[units]]="gallon_(gal)", Table2[[#This Row],[units]]="cubic_metre_(m3)"), "water", Table2[[#This Row],[type2]])</f>
        <v>heat</v>
      </c>
      <c r="D304" s="1" t="s">
        <v>140</v>
      </c>
      <c r="E304" s="3">
        <v>44968</v>
      </c>
      <c r="F304" s="8">
        <f t="shared" si="8"/>
        <v>45232</v>
      </c>
      <c r="G304" s="3">
        <v>45058</v>
      </c>
      <c r="H304" s="8">
        <f t="shared" si="9"/>
        <v>45265</v>
      </c>
      <c r="I304" s="1">
        <v>185</v>
      </c>
      <c r="J30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185</v>
      </c>
      <c r="K304" s="4" t="str">
        <f>IF(Table2[[#This Row],[Type]]="electricity", "kilowatt_hour_(kwh)",
IF(Table2[[#This Row],[Type]]="water", "cubic_metre_(m3)",
IF(Table2[[#This Row],[Type]]="heat", "therm_(thm)",
"NA")))</f>
        <v>therm_(thm)</v>
      </c>
      <c r="L304" s="1" t="s">
        <v>211</v>
      </c>
      <c r="M304" s="10">
        <f>IF(Table2[[#This Row],[Type]]="electricity", Table2[[#This Row],[Quantity_correct]]/6.6667,
IF(Table2[[#This Row],[Type]]="water", Table2[[#This Row],[Quantity_correct]]/3.333,
IF(Table2[[#This Row],[Type]]="heat", Table2[[#This Row],[Quantity_correct]]/0.8333,
"NA")))</f>
        <v>222.00888035521419</v>
      </c>
      <c r="N304" s="1">
        <v>222</v>
      </c>
    </row>
    <row r="305" spans="1:14" ht="12.5" hidden="1" x14ac:dyDescent="0.25">
      <c r="A305" s="1" t="s">
        <v>17</v>
      </c>
      <c r="B305" s="1" t="s">
        <v>17</v>
      </c>
      <c r="C305" s="1" t="str">
        <f>IF(OR(Table2[[#This Row],[units]]="litre_(l)", Table2[[#This Row],[units]]="gallon_(gal)", Table2[[#This Row],[units]]="cubic_metre_(m3)"), "water", Table2[[#This Row],[type2]])</f>
        <v>electricity</v>
      </c>
      <c r="D305" s="1" t="s">
        <v>128</v>
      </c>
      <c r="E305" s="3">
        <v>44927</v>
      </c>
      <c r="F305" s="8">
        <f t="shared" si="8"/>
        <v>44927</v>
      </c>
      <c r="G305" s="1" t="s">
        <v>68</v>
      </c>
      <c r="H305" s="8">
        <f t="shared" si="9"/>
        <v>44957</v>
      </c>
      <c r="I305" s="5">
        <v>16234.4</v>
      </c>
      <c r="J30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16234.4</v>
      </c>
      <c r="K305" s="5" t="str">
        <f>IF(Table2[[#This Row],[Type]]="electricity", "kilowatt_hour_(kwh)",
IF(Table2[[#This Row],[Type]]="water", "cubic_metre_(m3)",
IF(Table2[[#This Row],[Type]]="heat", "therm_(thm)",
"NA")))</f>
        <v>kilowatt_hour_(kwh)</v>
      </c>
      <c r="L305" s="1" t="s">
        <v>129</v>
      </c>
      <c r="M305" s="10">
        <f>IF(Table2[[#This Row],[Type]]="electricity", Table2[[#This Row],[Quantity_correct]]/6.6667,
IF(Table2[[#This Row],[Type]]="water", Table2[[#This Row],[Quantity_correct]]/3.333,
IF(Table2[[#This Row],[Type]]="heat", Table2[[#This Row],[Quantity_correct]]/0.8333,
"NA")))</f>
        <v>2435.1478242608787</v>
      </c>
      <c r="N305" s="1">
        <v>2435.16</v>
      </c>
    </row>
    <row r="306" spans="1:14" ht="12.5" hidden="1" x14ac:dyDescent="0.25">
      <c r="A306" s="1" t="s">
        <v>17</v>
      </c>
      <c r="B306" s="1" t="s">
        <v>17</v>
      </c>
      <c r="C306" s="1" t="str">
        <f>IF(OR(Table2[[#This Row],[units]]="litre_(l)", Table2[[#This Row],[units]]="gallon_(gal)", Table2[[#This Row],[units]]="cubic_metre_(m3)"), "water", Table2[[#This Row],[type2]])</f>
        <v>electricity</v>
      </c>
      <c r="D306" s="1" t="s">
        <v>128</v>
      </c>
      <c r="E306" s="3">
        <v>44928</v>
      </c>
      <c r="F306" s="8">
        <f t="shared" si="8"/>
        <v>44958</v>
      </c>
      <c r="G306" s="1" t="s">
        <v>65</v>
      </c>
      <c r="H306" s="8">
        <f t="shared" si="9"/>
        <v>44985</v>
      </c>
      <c r="I306" s="5">
        <v>14869.4</v>
      </c>
      <c r="J30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14869.4</v>
      </c>
      <c r="K306" s="5" t="str">
        <f>IF(Table2[[#This Row],[Type]]="electricity", "kilowatt_hour_(kwh)",
IF(Table2[[#This Row],[Type]]="water", "cubic_metre_(m3)",
IF(Table2[[#This Row],[Type]]="heat", "therm_(thm)",
"NA")))</f>
        <v>kilowatt_hour_(kwh)</v>
      </c>
      <c r="L306" s="1" t="s">
        <v>129</v>
      </c>
      <c r="M306" s="10">
        <f>IF(Table2[[#This Row],[Type]]="electricity", Table2[[#This Row],[Quantity_correct]]/6.6667,
IF(Table2[[#This Row],[Type]]="water", Table2[[#This Row],[Quantity_correct]]/3.333,
IF(Table2[[#This Row],[Type]]="heat", Table2[[#This Row],[Quantity_correct]]/0.8333,
"NA")))</f>
        <v>2230.3988480057601</v>
      </c>
      <c r="N306" s="1">
        <v>2230.41</v>
      </c>
    </row>
    <row r="307" spans="1:14" ht="12.5" hidden="1" x14ac:dyDescent="0.25">
      <c r="A307" s="1" t="s">
        <v>17</v>
      </c>
      <c r="B307" s="1" t="s">
        <v>17</v>
      </c>
      <c r="C307" s="1" t="str">
        <f>IF(OR(Table2[[#This Row],[units]]="litre_(l)", Table2[[#This Row],[units]]="gallon_(gal)", Table2[[#This Row],[units]]="cubic_metre_(m3)"), "water", Table2[[#This Row],[type2]])</f>
        <v>electricity</v>
      </c>
      <c r="D307" s="1" t="s">
        <v>128</v>
      </c>
      <c r="E307" s="3">
        <v>44929</v>
      </c>
      <c r="F307" s="8">
        <f t="shared" si="8"/>
        <v>44986</v>
      </c>
      <c r="G307" s="1" t="s">
        <v>74</v>
      </c>
      <c r="H307" s="8">
        <f t="shared" si="9"/>
        <v>45016</v>
      </c>
      <c r="I307" s="5">
        <v>15430.3</v>
      </c>
      <c r="J30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15430.3</v>
      </c>
      <c r="K307" s="5" t="str">
        <f>IF(Table2[[#This Row],[Type]]="electricity", "kilowatt_hour_(kwh)",
IF(Table2[[#This Row],[Type]]="water", "cubic_metre_(m3)",
IF(Table2[[#This Row],[Type]]="heat", "therm_(thm)",
"NA")))</f>
        <v>kilowatt_hour_(kwh)</v>
      </c>
      <c r="L307" s="1" t="s">
        <v>129</v>
      </c>
      <c r="M307" s="10">
        <f>IF(Table2[[#This Row],[Type]]="electricity", Table2[[#This Row],[Quantity_correct]]/6.6667,
IF(Table2[[#This Row],[Type]]="water", Table2[[#This Row],[Quantity_correct]]/3.333,
IF(Table2[[#This Row],[Type]]="heat", Table2[[#This Row],[Quantity_correct]]/0.8333,
"NA")))</f>
        <v>2314.5334273328635</v>
      </c>
      <c r="N307" s="1">
        <v>2314.5450000000001</v>
      </c>
    </row>
    <row r="308" spans="1:14" ht="12.5" hidden="1" x14ac:dyDescent="0.25">
      <c r="A308" s="1" t="s">
        <v>17</v>
      </c>
      <c r="B308" s="1" t="s">
        <v>17</v>
      </c>
      <c r="C308" s="1" t="str">
        <f>IF(OR(Table2[[#This Row],[units]]="litre_(l)", Table2[[#This Row],[units]]="gallon_(gal)", Table2[[#This Row],[units]]="cubic_metre_(m3)"), "water", Table2[[#This Row],[type2]])</f>
        <v>electricity</v>
      </c>
      <c r="D308" s="1" t="s">
        <v>128</v>
      </c>
      <c r="E308" s="3">
        <v>44930</v>
      </c>
      <c r="F308" s="8">
        <f t="shared" si="8"/>
        <v>45017</v>
      </c>
      <c r="G308" s="1" t="s">
        <v>103</v>
      </c>
      <c r="H308" s="8">
        <f t="shared" si="9"/>
        <v>45046</v>
      </c>
      <c r="I308" s="5">
        <v>11215.6</v>
      </c>
      <c r="J30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11215.6</v>
      </c>
      <c r="K308" s="5" t="str">
        <f>IF(Table2[[#This Row],[Type]]="electricity", "kilowatt_hour_(kwh)",
IF(Table2[[#This Row],[Type]]="water", "cubic_metre_(m3)",
IF(Table2[[#This Row],[Type]]="heat", "therm_(thm)",
"NA")))</f>
        <v>kilowatt_hour_(kwh)</v>
      </c>
      <c r="L308" s="1" t="s">
        <v>129</v>
      </c>
      <c r="M308" s="10">
        <f>IF(Table2[[#This Row],[Type]]="electricity", Table2[[#This Row],[Quantity_correct]]/6.6667,
IF(Table2[[#This Row],[Type]]="water", Table2[[#This Row],[Quantity_correct]]/3.333,
IF(Table2[[#This Row],[Type]]="heat", Table2[[#This Row],[Quantity_correct]]/0.8333,
"NA")))</f>
        <v>1682.3315883420585</v>
      </c>
      <c r="N308" s="1">
        <v>1682.34</v>
      </c>
    </row>
    <row r="309" spans="1:14" ht="12.5" hidden="1" x14ac:dyDescent="0.25">
      <c r="A309" s="1" t="s">
        <v>17</v>
      </c>
      <c r="B309" s="1" t="s">
        <v>17</v>
      </c>
      <c r="C309" s="1" t="str">
        <f>IF(OR(Table2[[#This Row],[units]]="litre_(l)", Table2[[#This Row],[units]]="gallon_(gal)", Table2[[#This Row],[units]]="cubic_metre_(m3)"), "water", Table2[[#This Row],[type2]])</f>
        <v>electricity</v>
      </c>
      <c r="D309" s="1" t="s">
        <v>128</v>
      </c>
      <c r="E309" s="3">
        <v>44931</v>
      </c>
      <c r="F309" s="8">
        <f t="shared" si="8"/>
        <v>45047</v>
      </c>
      <c r="G309" s="1" t="s">
        <v>73</v>
      </c>
      <c r="H309" s="8">
        <f t="shared" si="9"/>
        <v>45077</v>
      </c>
      <c r="I309" s="5">
        <v>10225.4</v>
      </c>
      <c r="J30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10225.4</v>
      </c>
      <c r="K309" s="5" t="str">
        <f>IF(Table2[[#This Row],[Type]]="electricity", "kilowatt_hour_(kwh)",
IF(Table2[[#This Row],[Type]]="water", "cubic_metre_(m3)",
IF(Table2[[#This Row],[Type]]="heat", "therm_(thm)",
"NA")))</f>
        <v>kilowatt_hour_(kwh)</v>
      </c>
      <c r="L309" s="1" t="s">
        <v>129</v>
      </c>
      <c r="M309" s="10">
        <f>IF(Table2[[#This Row],[Type]]="electricity", Table2[[#This Row],[Quantity_correct]]/6.6667,
IF(Table2[[#This Row],[Type]]="water", Table2[[#This Row],[Quantity_correct]]/3.333,
IF(Table2[[#This Row],[Type]]="heat", Table2[[#This Row],[Quantity_correct]]/0.8333,
"NA")))</f>
        <v>1533.8023309883451</v>
      </c>
      <c r="N309" s="1">
        <v>1533.81</v>
      </c>
    </row>
    <row r="310" spans="1:14" ht="12.5" hidden="1" x14ac:dyDescent="0.25">
      <c r="A310" s="1" t="s">
        <v>17</v>
      </c>
      <c r="B310" s="1" t="s">
        <v>17</v>
      </c>
      <c r="C310" s="1" t="str">
        <f>IF(OR(Table2[[#This Row],[units]]="litre_(l)", Table2[[#This Row],[units]]="gallon_(gal)", Table2[[#This Row],[units]]="cubic_metre_(m3)"), "water", Table2[[#This Row],[type2]])</f>
        <v>electricity</v>
      </c>
      <c r="D310" s="1" t="s">
        <v>128</v>
      </c>
      <c r="E310" s="3">
        <v>44932</v>
      </c>
      <c r="F310" s="8">
        <f t="shared" si="8"/>
        <v>45078</v>
      </c>
      <c r="G310" s="1" t="s">
        <v>69</v>
      </c>
      <c r="H310" s="8">
        <f t="shared" si="9"/>
        <v>45107</v>
      </c>
      <c r="I310" s="5">
        <v>10765.9</v>
      </c>
      <c r="J31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10765.9</v>
      </c>
      <c r="K310" s="5" t="str">
        <f>IF(Table2[[#This Row],[Type]]="electricity", "kilowatt_hour_(kwh)",
IF(Table2[[#This Row],[Type]]="water", "cubic_metre_(m3)",
IF(Table2[[#This Row],[Type]]="heat", "therm_(thm)",
"NA")))</f>
        <v>kilowatt_hour_(kwh)</v>
      </c>
      <c r="L310" s="1" t="s">
        <v>129</v>
      </c>
      <c r="M310" s="10">
        <f>IF(Table2[[#This Row],[Type]]="electricity", Table2[[#This Row],[Quantity_correct]]/6.6667,
IF(Table2[[#This Row],[Type]]="water", Table2[[#This Row],[Quantity_correct]]/3.333,
IF(Table2[[#This Row],[Type]]="heat", Table2[[#This Row],[Quantity_correct]]/0.8333,
"NA")))</f>
        <v>1614.8769256153719</v>
      </c>
      <c r="N310" s="1">
        <v>1614.885</v>
      </c>
    </row>
    <row r="311" spans="1:14" ht="12.5" hidden="1" x14ac:dyDescent="0.25">
      <c r="A311" s="1" t="s">
        <v>17</v>
      </c>
      <c r="B311" s="1" t="s">
        <v>17</v>
      </c>
      <c r="C311" s="1" t="str">
        <f>IF(OR(Table2[[#This Row],[units]]="litre_(l)", Table2[[#This Row],[units]]="gallon_(gal)", Table2[[#This Row],[units]]="cubic_metre_(m3)"), "water", Table2[[#This Row],[type2]])</f>
        <v>electricity</v>
      </c>
      <c r="D311" s="1" t="s">
        <v>128</v>
      </c>
      <c r="E311" s="3">
        <v>44933</v>
      </c>
      <c r="F311" s="8">
        <f t="shared" si="8"/>
        <v>45108</v>
      </c>
      <c r="G311" s="1" t="s">
        <v>71</v>
      </c>
      <c r="H311" s="8">
        <f t="shared" si="9"/>
        <v>45138</v>
      </c>
      <c r="I311" s="5">
        <v>10246.4</v>
      </c>
      <c r="J31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10246.4</v>
      </c>
      <c r="K311" s="5" t="str">
        <f>IF(Table2[[#This Row],[Type]]="electricity", "kilowatt_hour_(kwh)",
IF(Table2[[#This Row],[Type]]="water", "cubic_metre_(m3)",
IF(Table2[[#This Row],[Type]]="heat", "therm_(thm)",
"NA")))</f>
        <v>kilowatt_hour_(kwh)</v>
      </c>
      <c r="L311" s="1" t="s">
        <v>129</v>
      </c>
      <c r="M311" s="10">
        <f>IF(Table2[[#This Row],[Type]]="electricity", Table2[[#This Row],[Quantity_correct]]/6.6667,
IF(Table2[[#This Row],[Type]]="water", Table2[[#This Row],[Quantity_correct]]/3.333,
IF(Table2[[#This Row],[Type]]="heat", Table2[[#This Row],[Quantity_correct]]/0.8333,
"NA")))</f>
        <v>1536.9523152384238</v>
      </c>
      <c r="N311" s="1">
        <v>1536.96</v>
      </c>
    </row>
    <row r="312" spans="1:14" ht="12.5" hidden="1" x14ac:dyDescent="0.25">
      <c r="A312" s="1" t="s">
        <v>17</v>
      </c>
      <c r="B312" s="1" t="s">
        <v>17</v>
      </c>
      <c r="C312" s="1" t="str">
        <f>IF(OR(Table2[[#This Row],[units]]="litre_(l)", Table2[[#This Row],[units]]="gallon_(gal)", Table2[[#This Row],[units]]="cubic_metre_(m3)"), "water", Table2[[#This Row],[type2]])</f>
        <v>electricity</v>
      </c>
      <c r="D312" s="1" t="s">
        <v>128</v>
      </c>
      <c r="E312" s="3">
        <v>44934</v>
      </c>
      <c r="F312" s="8">
        <f t="shared" si="8"/>
        <v>45139</v>
      </c>
      <c r="G312" s="1" t="s">
        <v>72</v>
      </c>
      <c r="H312" s="8">
        <f t="shared" si="9"/>
        <v>45169</v>
      </c>
      <c r="I312" s="5">
        <v>11314.7</v>
      </c>
      <c r="J31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11314.7</v>
      </c>
      <c r="K312" s="5" t="str">
        <f>IF(Table2[[#This Row],[Type]]="electricity", "kilowatt_hour_(kwh)",
IF(Table2[[#This Row],[Type]]="water", "cubic_metre_(m3)",
IF(Table2[[#This Row],[Type]]="heat", "therm_(thm)",
"NA")))</f>
        <v>kilowatt_hour_(kwh)</v>
      </c>
      <c r="L312" s="1" t="s">
        <v>129</v>
      </c>
      <c r="M312" s="10">
        <f>IF(Table2[[#This Row],[Type]]="electricity", Table2[[#This Row],[Quantity_correct]]/6.6667,
IF(Table2[[#This Row],[Type]]="water", Table2[[#This Row],[Quantity_correct]]/3.333,
IF(Table2[[#This Row],[Type]]="heat", Table2[[#This Row],[Quantity_correct]]/0.8333,
"NA")))</f>
        <v>1697.1965140174302</v>
      </c>
      <c r="N312" s="1">
        <v>1697.2049999999999</v>
      </c>
    </row>
    <row r="313" spans="1:14" ht="12.5" hidden="1" x14ac:dyDescent="0.25">
      <c r="A313" s="1" t="s">
        <v>17</v>
      </c>
      <c r="B313" s="1" t="s">
        <v>17</v>
      </c>
      <c r="C313" s="1" t="str">
        <f>IF(OR(Table2[[#This Row],[units]]="litre_(l)", Table2[[#This Row],[units]]="gallon_(gal)", Table2[[#This Row],[units]]="cubic_metre_(m3)"), "water", Table2[[#This Row],[type2]])</f>
        <v>electricity</v>
      </c>
      <c r="D313" s="1" t="s">
        <v>128</v>
      </c>
      <c r="E313" s="3">
        <v>44935</v>
      </c>
      <c r="F313" s="8">
        <f t="shared" si="8"/>
        <v>45170</v>
      </c>
      <c r="G313" s="1" t="s">
        <v>67</v>
      </c>
      <c r="H313" s="8">
        <f t="shared" si="9"/>
        <v>45199</v>
      </c>
      <c r="I313" s="5">
        <v>10600.4</v>
      </c>
      <c r="J31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10600.4</v>
      </c>
      <c r="K313" s="5" t="str">
        <f>IF(Table2[[#This Row],[Type]]="electricity", "kilowatt_hour_(kwh)",
IF(Table2[[#This Row],[Type]]="water", "cubic_metre_(m3)",
IF(Table2[[#This Row],[Type]]="heat", "therm_(thm)",
"NA")))</f>
        <v>kilowatt_hour_(kwh)</v>
      </c>
      <c r="L313" s="1" t="s">
        <v>129</v>
      </c>
      <c r="M313" s="10">
        <f>IF(Table2[[#This Row],[Type]]="electricity", Table2[[#This Row],[Quantity_correct]]/6.6667,
IF(Table2[[#This Row],[Type]]="water", Table2[[#This Row],[Quantity_correct]]/3.333,
IF(Table2[[#This Row],[Type]]="heat", Table2[[#This Row],[Quantity_correct]]/0.8333,
"NA")))</f>
        <v>1590.0520497397513</v>
      </c>
      <c r="N313" s="1">
        <v>1590.06</v>
      </c>
    </row>
    <row r="314" spans="1:14" ht="12.5" hidden="1" x14ac:dyDescent="0.25">
      <c r="A314" s="1" t="s">
        <v>17</v>
      </c>
      <c r="B314" s="1" t="s">
        <v>17</v>
      </c>
      <c r="C314" s="1" t="str">
        <f>IF(OR(Table2[[#This Row],[units]]="litre_(l)", Table2[[#This Row],[units]]="gallon_(gal)", Table2[[#This Row],[units]]="cubic_metre_(m3)"), "water", Table2[[#This Row],[type2]])</f>
        <v>electricity</v>
      </c>
      <c r="D314" s="1" t="s">
        <v>128</v>
      </c>
      <c r="E314" s="3">
        <v>44936</v>
      </c>
      <c r="F314" s="8">
        <f t="shared" si="8"/>
        <v>45200</v>
      </c>
      <c r="G314" s="1" t="s">
        <v>75</v>
      </c>
      <c r="H314" s="8">
        <f t="shared" si="9"/>
        <v>45230</v>
      </c>
      <c r="I314" s="5">
        <v>11864.5</v>
      </c>
      <c r="J31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11864.5</v>
      </c>
      <c r="K314" s="5" t="str">
        <f>IF(Table2[[#This Row],[Type]]="electricity", "kilowatt_hour_(kwh)",
IF(Table2[[#This Row],[Type]]="water", "cubic_metre_(m3)",
IF(Table2[[#This Row],[Type]]="heat", "therm_(thm)",
"NA")))</f>
        <v>kilowatt_hour_(kwh)</v>
      </c>
      <c r="L314" s="1" t="s">
        <v>129</v>
      </c>
      <c r="M314" s="10">
        <f>IF(Table2[[#This Row],[Type]]="electricity", Table2[[#This Row],[Quantity_correct]]/6.6667,
IF(Table2[[#This Row],[Type]]="water", Table2[[#This Row],[Quantity_correct]]/3.333,
IF(Table2[[#This Row],[Type]]="heat", Table2[[#This Row],[Quantity_correct]]/0.8333,
"NA")))</f>
        <v>1779.6661016694918</v>
      </c>
      <c r="N314" s="1">
        <v>1779.675</v>
      </c>
    </row>
    <row r="315" spans="1:14" ht="12.5" hidden="1" x14ac:dyDescent="0.25">
      <c r="A315" s="1" t="s">
        <v>17</v>
      </c>
      <c r="B315" s="1" t="s">
        <v>17</v>
      </c>
      <c r="C315" s="1" t="str">
        <f>IF(OR(Table2[[#This Row],[units]]="litre_(l)", Table2[[#This Row],[units]]="gallon_(gal)", Table2[[#This Row],[units]]="cubic_metre_(m3)"), "water", Table2[[#This Row],[type2]])</f>
        <v>electricity</v>
      </c>
      <c r="D315" s="1" t="s">
        <v>128</v>
      </c>
      <c r="E315" s="3">
        <v>44937</v>
      </c>
      <c r="F315" s="8">
        <f t="shared" si="8"/>
        <v>45231</v>
      </c>
      <c r="G315" s="1" t="s">
        <v>56</v>
      </c>
      <c r="H315" s="8">
        <f t="shared" si="9"/>
        <v>45260</v>
      </c>
      <c r="I315" s="5">
        <v>15621.8</v>
      </c>
      <c r="J31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15621.8</v>
      </c>
      <c r="K315" s="5" t="str">
        <f>IF(Table2[[#This Row],[Type]]="electricity", "kilowatt_hour_(kwh)",
IF(Table2[[#This Row],[Type]]="water", "cubic_metre_(m3)",
IF(Table2[[#This Row],[Type]]="heat", "therm_(thm)",
"NA")))</f>
        <v>kilowatt_hour_(kwh)</v>
      </c>
      <c r="L315" s="1" t="s">
        <v>129</v>
      </c>
      <c r="M315" s="10">
        <f>IF(Table2[[#This Row],[Type]]="electricity", Table2[[#This Row],[Quantity_correct]]/6.6667,
IF(Table2[[#This Row],[Type]]="water", Table2[[#This Row],[Quantity_correct]]/3.333,
IF(Table2[[#This Row],[Type]]="heat", Table2[[#This Row],[Quantity_correct]]/0.8333,
"NA")))</f>
        <v>2343.2582837085815</v>
      </c>
      <c r="N315" s="1">
        <v>2343.27</v>
      </c>
    </row>
    <row r="316" spans="1:14" ht="12.5" hidden="1" x14ac:dyDescent="0.25">
      <c r="A316" s="1" t="s">
        <v>17</v>
      </c>
      <c r="B316" s="1" t="s">
        <v>17</v>
      </c>
      <c r="C316" s="1" t="str">
        <f>IF(OR(Table2[[#This Row],[units]]="litre_(l)", Table2[[#This Row],[units]]="gallon_(gal)", Table2[[#This Row],[units]]="cubic_metre_(m3)"), "water", Table2[[#This Row],[type2]])</f>
        <v>electricity</v>
      </c>
      <c r="D316" s="1" t="s">
        <v>128</v>
      </c>
      <c r="E316" s="3">
        <v>44938</v>
      </c>
      <c r="F316" s="8">
        <f t="shared" si="8"/>
        <v>45261</v>
      </c>
      <c r="G316" s="1" t="s">
        <v>45</v>
      </c>
      <c r="H316" s="8">
        <f t="shared" si="9"/>
        <v>45291</v>
      </c>
      <c r="I316" s="4">
        <v>13489</v>
      </c>
      <c r="J31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13489</v>
      </c>
      <c r="K316" s="4" t="str">
        <f>IF(Table2[[#This Row],[Type]]="electricity", "kilowatt_hour_(kwh)",
IF(Table2[[#This Row],[Type]]="water", "cubic_metre_(m3)",
IF(Table2[[#This Row],[Type]]="heat", "therm_(thm)",
"NA")))</f>
        <v>kilowatt_hour_(kwh)</v>
      </c>
      <c r="L316" s="1" t="s">
        <v>129</v>
      </c>
      <c r="M316" s="10">
        <f>IF(Table2[[#This Row],[Type]]="electricity", Table2[[#This Row],[Quantity_correct]]/6.6667,
IF(Table2[[#This Row],[Type]]="water", Table2[[#This Row],[Quantity_correct]]/3.333,
IF(Table2[[#This Row],[Type]]="heat", Table2[[#This Row],[Quantity_correct]]/0.8333,
"NA")))</f>
        <v>2023.3398833005836</v>
      </c>
      <c r="N316" s="1">
        <v>2023.35</v>
      </c>
    </row>
    <row r="317" spans="1:14" ht="12.5" hidden="1" x14ac:dyDescent="0.25">
      <c r="A317" s="1" t="s">
        <v>17</v>
      </c>
      <c r="B317" s="1" t="s">
        <v>17</v>
      </c>
      <c r="C317" s="1" t="str">
        <f>IF(OR(Table2[[#This Row],[units]]="litre_(l)", Table2[[#This Row],[units]]="gallon_(gal)", Table2[[#This Row],[units]]="cubic_metre_(m3)"), "water", Table2[[#This Row],[type2]])</f>
        <v>heat</v>
      </c>
      <c r="D317" s="1" t="s">
        <v>140</v>
      </c>
      <c r="E317" s="3">
        <v>44927</v>
      </c>
      <c r="F317" s="8">
        <f t="shared" si="8"/>
        <v>44927</v>
      </c>
      <c r="G317" s="1" t="s">
        <v>68</v>
      </c>
      <c r="H317" s="8">
        <f t="shared" si="9"/>
        <v>44957</v>
      </c>
      <c r="I317" s="5">
        <v>37476.92</v>
      </c>
      <c r="J31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1278.7658963186395</v>
      </c>
      <c r="K317" s="5" t="str">
        <f>IF(Table2[[#This Row],[Type]]="electricity", "kilowatt_hour_(kwh)",
IF(Table2[[#This Row],[Type]]="water", "cubic_metre_(m3)",
IF(Table2[[#This Row],[Type]]="heat", "therm_(thm)",
"NA")))</f>
        <v>therm_(thm)</v>
      </c>
      <c r="L317" s="1" t="s">
        <v>129</v>
      </c>
      <c r="M317" s="10">
        <f>IF(Table2[[#This Row],[Type]]="electricity", Table2[[#This Row],[Quantity_correct]]/6.6667,
IF(Table2[[#This Row],[Type]]="water", Table2[[#This Row],[Quantity_correct]]/3.333,
IF(Table2[[#This Row],[Type]]="heat", Table2[[#This Row],[Quantity_correct]]/0.8333,
"NA")))</f>
        <v>1534.5804588007195</v>
      </c>
      <c r="N317" s="1">
        <v>44972.303999999996</v>
      </c>
    </row>
    <row r="318" spans="1:14" ht="12.5" hidden="1" x14ac:dyDescent="0.25">
      <c r="A318" s="1" t="s">
        <v>17</v>
      </c>
      <c r="B318" s="1" t="s">
        <v>17</v>
      </c>
      <c r="C318" s="1" t="str">
        <f>IF(OR(Table2[[#This Row],[units]]="litre_(l)", Table2[[#This Row],[units]]="gallon_(gal)", Table2[[#This Row],[units]]="cubic_metre_(m3)"), "water", Table2[[#This Row],[type2]])</f>
        <v>heat</v>
      </c>
      <c r="D318" s="1" t="s">
        <v>140</v>
      </c>
      <c r="E318" s="3">
        <v>44928</v>
      </c>
      <c r="F318" s="8">
        <f t="shared" si="8"/>
        <v>44958</v>
      </c>
      <c r="G318" s="1" t="s">
        <v>65</v>
      </c>
      <c r="H318" s="8">
        <f t="shared" si="9"/>
        <v>44985</v>
      </c>
      <c r="I318" s="5">
        <v>30766.98</v>
      </c>
      <c r="J31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1049.8131852008557</v>
      </c>
      <c r="K318" s="5" t="str">
        <f>IF(Table2[[#This Row],[Type]]="electricity", "kilowatt_hour_(kwh)",
IF(Table2[[#This Row],[Type]]="water", "cubic_metre_(m3)",
IF(Table2[[#This Row],[Type]]="heat", "therm_(thm)",
"NA")))</f>
        <v>therm_(thm)</v>
      </c>
      <c r="L318" s="1" t="s">
        <v>129</v>
      </c>
      <c r="M318" s="10">
        <f>IF(Table2[[#This Row],[Type]]="electricity", Table2[[#This Row],[Quantity_correct]]/6.6667,
IF(Table2[[#This Row],[Type]]="water", Table2[[#This Row],[Quantity_correct]]/3.333,
IF(Table2[[#This Row],[Type]]="heat", Table2[[#This Row],[Quantity_correct]]/0.8333,
"NA")))</f>
        <v>1259.8262152896384</v>
      </c>
      <c r="N318" s="1">
        <v>36920.375999999997</v>
      </c>
    </row>
    <row r="319" spans="1:14" ht="12.5" hidden="1" x14ac:dyDescent="0.25">
      <c r="A319" s="1" t="s">
        <v>17</v>
      </c>
      <c r="B319" s="1" t="s">
        <v>17</v>
      </c>
      <c r="C319" s="1" t="str">
        <f>IF(OR(Table2[[#This Row],[units]]="litre_(l)", Table2[[#This Row],[units]]="gallon_(gal)", Table2[[#This Row],[units]]="cubic_metre_(m3)"), "water", Table2[[#This Row],[type2]])</f>
        <v>heat</v>
      </c>
      <c r="D319" s="1" t="s">
        <v>140</v>
      </c>
      <c r="E319" s="3">
        <v>44929</v>
      </c>
      <c r="F319" s="8">
        <f t="shared" si="8"/>
        <v>44986</v>
      </c>
      <c r="G319" s="1" t="s">
        <v>74</v>
      </c>
      <c r="H319" s="8">
        <f t="shared" si="9"/>
        <v>45016</v>
      </c>
      <c r="I319" s="5">
        <v>32405.19</v>
      </c>
      <c r="J31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1105.7112440330159</v>
      </c>
      <c r="K319" s="5" t="str">
        <f>IF(Table2[[#This Row],[Type]]="electricity", "kilowatt_hour_(kwh)",
IF(Table2[[#This Row],[Type]]="water", "cubic_metre_(m3)",
IF(Table2[[#This Row],[Type]]="heat", "therm_(thm)",
"NA")))</f>
        <v>therm_(thm)</v>
      </c>
      <c r="L319" s="1" t="s">
        <v>129</v>
      </c>
      <c r="M319" s="10">
        <f>IF(Table2[[#This Row],[Type]]="electricity", Table2[[#This Row],[Quantity_correct]]/6.6667,
IF(Table2[[#This Row],[Type]]="water", Table2[[#This Row],[Quantity_correct]]/3.333,
IF(Table2[[#This Row],[Type]]="heat", Table2[[#This Row],[Quantity_correct]]/0.8333,
"NA")))</f>
        <v>1326.9065691023832</v>
      </c>
      <c r="N319" s="1">
        <v>38886.228000000003</v>
      </c>
    </row>
    <row r="320" spans="1:14" ht="12.5" hidden="1" x14ac:dyDescent="0.25">
      <c r="A320" s="1" t="s">
        <v>17</v>
      </c>
      <c r="B320" s="1" t="s">
        <v>17</v>
      </c>
      <c r="C320" s="1" t="str">
        <f>IF(OR(Table2[[#This Row],[units]]="litre_(l)", Table2[[#This Row],[units]]="gallon_(gal)", Table2[[#This Row],[units]]="cubic_metre_(m3)"), "water", Table2[[#This Row],[type2]])</f>
        <v>heat</v>
      </c>
      <c r="D320" s="1" t="s">
        <v>140</v>
      </c>
      <c r="E320" s="3">
        <v>44930</v>
      </c>
      <c r="F320" s="8">
        <f t="shared" si="8"/>
        <v>45017</v>
      </c>
      <c r="G320" s="1" t="s">
        <v>103</v>
      </c>
      <c r="H320" s="8">
        <f t="shared" si="9"/>
        <v>45046</v>
      </c>
      <c r="I320" s="5">
        <v>22486.15</v>
      </c>
      <c r="J32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767.25946954833478</v>
      </c>
      <c r="K320" s="5" t="str">
        <f>IF(Table2[[#This Row],[Type]]="electricity", "kilowatt_hour_(kwh)",
IF(Table2[[#This Row],[Type]]="water", "cubic_metre_(m3)",
IF(Table2[[#This Row],[Type]]="heat", "therm_(thm)",
"NA")))</f>
        <v>therm_(thm)</v>
      </c>
      <c r="L320" s="1" t="s">
        <v>129</v>
      </c>
      <c r="M320" s="10">
        <f>IF(Table2[[#This Row],[Type]]="electricity", Table2[[#This Row],[Quantity_correct]]/6.6667,
IF(Table2[[#This Row],[Type]]="water", Table2[[#This Row],[Quantity_correct]]/3.333,
IF(Table2[[#This Row],[Type]]="heat", Table2[[#This Row],[Quantity_correct]]/0.8333,
"NA")))</f>
        <v>920.74819338573707</v>
      </c>
      <c r="N320" s="1">
        <v>26983.38</v>
      </c>
    </row>
    <row r="321" spans="1:14" ht="12.5" hidden="1" x14ac:dyDescent="0.25">
      <c r="A321" s="1" t="s">
        <v>17</v>
      </c>
      <c r="B321" s="1" t="s">
        <v>17</v>
      </c>
      <c r="C321" s="1" t="str">
        <f>IF(OR(Table2[[#This Row],[units]]="litre_(l)", Table2[[#This Row],[units]]="gallon_(gal)", Table2[[#This Row],[units]]="cubic_metre_(m3)"), "water", Table2[[#This Row],[type2]])</f>
        <v>heat</v>
      </c>
      <c r="D321" s="1" t="s">
        <v>140</v>
      </c>
      <c r="E321" s="3">
        <v>44931</v>
      </c>
      <c r="F321" s="8">
        <f t="shared" si="8"/>
        <v>45047</v>
      </c>
      <c r="G321" s="1" t="s">
        <v>73</v>
      </c>
      <c r="H321" s="8">
        <f t="shared" si="9"/>
        <v>45077</v>
      </c>
      <c r="I321" s="5">
        <v>7686.13</v>
      </c>
      <c r="J32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262.26170450163954</v>
      </c>
      <c r="K321" s="5" t="str">
        <f>IF(Table2[[#This Row],[Type]]="electricity", "kilowatt_hour_(kwh)",
IF(Table2[[#This Row],[Type]]="water", "cubic_metre_(m3)",
IF(Table2[[#This Row],[Type]]="heat", "therm_(thm)",
"NA")))</f>
        <v>therm_(thm)</v>
      </c>
      <c r="L321" s="1" t="s">
        <v>129</v>
      </c>
      <c r="M321" s="10">
        <f>IF(Table2[[#This Row],[Type]]="electricity", Table2[[#This Row],[Quantity_correct]]/6.6667,
IF(Table2[[#This Row],[Type]]="water", Table2[[#This Row],[Quantity_correct]]/3.333,
IF(Table2[[#This Row],[Type]]="heat", Table2[[#This Row],[Quantity_correct]]/0.8333,
"NA")))</f>
        <v>314.72663446734612</v>
      </c>
      <c r="N321" s="1">
        <v>9223.3559999999998</v>
      </c>
    </row>
    <row r="322" spans="1:14" ht="12.5" hidden="1" x14ac:dyDescent="0.25">
      <c r="A322" s="1" t="s">
        <v>17</v>
      </c>
      <c r="B322" s="1" t="s">
        <v>17</v>
      </c>
      <c r="C322" s="1" t="str">
        <f>IF(OR(Table2[[#This Row],[units]]="litre_(l)", Table2[[#This Row],[units]]="gallon_(gal)", Table2[[#This Row],[units]]="cubic_metre_(m3)"), "water", Table2[[#This Row],[type2]])</f>
        <v>heat</v>
      </c>
      <c r="D322" s="1" t="s">
        <v>140</v>
      </c>
      <c r="E322" s="3">
        <v>44932</v>
      </c>
      <c r="F322" s="8">
        <f t="shared" ref="F322:F385" si="10">DATE(RIGHT(TEXT(E322,"dd-mm-yyyy"),4), LEFT(TEXT(E322,"dd-mm-yyyy"),2),MID(TEXT(E322,"dd-mm-yyyy"),4,2))</f>
        <v>45078</v>
      </c>
      <c r="G322" s="1" t="s">
        <v>69</v>
      </c>
      <c r="H322" s="8">
        <f t="shared" ref="H322:H385" si="11">DATE(RIGHT(TEXT(G322,"dd-mm-yyyy"),4), LEFT(TEXT(G322,"dd-mm-yyyy"),2),MID(TEXT(G322,"dd-mm-yyyy"),4,2))</f>
        <v>45107</v>
      </c>
      <c r="I322" s="5">
        <v>1178.17</v>
      </c>
      <c r="J32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40.200838704614242</v>
      </c>
      <c r="K322" s="5" t="str">
        <f>IF(Table2[[#This Row],[Type]]="electricity", "kilowatt_hour_(kwh)",
IF(Table2[[#This Row],[Type]]="water", "cubic_metre_(m3)",
IF(Table2[[#This Row],[Type]]="heat", "therm_(thm)",
"NA")))</f>
        <v>therm_(thm)</v>
      </c>
      <c r="L322" s="1" t="s">
        <v>129</v>
      </c>
      <c r="M322" s="10">
        <f>IF(Table2[[#This Row],[Type]]="electricity", Table2[[#This Row],[Quantity_correct]]/6.6667,
IF(Table2[[#This Row],[Type]]="water", Table2[[#This Row],[Quantity_correct]]/3.333,
IF(Table2[[#This Row],[Type]]="heat", Table2[[#This Row],[Quantity_correct]]/0.8333,
"NA")))</f>
        <v>48.242936162983604</v>
      </c>
      <c r="N322" s="1">
        <v>1413.8040000000001</v>
      </c>
    </row>
    <row r="323" spans="1:14" ht="12.5" hidden="1" x14ac:dyDescent="0.25">
      <c r="A323" s="1" t="s">
        <v>17</v>
      </c>
      <c r="B323" s="1" t="s">
        <v>17</v>
      </c>
      <c r="C323" s="1" t="str">
        <f>IF(OR(Table2[[#This Row],[units]]="litre_(l)", Table2[[#This Row],[units]]="gallon_(gal)", Table2[[#This Row],[units]]="cubic_metre_(m3)"), "water", Table2[[#This Row],[type2]])</f>
        <v>heat</v>
      </c>
      <c r="D323" s="1" t="s">
        <v>140</v>
      </c>
      <c r="E323" s="3">
        <v>44933</v>
      </c>
      <c r="F323" s="8">
        <f t="shared" si="10"/>
        <v>45108</v>
      </c>
      <c r="G323" s="1" t="s">
        <v>71</v>
      </c>
      <c r="H323" s="8">
        <f t="shared" si="11"/>
        <v>45138</v>
      </c>
      <c r="I323" s="1">
        <v>89.77</v>
      </c>
      <c r="J32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3.0630802774754242</v>
      </c>
      <c r="K323" s="4" t="str">
        <f>IF(Table2[[#This Row],[Type]]="electricity", "kilowatt_hour_(kwh)",
IF(Table2[[#This Row],[Type]]="water", "cubic_metre_(m3)",
IF(Table2[[#This Row],[Type]]="heat", "therm_(thm)",
"NA")))</f>
        <v>therm_(thm)</v>
      </c>
      <c r="L323" s="1" t="s">
        <v>129</v>
      </c>
      <c r="M323" s="10">
        <f>IF(Table2[[#This Row],[Type]]="electricity", Table2[[#This Row],[Quantity_correct]]/6.6667,
IF(Table2[[#This Row],[Type]]="water", Table2[[#This Row],[Quantity_correct]]/3.333,
IF(Table2[[#This Row],[Type]]="heat", Table2[[#This Row],[Quantity_correct]]/0.8333,
"NA")))</f>
        <v>3.6758433667051773</v>
      </c>
      <c r="N323" s="1">
        <v>107.724</v>
      </c>
    </row>
    <row r="324" spans="1:14" ht="12.5" hidden="1" x14ac:dyDescent="0.25">
      <c r="A324" s="1" t="s">
        <v>17</v>
      </c>
      <c r="B324" s="1" t="s">
        <v>17</v>
      </c>
      <c r="C324" s="1" t="str">
        <f>IF(OR(Table2[[#This Row],[units]]="litre_(l)", Table2[[#This Row],[units]]="gallon_(gal)", Table2[[#This Row],[units]]="cubic_metre_(m3)"), "water", Table2[[#This Row],[type2]])</f>
        <v>heat</v>
      </c>
      <c r="D324" s="1" t="s">
        <v>140</v>
      </c>
      <c r="E324" s="3">
        <v>44934</v>
      </c>
      <c r="F324" s="8">
        <f t="shared" si="10"/>
        <v>45139</v>
      </c>
      <c r="G324" s="1" t="s">
        <v>72</v>
      </c>
      <c r="H324" s="8">
        <f t="shared" si="11"/>
        <v>45169</v>
      </c>
      <c r="I324" s="1">
        <v>0</v>
      </c>
      <c r="J32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24" s="4" t="str">
        <f>IF(Table2[[#This Row],[Type]]="electricity", "kilowatt_hour_(kwh)",
IF(Table2[[#This Row],[Type]]="water", "cubic_metre_(m3)",
IF(Table2[[#This Row],[Type]]="heat", "therm_(thm)",
"NA")))</f>
        <v>therm_(thm)</v>
      </c>
      <c r="L324" s="1" t="s">
        <v>129</v>
      </c>
      <c r="M324" s="10">
        <f>IF(Table2[[#This Row],[Type]]="electricity", Table2[[#This Row],[Quantity_correct]]/6.6667,
IF(Table2[[#This Row],[Type]]="water", Table2[[#This Row],[Quantity_correct]]/3.333,
IF(Table2[[#This Row],[Type]]="heat", Table2[[#This Row],[Quantity_correct]]/0.8333,
"NA")))</f>
        <v>0</v>
      </c>
      <c r="N324" s="1">
        <v>0</v>
      </c>
    </row>
    <row r="325" spans="1:14" ht="12.5" hidden="1" x14ac:dyDescent="0.25">
      <c r="A325" s="1" t="s">
        <v>17</v>
      </c>
      <c r="B325" s="1" t="s">
        <v>17</v>
      </c>
      <c r="C325" s="1" t="str">
        <f>IF(OR(Table2[[#This Row],[units]]="litre_(l)", Table2[[#This Row],[units]]="gallon_(gal)", Table2[[#This Row],[units]]="cubic_metre_(m3)"), "water", Table2[[#This Row],[type2]])</f>
        <v>heat</v>
      </c>
      <c r="D325" s="1" t="s">
        <v>140</v>
      </c>
      <c r="E325" s="3">
        <v>44935</v>
      </c>
      <c r="F325" s="8">
        <f t="shared" si="10"/>
        <v>45170</v>
      </c>
      <c r="G325" s="1" t="s">
        <v>67</v>
      </c>
      <c r="H325" s="8">
        <f t="shared" si="11"/>
        <v>45199</v>
      </c>
      <c r="I325" s="1">
        <v>0</v>
      </c>
      <c r="J32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25" s="4" t="str">
        <f>IF(Table2[[#This Row],[Type]]="electricity", "kilowatt_hour_(kwh)",
IF(Table2[[#This Row],[Type]]="water", "cubic_metre_(m3)",
IF(Table2[[#This Row],[Type]]="heat", "therm_(thm)",
"NA")))</f>
        <v>therm_(thm)</v>
      </c>
      <c r="L325" s="1" t="s">
        <v>129</v>
      </c>
      <c r="M325" s="10">
        <f>IF(Table2[[#This Row],[Type]]="electricity", Table2[[#This Row],[Quantity_correct]]/6.6667,
IF(Table2[[#This Row],[Type]]="water", Table2[[#This Row],[Quantity_correct]]/3.333,
IF(Table2[[#This Row],[Type]]="heat", Table2[[#This Row],[Quantity_correct]]/0.8333,
"NA")))</f>
        <v>0</v>
      </c>
      <c r="N325" s="1">
        <v>0</v>
      </c>
    </row>
    <row r="326" spans="1:14" ht="12.5" hidden="1" x14ac:dyDescent="0.25">
      <c r="A326" s="1" t="s">
        <v>17</v>
      </c>
      <c r="B326" s="1" t="s">
        <v>17</v>
      </c>
      <c r="C326" s="1" t="str">
        <f>IF(OR(Table2[[#This Row],[units]]="litre_(l)", Table2[[#This Row],[units]]="gallon_(gal)", Table2[[#This Row],[units]]="cubic_metre_(m3)"), "water", Table2[[#This Row],[type2]])</f>
        <v>heat</v>
      </c>
      <c r="D326" s="1" t="s">
        <v>140</v>
      </c>
      <c r="E326" s="3">
        <v>44936</v>
      </c>
      <c r="F326" s="8">
        <f t="shared" si="10"/>
        <v>45200</v>
      </c>
      <c r="G326" s="1" t="s">
        <v>75</v>
      </c>
      <c r="H326" s="8">
        <f t="shared" si="11"/>
        <v>45230</v>
      </c>
      <c r="I326" s="5">
        <v>22443.96</v>
      </c>
      <c r="J32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765.81988664862786</v>
      </c>
      <c r="K326" s="5" t="str">
        <f>IF(Table2[[#This Row],[Type]]="electricity", "kilowatt_hour_(kwh)",
IF(Table2[[#This Row],[Type]]="water", "cubic_metre_(m3)",
IF(Table2[[#This Row],[Type]]="heat", "therm_(thm)",
"NA")))</f>
        <v>therm_(thm)</v>
      </c>
      <c r="L326" s="1" t="s">
        <v>129</v>
      </c>
      <c r="M326" s="10">
        <f>IF(Table2[[#This Row],[Type]]="electricity", Table2[[#This Row],[Quantity_correct]]/6.6667,
IF(Table2[[#This Row],[Type]]="water", Table2[[#This Row],[Quantity_correct]]/3.333,
IF(Table2[[#This Row],[Type]]="heat", Table2[[#This Row],[Quantity_correct]]/0.8333,
"NA")))</f>
        <v>919.02062480334553</v>
      </c>
      <c r="N326" s="1">
        <v>26932.752</v>
      </c>
    </row>
    <row r="327" spans="1:14" ht="12.5" hidden="1" x14ac:dyDescent="0.25">
      <c r="A327" s="1" t="s">
        <v>17</v>
      </c>
      <c r="B327" s="1" t="s">
        <v>17</v>
      </c>
      <c r="C327" s="1" t="str">
        <f>IF(OR(Table2[[#This Row],[units]]="litre_(l)", Table2[[#This Row],[units]]="gallon_(gal)", Table2[[#This Row],[units]]="cubic_metre_(m3)"), "water", Table2[[#This Row],[type2]])</f>
        <v>heat</v>
      </c>
      <c r="D327" s="1" t="s">
        <v>140</v>
      </c>
      <c r="E327" s="3">
        <v>44937</v>
      </c>
      <c r="F327" s="8">
        <f t="shared" si="10"/>
        <v>45231</v>
      </c>
      <c r="G327" s="1" t="s">
        <v>56</v>
      </c>
      <c r="H327" s="8">
        <f t="shared" si="11"/>
        <v>45260</v>
      </c>
      <c r="I327" s="4">
        <v>21720</v>
      </c>
      <c r="J32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741.11734016671733</v>
      </c>
      <c r="K327" s="4" t="str">
        <f>IF(Table2[[#This Row],[Type]]="electricity", "kilowatt_hour_(kwh)",
IF(Table2[[#This Row],[Type]]="water", "cubic_metre_(m3)",
IF(Table2[[#This Row],[Type]]="heat", "therm_(thm)",
"NA")))</f>
        <v>therm_(thm)</v>
      </c>
      <c r="L327" s="1" t="s">
        <v>129</v>
      </c>
      <c r="M327" s="10">
        <f>IF(Table2[[#This Row],[Type]]="electricity", Table2[[#This Row],[Quantity_correct]]/6.6667,
IF(Table2[[#This Row],[Type]]="water", Table2[[#This Row],[Quantity_correct]]/3.333,
IF(Table2[[#This Row],[Type]]="heat", Table2[[#This Row],[Quantity_correct]]/0.8333,
"NA")))</f>
        <v>889.37638325539092</v>
      </c>
      <c r="N327" s="1">
        <v>26064</v>
      </c>
    </row>
    <row r="328" spans="1:14" ht="12.5" hidden="1" x14ac:dyDescent="0.25">
      <c r="A328" s="1" t="s">
        <v>17</v>
      </c>
      <c r="B328" s="1" t="s">
        <v>17</v>
      </c>
      <c r="C328" s="1" t="str">
        <f>IF(OR(Table2[[#This Row],[units]]="litre_(l)", Table2[[#This Row],[units]]="gallon_(gal)", Table2[[#This Row],[units]]="cubic_metre_(m3)"), "water", Table2[[#This Row],[type2]])</f>
        <v>heat</v>
      </c>
      <c r="D328" s="1" t="s">
        <v>140</v>
      </c>
      <c r="E328" s="3">
        <v>44938</v>
      </c>
      <c r="F328" s="8">
        <f t="shared" si="10"/>
        <v>45261</v>
      </c>
      <c r="G328" s="1" t="s">
        <v>45</v>
      </c>
      <c r="H328" s="8">
        <f t="shared" si="11"/>
        <v>45291</v>
      </c>
      <c r="I328" s="5">
        <v>24741.5</v>
      </c>
      <c r="J32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844.21522429718402</v>
      </c>
      <c r="K328" s="5" t="str">
        <f>IF(Table2[[#This Row],[Type]]="electricity", "kilowatt_hour_(kwh)",
IF(Table2[[#This Row],[Type]]="water", "cubic_metre_(m3)",
IF(Table2[[#This Row],[Type]]="heat", "therm_(thm)",
"NA")))</f>
        <v>therm_(thm)</v>
      </c>
      <c r="L328" s="1" t="s">
        <v>129</v>
      </c>
      <c r="M328" s="10">
        <f>IF(Table2[[#This Row],[Type]]="electricity", Table2[[#This Row],[Quantity_correct]]/6.6667,
IF(Table2[[#This Row],[Type]]="water", Table2[[#This Row],[Quantity_correct]]/3.333,
IF(Table2[[#This Row],[Type]]="heat", Table2[[#This Row],[Quantity_correct]]/0.8333,
"NA")))</f>
        <v>1013.0987931083451</v>
      </c>
      <c r="N328" s="1">
        <v>29689.8</v>
      </c>
    </row>
    <row r="329" spans="1:14" ht="12.5" hidden="1" x14ac:dyDescent="0.25">
      <c r="A329" s="1" t="s">
        <v>17</v>
      </c>
      <c r="B329" s="1" t="s">
        <v>17</v>
      </c>
      <c r="C329" s="1" t="str">
        <f>IF(OR(Table2[[#This Row],[units]]="litre_(l)", Table2[[#This Row],[units]]="gallon_(gal)", Table2[[#This Row],[units]]="cubic_metre_(m3)"), "water", Table2[[#This Row],[type2]])</f>
        <v>water</v>
      </c>
      <c r="D329" s="1" t="s">
        <v>130</v>
      </c>
      <c r="E329" s="3">
        <v>44562</v>
      </c>
      <c r="F329" s="8">
        <f t="shared" si="10"/>
        <v>44562</v>
      </c>
      <c r="G329" s="1" t="s">
        <v>51</v>
      </c>
      <c r="H329" s="8">
        <f t="shared" si="11"/>
        <v>44926</v>
      </c>
      <c r="I329" s="1">
        <v>586</v>
      </c>
      <c r="J32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586</v>
      </c>
      <c r="K329" s="4" t="str">
        <f>IF(Table2[[#This Row],[Type]]="electricity", "kilowatt_hour_(kwh)",
IF(Table2[[#This Row],[Type]]="water", "cubic_metre_(m3)",
IF(Table2[[#This Row],[Type]]="heat", "therm_(thm)",
"NA")))</f>
        <v>cubic_metre_(m3)</v>
      </c>
      <c r="L329" s="1" t="s">
        <v>133</v>
      </c>
      <c r="M329" s="10">
        <f>IF(Table2[[#This Row],[Type]]="electricity", Table2[[#This Row],[Quantity_correct]]/6.6667,
IF(Table2[[#This Row],[Type]]="water", Table2[[#This Row],[Quantity_correct]]/3.333,
IF(Table2[[#This Row],[Type]]="heat", Table2[[#This Row],[Quantity_correct]]/0.8333,
"NA")))</f>
        <v>175.81758175817581</v>
      </c>
      <c r="N329" s="1">
        <v>175.8</v>
      </c>
    </row>
    <row r="330" spans="1:14" ht="12.5" hidden="1" x14ac:dyDescent="0.25">
      <c r="A330" s="1" t="s">
        <v>17</v>
      </c>
      <c r="B330" s="1" t="s">
        <v>17</v>
      </c>
      <c r="C330" s="1" t="str">
        <f>IF(OR(Table2[[#This Row],[units]]="litre_(l)", Table2[[#This Row],[units]]="gallon_(gal)", Table2[[#This Row],[units]]="cubic_metre_(m3)"), "water", Table2[[#This Row],[type2]])</f>
        <v>water</v>
      </c>
      <c r="D330" s="1" t="s">
        <v>130</v>
      </c>
      <c r="E330" s="3">
        <v>44629</v>
      </c>
      <c r="F330" s="8">
        <f t="shared" si="10"/>
        <v>44807</v>
      </c>
      <c r="G330" s="1" t="s">
        <v>212</v>
      </c>
      <c r="H330" s="8">
        <f t="shared" si="11"/>
        <v>44978</v>
      </c>
      <c r="I330" s="1">
        <v>319</v>
      </c>
      <c r="J33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319</v>
      </c>
      <c r="K330" s="4" t="str">
        <f>IF(Table2[[#This Row],[Type]]="electricity", "kilowatt_hour_(kwh)",
IF(Table2[[#This Row],[Type]]="water", "cubic_metre_(m3)",
IF(Table2[[#This Row],[Type]]="heat", "therm_(thm)",
"NA")))</f>
        <v>cubic_metre_(m3)</v>
      </c>
      <c r="L330" s="1" t="s">
        <v>133</v>
      </c>
      <c r="M330" s="10">
        <f>IF(Table2[[#This Row],[Type]]="electricity", Table2[[#This Row],[Quantity_correct]]/6.6667,
IF(Table2[[#This Row],[Type]]="water", Table2[[#This Row],[Quantity_correct]]/3.333,
IF(Table2[[#This Row],[Type]]="heat", Table2[[#This Row],[Quantity_correct]]/0.8333,
"NA")))</f>
        <v>95.709570957095707</v>
      </c>
      <c r="N330" s="1">
        <v>95.7</v>
      </c>
    </row>
    <row r="331" spans="1:14" ht="12.5" hidden="1" x14ac:dyDescent="0.25">
      <c r="A331" s="1" t="s">
        <v>17</v>
      </c>
      <c r="B331" s="1" t="s">
        <v>17</v>
      </c>
      <c r="C331" s="1" t="str">
        <f>IF(OR(Table2[[#This Row],[units]]="litre_(l)", Table2[[#This Row],[units]]="gallon_(gal)", Table2[[#This Row],[units]]="cubic_metre_(m3)"), "water", Table2[[#This Row],[type2]])</f>
        <v>water</v>
      </c>
      <c r="D331" s="1" t="s">
        <v>130</v>
      </c>
      <c r="E331" s="1" t="s">
        <v>213</v>
      </c>
      <c r="F331" s="8">
        <f t="shared" si="10"/>
        <v>44979</v>
      </c>
      <c r="G331" s="3">
        <v>45055</v>
      </c>
      <c r="H331" s="8">
        <f t="shared" si="11"/>
        <v>45174</v>
      </c>
      <c r="I331" s="1">
        <v>326</v>
      </c>
      <c r="J33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326</v>
      </c>
      <c r="K331" s="4" t="str">
        <f>IF(Table2[[#This Row],[Type]]="electricity", "kilowatt_hour_(kwh)",
IF(Table2[[#This Row],[Type]]="water", "cubic_metre_(m3)",
IF(Table2[[#This Row],[Type]]="heat", "therm_(thm)",
"NA")))</f>
        <v>cubic_metre_(m3)</v>
      </c>
      <c r="L331" s="1" t="s">
        <v>133</v>
      </c>
      <c r="M331" s="10">
        <f>IF(Table2[[#This Row],[Type]]="electricity", Table2[[#This Row],[Quantity_correct]]/6.6667,
IF(Table2[[#This Row],[Type]]="water", Table2[[#This Row],[Quantity_correct]]/3.333,
IF(Table2[[#This Row],[Type]]="heat", Table2[[#This Row],[Quantity_correct]]/0.8333,
"NA")))</f>
        <v>97.809780978097805</v>
      </c>
      <c r="N331" s="1">
        <v>97.8</v>
      </c>
    </row>
    <row r="332" spans="1:14" ht="12.5" hidden="1" x14ac:dyDescent="0.25">
      <c r="A332" s="1" t="s">
        <v>18</v>
      </c>
      <c r="B332" s="1" t="s">
        <v>214</v>
      </c>
      <c r="C332" s="1" t="str">
        <f>IF(OR(Table2[[#This Row],[units]]="litre_(l)", Table2[[#This Row],[units]]="gallon_(gal)", Table2[[#This Row],[units]]="cubic_metre_(m3)"), "water", Table2[[#This Row],[type2]])</f>
        <v>electricity</v>
      </c>
      <c r="D332" s="1" t="s">
        <v>128</v>
      </c>
      <c r="E332" s="3">
        <v>44927</v>
      </c>
      <c r="F332" s="8">
        <f t="shared" si="10"/>
        <v>44927</v>
      </c>
      <c r="G332" s="1" t="s">
        <v>68</v>
      </c>
      <c r="H332" s="8">
        <f t="shared" si="11"/>
        <v>44957</v>
      </c>
      <c r="I332" s="1">
        <v>335</v>
      </c>
      <c r="J33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335</v>
      </c>
      <c r="K332" s="4" t="str">
        <f>IF(Table2[[#This Row],[Type]]="electricity", "kilowatt_hour_(kwh)",
IF(Table2[[#This Row],[Type]]="water", "cubic_metre_(m3)",
IF(Table2[[#This Row],[Type]]="heat", "therm_(thm)",
"NA")))</f>
        <v>kilowatt_hour_(kwh)</v>
      </c>
      <c r="L332" s="1" t="s">
        <v>129</v>
      </c>
      <c r="M332" s="10">
        <f>IF(Table2[[#This Row],[Type]]="electricity", Table2[[#This Row],[Quantity_correct]]/6.6667,
IF(Table2[[#This Row],[Type]]="water", Table2[[#This Row],[Quantity_correct]]/3.333,
IF(Table2[[#This Row],[Type]]="heat", Table2[[#This Row],[Quantity_correct]]/0.8333,
"NA")))</f>
        <v>50.249748751256249</v>
      </c>
      <c r="N332" s="1">
        <v>50.25</v>
      </c>
    </row>
    <row r="333" spans="1:14" ht="12.5" hidden="1" x14ac:dyDescent="0.25">
      <c r="A333" s="1" t="s">
        <v>18</v>
      </c>
      <c r="B333" s="1" t="s">
        <v>214</v>
      </c>
      <c r="C333" s="1" t="str">
        <f>IF(OR(Table2[[#This Row],[units]]="litre_(l)", Table2[[#This Row],[units]]="gallon_(gal)", Table2[[#This Row],[units]]="cubic_metre_(m3)"), "water", Table2[[#This Row],[type2]])</f>
        <v>electricity</v>
      </c>
      <c r="D333" s="1" t="s">
        <v>128</v>
      </c>
      <c r="E333" s="3">
        <v>44927</v>
      </c>
      <c r="F333" s="8">
        <f t="shared" si="10"/>
        <v>44927</v>
      </c>
      <c r="G333" s="1" t="s">
        <v>74</v>
      </c>
      <c r="H333" s="8">
        <f t="shared" si="11"/>
        <v>45016</v>
      </c>
      <c r="I333" s="1">
        <v>726</v>
      </c>
      <c r="J33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726</v>
      </c>
      <c r="K333" s="4" t="str">
        <f>IF(Table2[[#This Row],[Type]]="electricity", "kilowatt_hour_(kwh)",
IF(Table2[[#This Row],[Type]]="water", "cubic_metre_(m3)",
IF(Table2[[#This Row],[Type]]="heat", "therm_(thm)",
"NA")))</f>
        <v>kilowatt_hour_(kwh)</v>
      </c>
      <c r="L333" s="1" t="s">
        <v>129</v>
      </c>
      <c r="M333" s="10">
        <f>IF(Table2[[#This Row],[Type]]="electricity", Table2[[#This Row],[Quantity_correct]]/6.6667,
IF(Table2[[#This Row],[Type]]="water", Table2[[#This Row],[Quantity_correct]]/3.333,
IF(Table2[[#This Row],[Type]]="heat", Table2[[#This Row],[Quantity_correct]]/0.8333,
"NA")))</f>
        <v>108.89945550272249</v>
      </c>
      <c r="N333" s="1">
        <v>108.9</v>
      </c>
    </row>
    <row r="334" spans="1:14" ht="12.5" hidden="1" x14ac:dyDescent="0.25">
      <c r="A334" s="1" t="s">
        <v>18</v>
      </c>
      <c r="B334" s="1" t="s">
        <v>214</v>
      </c>
      <c r="C334" s="1" t="str">
        <f>IF(OR(Table2[[#This Row],[units]]="litre_(l)", Table2[[#This Row],[units]]="gallon_(gal)", Table2[[#This Row],[units]]="cubic_metre_(m3)"), "water", Table2[[#This Row],[type2]])</f>
        <v>electricity</v>
      </c>
      <c r="D334" s="1" t="s">
        <v>128</v>
      </c>
      <c r="E334" s="3">
        <v>44928</v>
      </c>
      <c r="F334" s="8">
        <f t="shared" si="10"/>
        <v>44958</v>
      </c>
      <c r="G334" s="1" t="s">
        <v>65</v>
      </c>
      <c r="H334" s="8">
        <f t="shared" si="11"/>
        <v>44985</v>
      </c>
      <c r="I334" s="1">
        <v>130</v>
      </c>
      <c r="J33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130</v>
      </c>
      <c r="K334" s="4" t="str">
        <f>IF(Table2[[#This Row],[Type]]="electricity", "kilowatt_hour_(kwh)",
IF(Table2[[#This Row],[Type]]="water", "cubic_metre_(m3)",
IF(Table2[[#This Row],[Type]]="heat", "therm_(thm)",
"NA")))</f>
        <v>kilowatt_hour_(kwh)</v>
      </c>
      <c r="L334" s="1" t="s">
        <v>129</v>
      </c>
      <c r="M334" s="10">
        <f>IF(Table2[[#This Row],[Type]]="electricity", Table2[[#This Row],[Quantity_correct]]/6.6667,
IF(Table2[[#This Row],[Type]]="water", Table2[[#This Row],[Quantity_correct]]/3.333,
IF(Table2[[#This Row],[Type]]="heat", Table2[[#This Row],[Quantity_correct]]/0.8333,
"NA")))</f>
        <v>19.499902500487497</v>
      </c>
      <c r="N334" s="1">
        <v>19.5</v>
      </c>
    </row>
    <row r="335" spans="1:14" ht="12.5" hidden="1" x14ac:dyDescent="0.25">
      <c r="A335" s="1" t="s">
        <v>18</v>
      </c>
      <c r="B335" s="1" t="s">
        <v>214</v>
      </c>
      <c r="C335" s="1" t="str">
        <f>IF(OR(Table2[[#This Row],[units]]="litre_(l)", Table2[[#This Row],[units]]="gallon_(gal)", Table2[[#This Row],[units]]="cubic_metre_(m3)"), "water", Table2[[#This Row],[type2]])</f>
        <v>electricity</v>
      </c>
      <c r="D335" s="1" t="s">
        <v>128</v>
      </c>
      <c r="E335" s="3">
        <v>44930</v>
      </c>
      <c r="F335" s="8">
        <f t="shared" si="10"/>
        <v>45017</v>
      </c>
      <c r="G335" s="1" t="s">
        <v>103</v>
      </c>
      <c r="H335" s="8">
        <f t="shared" si="11"/>
        <v>45046</v>
      </c>
      <c r="I335" s="1">
        <v>264</v>
      </c>
      <c r="J33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264</v>
      </c>
      <c r="K335" s="4" t="str">
        <f>IF(Table2[[#This Row],[Type]]="electricity", "kilowatt_hour_(kwh)",
IF(Table2[[#This Row],[Type]]="water", "cubic_metre_(m3)",
IF(Table2[[#This Row],[Type]]="heat", "therm_(thm)",
"NA")))</f>
        <v>kilowatt_hour_(kwh)</v>
      </c>
      <c r="L335" s="1" t="s">
        <v>129</v>
      </c>
      <c r="M335" s="10">
        <f>IF(Table2[[#This Row],[Type]]="electricity", Table2[[#This Row],[Quantity_correct]]/6.6667,
IF(Table2[[#This Row],[Type]]="water", Table2[[#This Row],[Quantity_correct]]/3.333,
IF(Table2[[#This Row],[Type]]="heat", Table2[[#This Row],[Quantity_correct]]/0.8333,
"NA")))</f>
        <v>39.599802000989996</v>
      </c>
      <c r="N335" s="1">
        <v>39.6</v>
      </c>
    </row>
    <row r="336" spans="1:14" ht="12.5" hidden="1" x14ac:dyDescent="0.25">
      <c r="A336" s="1" t="s">
        <v>18</v>
      </c>
      <c r="B336" s="1" t="s">
        <v>214</v>
      </c>
      <c r="C336" s="1" t="str">
        <f>IF(OR(Table2[[#This Row],[units]]="litre_(l)", Table2[[#This Row],[units]]="gallon_(gal)", Table2[[#This Row],[units]]="cubic_metre_(m3)"), "water", Table2[[#This Row],[type2]])</f>
        <v>electricity</v>
      </c>
      <c r="D336" s="1" t="s">
        <v>128</v>
      </c>
      <c r="E336" s="3">
        <v>44931</v>
      </c>
      <c r="F336" s="8">
        <f t="shared" si="10"/>
        <v>45047</v>
      </c>
      <c r="G336" s="1" t="s">
        <v>73</v>
      </c>
      <c r="H336" s="8">
        <f t="shared" si="11"/>
        <v>45077</v>
      </c>
      <c r="I336" s="1">
        <v>211</v>
      </c>
      <c r="J33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211</v>
      </c>
      <c r="K336" s="4" t="str">
        <f>IF(Table2[[#This Row],[Type]]="electricity", "kilowatt_hour_(kwh)",
IF(Table2[[#This Row],[Type]]="water", "cubic_metre_(m3)",
IF(Table2[[#This Row],[Type]]="heat", "therm_(thm)",
"NA")))</f>
        <v>kilowatt_hour_(kwh)</v>
      </c>
      <c r="L336" s="1" t="s">
        <v>129</v>
      </c>
      <c r="M336" s="10">
        <f>IF(Table2[[#This Row],[Type]]="electricity", Table2[[#This Row],[Quantity_correct]]/6.6667,
IF(Table2[[#This Row],[Type]]="water", Table2[[#This Row],[Quantity_correct]]/3.333,
IF(Table2[[#This Row],[Type]]="heat", Table2[[#This Row],[Quantity_correct]]/0.8333,
"NA")))</f>
        <v>31.649841750791246</v>
      </c>
      <c r="N336" s="1">
        <v>31.65</v>
      </c>
    </row>
    <row r="337" spans="1:14" ht="12.5" hidden="1" x14ac:dyDescent="0.25">
      <c r="A337" s="1" t="s">
        <v>18</v>
      </c>
      <c r="B337" s="1" t="s">
        <v>214</v>
      </c>
      <c r="C337" s="1" t="str">
        <f>IF(OR(Table2[[#This Row],[units]]="litre_(l)", Table2[[#This Row],[units]]="gallon_(gal)", Table2[[#This Row],[units]]="cubic_metre_(m3)"), "water", Table2[[#This Row],[type2]])</f>
        <v>electricity</v>
      </c>
      <c r="D337" s="1" t="s">
        <v>128</v>
      </c>
      <c r="E337" s="3">
        <v>44932</v>
      </c>
      <c r="F337" s="8">
        <f t="shared" si="10"/>
        <v>45078</v>
      </c>
      <c r="G337" s="1" t="s">
        <v>69</v>
      </c>
      <c r="H337" s="8">
        <f t="shared" si="11"/>
        <v>45107</v>
      </c>
      <c r="I337" s="1">
        <v>345</v>
      </c>
      <c r="J33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345</v>
      </c>
      <c r="K337" s="4" t="str">
        <f>IF(Table2[[#This Row],[Type]]="electricity", "kilowatt_hour_(kwh)",
IF(Table2[[#This Row],[Type]]="water", "cubic_metre_(m3)",
IF(Table2[[#This Row],[Type]]="heat", "therm_(thm)",
"NA")))</f>
        <v>kilowatt_hour_(kwh)</v>
      </c>
      <c r="L337" s="1" t="s">
        <v>129</v>
      </c>
      <c r="M337" s="10">
        <f>IF(Table2[[#This Row],[Type]]="electricity", Table2[[#This Row],[Quantity_correct]]/6.6667,
IF(Table2[[#This Row],[Type]]="water", Table2[[#This Row],[Quantity_correct]]/3.333,
IF(Table2[[#This Row],[Type]]="heat", Table2[[#This Row],[Quantity_correct]]/0.8333,
"NA")))</f>
        <v>51.749741251293749</v>
      </c>
      <c r="N337" s="1">
        <v>51.75</v>
      </c>
    </row>
    <row r="338" spans="1:14" ht="12.5" hidden="1" x14ac:dyDescent="0.25">
      <c r="A338" s="1" t="s">
        <v>18</v>
      </c>
      <c r="B338" s="1" t="s">
        <v>214</v>
      </c>
      <c r="C338" s="1" t="str">
        <f>IF(OR(Table2[[#This Row],[units]]="litre_(l)", Table2[[#This Row],[units]]="gallon_(gal)", Table2[[#This Row],[units]]="cubic_metre_(m3)"), "water", Table2[[#This Row],[type2]])</f>
        <v>electricity</v>
      </c>
      <c r="D338" s="1" t="s">
        <v>128</v>
      </c>
      <c r="E338" s="3">
        <v>44933</v>
      </c>
      <c r="F338" s="8">
        <f t="shared" si="10"/>
        <v>45108</v>
      </c>
      <c r="G338" s="1" t="s">
        <v>71</v>
      </c>
      <c r="H338" s="8">
        <f t="shared" si="11"/>
        <v>45138</v>
      </c>
      <c r="I338" s="1">
        <v>535</v>
      </c>
      <c r="J33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535</v>
      </c>
      <c r="K338" s="4" t="str">
        <f>IF(Table2[[#This Row],[Type]]="electricity", "kilowatt_hour_(kwh)",
IF(Table2[[#This Row],[Type]]="water", "cubic_metre_(m3)",
IF(Table2[[#This Row],[Type]]="heat", "therm_(thm)",
"NA")))</f>
        <v>kilowatt_hour_(kwh)</v>
      </c>
      <c r="L338" s="1" t="s">
        <v>129</v>
      </c>
      <c r="M338" s="10">
        <f>IF(Table2[[#This Row],[Type]]="electricity", Table2[[#This Row],[Quantity_correct]]/6.6667,
IF(Table2[[#This Row],[Type]]="water", Table2[[#This Row],[Quantity_correct]]/3.333,
IF(Table2[[#This Row],[Type]]="heat", Table2[[#This Row],[Quantity_correct]]/0.8333,
"NA")))</f>
        <v>80.24959875200625</v>
      </c>
      <c r="N338" s="1">
        <v>80.25</v>
      </c>
    </row>
    <row r="339" spans="1:14" ht="12.5" hidden="1" x14ac:dyDescent="0.25">
      <c r="A339" s="1" t="s">
        <v>18</v>
      </c>
      <c r="B339" s="1" t="s">
        <v>214</v>
      </c>
      <c r="C339" s="1" t="str">
        <f>IF(OR(Table2[[#This Row],[units]]="litre_(l)", Table2[[#This Row],[units]]="gallon_(gal)", Table2[[#This Row],[units]]="cubic_metre_(m3)"), "water", Table2[[#This Row],[type2]])</f>
        <v>electricity</v>
      </c>
      <c r="D339" s="1" t="s">
        <v>128</v>
      </c>
      <c r="E339" s="3">
        <v>44934</v>
      </c>
      <c r="F339" s="8">
        <f t="shared" si="10"/>
        <v>45139</v>
      </c>
      <c r="G339" s="1" t="s">
        <v>72</v>
      </c>
      <c r="H339" s="8">
        <f t="shared" si="11"/>
        <v>45169</v>
      </c>
      <c r="I339" s="1">
        <v>335</v>
      </c>
      <c r="J33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335</v>
      </c>
      <c r="K339" s="4" t="str">
        <f>IF(Table2[[#This Row],[Type]]="electricity", "kilowatt_hour_(kwh)",
IF(Table2[[#This Row],[Type]]="water", "cubic_metre_(m3)",
IF(Table2[[#This Row],[Type]]="heat", "therm_(thm)",
"NA")))</f>
        <v>kilowatt_hour_(kwh)</v>
      </c>
      <c r="L339" s="1" t="s">
        <v>129</v>
      </c>
      <c r="M339" s="10">
        <f>IF(Table2[[#This Row],[Type]]="electricity", Table2[[#This Row],[Quantity_correct]]/6.6667,
IF(Table2[[#This Row],[Type]]="water", Table2[[#This Row],[Quantity_correct]]/3.333,
IF(Table2[[#This Row],[Type]]="heat", Table2[[#This Row],[Quantity_correct]]/0.8333,
"NA")))</f>
        <v>50.249748751256249</v>
      </c>
      <c r="N339" s="1">
        <v>50.25</v>
      </c>
    </row>
    <row r="340" spans="1:14" ht="12.5" hidden="1" x14ac:dyDescent="0.25">
      <c r="A340" s="1" t="s">
        <v>18</v>
      </c>
      <c r="B340" s="1" t="s">
        <v>214</v>
      </c>
      <c r="C340" s="1" t="str">
        <f>IF(OR(Table2[[#This Row],[units]]="litre_(l)", Table2[[#This Row],[units]]="gallon_(gal)", Table2[[#This Row],[units]]="cubic_metre_(m3)"), "water", Table2[[#This Row],[type2]])</f>
        <v>electricity</v>
      </c>
      <c r="D340" s="1" t="s">
        <v>128</v>
      </c>
      <c r="E340" s="3">
        <v>44935</v>
      </c>
      <c r="F340" s="8">
        <f t="shared" si="10"/>
        <v>45170</v>
      </c>
      <c r="G340" s="1" t="s">
        <v>67</v>
      </c>
      <c r="H340" s="8">
        <f t="shared" si="11"/>
        <v>45199</v>
      </c>
      <c r="I340" s="1">
        <v>295</v>
      </c>
      <c r="J34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295</v>
      </c>
      <c r="K340" s="4" t="str">
        <f>IF(Table2[[#This Row],[Type]]="electricity", "kilowatt_hour_(kwh)",
IF(Table2[[#This Row],[Type]]="water", "cubic_metre_(m3)",
IF(Table2[[#This Row],[Type]]="heat", "therm_(thm)",
"NA")))</f>
        <v>kilowatt_hour_(kwh)</v>
      </c>
      <c r="L340" s="1" t="s">
        <v>129</v>
      </c>
      <c r="M340" s="10">
        <f>IF(Table2[[#This Row],[Type]]="electricity", Table2[[#This Row],[Quantity_correct]]/6.6667,
IF(Table2[[#This Row],[Type]]="water", Table2[[#This Row],[Quantity_correct]]/3.333,
IF(Table2[[#This Row],[Type]]="heat", Table2[[#This Row],[Quantity_correct]]/0.8333,
"NA")))</f>
        <v>44.249778751106248</v>
      </c>
      <c r="N340" s="1">
        <v>44.25</v>
      </c>
    </row>
    <row r="341" spans="1:14" ht="12.5" hidden="1" x14ac:dyDescent="0.25">
      <c r="A341" s="1" t="s">
        <v>18</v>
      </c>
      <c r="B341" s="1" t="s">
        <v>214</v>
      </c>
      <c r="C341" s="1" t="str">
        <f>IF(OR(Table2[[#This Row],[units]]="litre_(l)", Table2[[#This Row],[units]]="gallon_(gal)", Table2[[#This Row],[units]]="cubic_metre_(m3)"), "water", Table2[[#This Row],[type2]])</f>
        <v>electricity</v>
      </c>
      <c r="D341" s="1" t="s">
        <v>128</v>
      </c>
      <c r="E341" s="3">
        <v>44936</v>
      </c>
      <c r="F341" s="8">
        <f t="shared" si="10"/>
        <v>45200</v>
      </c>
      <c r="G341" s="1" t="s">
        <v>75</v>
      </c>
      <c r="H341" s="8">
        <f t="shared" si="11"/>
        <v>45230</v>
      </c>
      <c r="I341" s="1">
        <v>243</v>
      </c>
      <c r="J34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243</v>
      </c>
      <c r="K341" s="4" t="str">
        <f>IF(Table2[[#This Row],[Type]]="electricity", "kilowatt_hour_(kwh)",
IF(Table2[[#This Row],[Type]]="water", "cubic_metre_(m3)",
IF(Table2[[#This Row],[Type]]="heat", "therm_(thm)",
"NA")))</f>
        <v>kilowatt_hour_(kwh)</v>
      </c>
      <c r="L341" s="1" t="s">
        <v>129</v>
      </c>
      <c r="M341" s="10">
        <f>IF(Table2[[#This Row],[Type]]="electricity", Table2[[#This Row],[Quantity_correct]]/6.6667,
IF(Table2[[#This Row],[Type]]="water", Table2[[#This Row],[Quantity_correct]]/3.333,
IF(Table2[[#This Row],[Type]]="heat", Table2[[#This Row],[Quantity_correct]]/0.8333,
"NA")))</f>
        <v>36.449817750911251</v>
      </c>
      <c r="N341" s="1">
        <v>36.450000000000003</v>
      </c>
    </row>
    <row r="342" spans="1:14" ht="12.5" hidden="1" x14ac:dyDescent="0.25">
      <c r="A342" s="1" t="s">
        <v>18</v>
      </c>
      <c r="B342" s="1" t="s">
        <v>214</v>
      </c>
      <c r="C342" s="1" t="str">
        <f>IF(OR(Table2[[#This Row],[units]]="litre_(l)", Table2[[#This Row],[units]]="gallon_(gal)", Table2[[#This Row],[units]]="cubic_metre_(m3)"), "water", Table2[[#This Row],[type2]])</f>
        <v>electricity</v>
      </c>
      <c r="D342" s="1" t="s">
        <v>128</v>
      </c>
      <c r="E342" s="3">
        <v>44937</v>
      </c>
      <c r="F342" s="8">
        <f t="shared" si="10"/>
        <v>45231</v>
      </c>
      <c r="G342" s="1" t="s">
        <v>56</v>
      </c>
      <c r="H342" s="8">
        <f t="shared" si="11"/>
        <v>45260</v>
      </c>
      <c r="I342" s="1">
        <v>259</v>
      </c>
      <c r="J34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259</v>
      </c>
      <c r="K342" s="4" t="str">
        <f>IF(Table2[[#This Row],[Type]]="electricity", "kilowatt_hour_(kwh)",
IF(Table2[[#This Row],[Type]]="water", "cubic_metre_(m3)",
IF(Table2[[#This Row],[Type]]="heat", "therm_(thm)",
"NA")))</f>
        <v>kilowatt_hour_(kwh)</v>
      </c>
      <c r="L342" s="1" t="s">
        <v>129</v>
      </c>
      <c r="M342" s="10">
        <f>IF(Table2[[#This Row],[Type]]="electricity", Table2[[#This Row],[Quantity_correct]]/6.6667,
IF(Table2[[#This Row],[Type]]="water", Table2[[#This Row],[Quantity_correct]]/3.333,
IF(Table2[[#This Row],[Type]]="heat", Table2[[#This Row],[Quantity_correct]]/0.8333,
"NA")))</f>
        <v>38.84980575097125</v>
      </c>
      <c r="N342" s="1">
        <v>38.85</v>
      </c>
    </row>
    <row r="343" spans="1:14" ht="12.5" hidden="1" x14ac:dyDescent="0.25">
      <c r="A343" s="1" t="s">
        <v>18</v>
      </c>
      <c r="B343" s="1" t="s">
        <v>214</v>
      </c>
      <c r="C343" s="1" t="str">
        <f>IF(OR(Table2[[#This Row],[units]]="litre_(l)", Table2[[#This Row],[units]]="gallon_(gal)", Table2[[#This Row],[units]]="cubic_metre_(m3)"), "water", Table2[[#This Row],[type2]])</f>
        <v>water</v>
      </c>
      <c r="D343" s="1" t="s">
        <v>140</v>
      </c>
      <c r="E343" s="3">
        <v>44604</v>
      </c>
      <c r="F343" s="8">
        <f t="shared" si="10"/>
        <v>44897</v>
      </c>
      <c r="G343" s="1" t="s">
        <v>215</v>
      </c>
      <c r="H343" s="8">
        <f t="shared" si="11"/>
        <v>44973</v>
      </c>
      <c r="I343" s="1">
        <v>316.89999999999998</v>
      </c>
      <c r="J34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316.89999999999998</v>
      </c>
      <c r="K343" s="4" t="str">
        <f>IF(Table2[[#This Row],[Type]]="electricity", "kilowatt_hour_(kwh)",
IF(Table2[[#This Row],[Type]]="water", "cubic_metre_(m3)",
IF(Table2[[#This Row],[Type]]="heat", "therm_(thm)",
"NA")))</f>
        <v>cubic_metre_(m3)</v>
      </c>
      <c r="L343" s="1" t="s">
        <v>133</v>
      </c>
      <c r="M343" s="10">
        <f>IF(Table2[[#This Row],[Type]]="electricity", Table2[[#This Row],[Quantity_correct]]/6.6667,
IF(Table2[[#This Row],[Type]]="water", Table2[[#This Row],[Quantity_correct]]/3.333,
IF(Table2[[#This Row],[Type]]="heat", Table2[[#This Row],[Quantity_correct]]/0.8333,
"NA")))</f>
        <v>95.079507950795062</v>
      </c>
      <c r="N343" s="1">
        <v>380.28</v>
      </c>
    </row>
    <row r="344" spans="1:14" ht="12.5" hidden="1" x14ac:dyDescent="0.25">
      <c r="A344" s="1" t="s">
        <v>18</v>
      </c>
      <c r="B344" s="1" t="s">
        <v>214</v>
      </c>
      <c r="C344" s="1" t="str">
        <f>IF(OR(Table2[[#This Row],[units]]="litre_(l)", Table2[[#This Row],[units]]="gallon_(gal)", Table2[[#This Row],[units]]="cubic_metre_(m3)"), "water", Table2[[#This Row],[type2]])</f>
        <v>water</v>
      </c>
      <c r="D344" s="1" t="s">
        <v>140</v>
      </c>
      <c r="E344" s="3">
        <v>44928</v>
      </c>
      <c r="F344" s="8">
        <f t="shared" si="10"/>
        <v>44958</v>
      </c>
      <c r="G344" s="1" t="s">
        <v>196</v>
      </c>
      <c r="H344" s="8">
        <f t="shared" si="11"/>
        <v>45035</v>
      </c>
      <c r="I344" s="1">
        <v>147.28</v>
      </c>
      <c r="J34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147.28</v>
      </c>
      <c r="K344" s="4" t="str">
        <f>IF(Table2[[#This Row],[Type]]="electricity", "kilowatt_hour_(kwh)",
IF(Table2[[#This Row],[Type]]="water", "cubic_metre_(m3)",
IF(Table2[[#This Row],[Type]]="heat", "therm_(thm)",
"NA")))</f>
        <v>cubic_metre_(m3)</v>
      </c>
      <c r="L344" s="1" t="s">
        <v>133</v>
      </c>
      <c r="M344" s="10">
        <f>IF(Table2[[#This Row],[Type]]="electricity", Table2[[#This Row],[Quantity_correct]]/6.6667,
IF(Table2[[#This Row],[Type]]="water", Table2[[#This Row],[Quantity_correct]]/3.333,
IF(Table2[[#This Row],[Type]]="heat", Table2[[#This Row],[Quantity_correct]]/0.8333,
"NA")))</f>
        <v>44.188418841884186</v>
      </c>
      <c r="N344" s="1">
        <v>176.73599999999999</v>
      </c>
    </row>
    <row r="345" spans="1:14" ht="12.5" hidden="1" x14ac:dyDescent="0.25">
      <c r="A345" s="1" t="s">
        <v>18</v>
      </c>
      <c r="B345" s="1" t="s">
        <v>214</v>
      </c>
      <c r="C345" s="1" t="str">
        <f>IF(OR(Table2[[#This Row],[units]]="litre_(l)", Table2[[#This Row],[units]]="gallon_(gal)", Table2[[#This Row],[units]]="cubic_metre_(m3)"), "water", Table2[[#This Row],[type2]])</f>
        <v>water</v>
      </c>
      <c r="D345" s="1" t="s">
        <v>140</v>
      </c>
      <c r="E345" s="3">
        <v>44930</v>
      </c>
      <c r="F345" s="8">
        <f t="shared" si="10"/>
        <v>45017</v>
      </c>
      <c r="G345" s="1" t="s">
        <v>216</v>
      </c>
      <c r="H345" s="8">
        <f t="shared" si="11"/>
        <v>45096</v>
      </c>
      <c r="I345" s="1">
        <v>33.520000000000003</v>
      </c>
      <c r="J34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33.520000000000003</v>
      </c>
      <c r="K345" s="4" t="str">
        <f>IF(Table2[[#This Row],[Type]]="electricity", "kilowatt_hour_(kwh)",
IF(Table2[[#This Row],[Type]]="water", "cubic_metre_(m3)",
IF(Table2[[#This Row],[Type]]="heat", "therm_(thm)",
"NA")))</f>
        <v>cubic_metre_(m3)</v>
      </c>
      <c r="L345" s="1" t="s">
        <v>133</v>
      </c>
      <c r="M345" s="10">
        <f>IF(Table2[[#This Row],[Type]]="electricity", Table2[[#This Row],[Quantity_correct]]/6.6667,
IF(Table2[[#This Row],[Type]]="water", Table2[[#This Row],[Quantity_correct]]/3.333,
IF(Table2[[#This Row],[Type]]="heat", Table2[[#This Row],[Quantity_correct]]/0.8333,
"NA")))</f>
        <v>10.057005700570057</v>
      </c>
      <c r="N345" s="1">
        <v>40.223999999999997</v>
      </c>
    </row>
    <row r="346" spans="1:14" ht="12.5" hidden="1" x14ac:dyDescent="0.25">
      <c r="A346" s="1" t="s">
        <v>18</v>
      </c>
      <c r="B346" s="1" t="s">
        <v>214</v>
      </c>
      <c r="C346" s="1" t="str">
        <f>IF(OR(Table2[[#This Row],[units]]="litre_(l)", Table2[[#This Row],[units]]="gallon_(gal)", Table2[[#This Row],[units]]="cubic_metre_(m3)"), "water", Table2[[#This Row],[type2]])</f>
        <v>water</v>
      </c>
      <c r="D346" s="1" t="s">
        <v>140</v>
      </c>
      <c r="E346" s="3">
        <v>44934</v>
      </c>
      <c r="F346" s="8">
        <f t="shared" si="10"/>
        <v>45139</v>
      </c>
      <c r="G346" s="1" t="s">
        <v>217</v>
      </c>
      <c r="H346" s="8">
        <f t="shared" si="11"/>
        <v>45216</v>
      </c>
      <c r="I346" s="1">
        <v>14.22</v>
      </c>
      <c r="J34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14.22</v>
      </c>
      <c r="K346" s="4" t="str">
        <f>IF(Table2[[#This Row],[Type]]="electricity", "kilowatt_hour_(kwh)",
IF(Table2[[#This Row],[Type]]="water", "cubic_metre_(m3)",
IF(Table2[[#This Row],[Type]]="heat", "therm_(thm)",
"NA")))</f>
        <v>cubic_metre_(m3)</v>
      </c>
      <c r="L346" s="1" t="s">
        <v>133</v>
      </c>
      <c r="M346" s="10">
        <f>IF(Table2[[#This Row],[Type]]="electricity", Table2[[#This Row],[Quantity_correct]]/6.6667,
IF(Table2[[#This Row],[Type]]="water", Table2[[#This Row],[Quantity_correct]]/3.333,
IF(Table2[[#This Row],[Type]]="heat", Table2[[#This Row],[Quantity_correct]]/0.8333,
"NA")))</f>
        <v>4.2664266426642667</v>
      </c>
      <c r="N346" s="1">
        <v>17.064</v>
      </c>
    </row>
    <row r="347" spans="1:14" ht="12.5" hidden="1" x14ac:dyDescent="0.25">
      <c r="A347" s="1" t="s">
        <v>18</v>
      </c>
      <c r="B347" s="1" t="s">
        <v>214</v>
      </c>
      <c r="C347" s="1" t="str">
        <f>IF(OR(Table2[[#This Row],[units]]="litre_(l)", Table2[[#This Row],[units]]="gallon_(gal)", Table2[[#This Row],[units]]="cubic_metre_(m3)"), "water", Table2[[#This Row],[type2]])</f>
        <v>water</v>
      </c>
      <c r="D347" s="1" t="s">
        <v>140</v>
      </c>
      <c r="E347" s="3">
        <v>44936</v>
      </c>
      <c r="F347" s="8">
        <f t="shared" si="10"/>
        <v>45200</v>
      </c>
      <c r="G347" s="1" t="s">
        <v>218</v>
      </c>
      <c r="H347" s="8">
        <f t="shared" si="11"/>
        <v>45279</v>
      </c>
      <c r="I347" s="1">
        <v>168.61</v>
      </c>
      <c r="J34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168.61</v>
      </c>
      <c r="K347" s="4" t="str">
        <f>IF(Table2[[#This Row],[Type]]="electricity", "kilowatt_hour_(kwh)",
IF(Table2[[#This Row],[Type]]="water", "cubic_metre_(m3)",
IF(Table2[[#This Row],[Type]]="heat", "therm_(thm)",
"NA")))</f>
        <v>cubic_metre_(m3)</v>
      </c>
      <c r="L347" s="1" t="s">
        <v>133</v>
      </c>
      <c r="M347" s="10">
        <f>IF(Table2[[#This Row],[Type]]="electricity", Table2[[#This Row],[Quantity_correct]]/6.6667,
IF(Table2[[#This Row],[Type]]="water", Table2[[#This Row],[Quantity_correct]]/3.333,
IF(Table2[[#This Row],[Type]]="heat", Table2[[#This Row],[Quantity_correct]]/0.8333,
"NA")))</f>
        <v>50.588058805880593</v>
      </c>
      <c r="N347" s="1">
        <v>202.33199999999999</v>
      </c>
    </row>
    <row r="348" spans="1:14" ht="12.5" hidden="1" x14ac:dyDescent="0.25">
      <c r="A348" s="1" t="s">
        <v>18</v>
      </c>
      <c r="B348" s="1" t="s">
        <v>214</v>
      </c>
      <c r="C348" s="1" t="str">
        <f>IF(OR(Table2[[#This Row],[units]]="litre_(l)", Table2[[#This Row],[units]]="gallon_(gal)", Table2[[#This Row],[units]]="cubic_metre_(m3)"), "water", Table2[[#This Row],[type2]])</f>
        <v>water</v>
      </c>
      <c r="D348" s="1" t="s">
        <v>130</v>
      </c>
      <c r="E348" s="1" t="s">
        <v>219</v>
      </c>
      <c r="F348" s="8">
        <f t="shared" si="10"/>
        <v>44819</v>
      </c>
      <c r="G348" s="1" t="s">
        <v>215</v>
      </c>
      <c r="H348" s="8">
        <f t="shared" si="11"/>
        <v>44973</v>
      </c>
      <c r="I348" s="1">
        <v>4</v>
      </c>
      <c r="J34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348" s="4" t="str">
        <f>IF(Table2[[#This Row],[Type]]="electricity", "kilowatt_hour_(kwh)",
IF(Table2[[#This Row],[Type]]="water", "cubic_metre_(m3)",
IF(Table2[[#This Row],[Type]]="heat", "therm_(thm)",
"NA")))</f>
        <v>cubic_metre_(m3)</v>
      </c>
      <c r="L348" s="1" t="s">
        <v>133</v>
      </c>
      <c r="M348" s="10">
        <f>IF(Table2[[#This Row],[Type]]="electricity", Table2[[#This Row],[Quantity_correct]]/6.6667,
IF(Table2[[#This Row],[Type]]="water", Table2[[#This Row],[Quantity_correct]]/3.333,
IF(Table2[[#This Row],[Type]]="heat", Table2[[#This Row],[Quantity_correct]]/0.8333,
"NA")))</f>
        <v>1.2001200120012001</v>
      </c>
      <c r="N348" s="1">
        <v>1.2</v>
      </c>
    </row>
    <row r="349" spans="1:14" ht="12.5" hidden="1" x14ac:dyDescent="0.25">
      <c r="A349" s="1" t="s">
        <v>18</v>
      </c>
      <c r="B349" s="1" t="s">
        <v>214</v>
      </c>
      <c r="C349" s="1" t="str">
        <f>IF(OR(Table2[[#This Row],[units]]="litre_(l)", Table2[[#This Row],[units]]="gallon_(gal)", Table2[[#This Row],[units]]="cubic_metre_(m3)"), "water", Table2[[#This Row],[type2]])</f>
        <v>water</v>
      </c>
      <c r="D349" s="1" t="s">
        <v>130</v>
      </c>
      <c r="E349" s="3">
        <v>44987</v>
      </c>
      <c r="F349" s="8">
        <f t="shared" si="10"/>
        <v>44960</v>
      </c>
      <c r="G349" s="1" t="s">
        <v>217</v>
      </c>
      <c r="H349" s="8">
        <f t="shared" si="11"/>
        <v>45216</v>
      </c>
      <c r="I349" s="1">
        <v>7</v>
      </c>
      <c r="J34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v>
      </c>
      <c r="K349" s="4" t="str">
        <f>IF(Table2[[#This Row],[Type]]="electricity", "kilowatt_hour_(kwh)",
IF(Table2[[#This Row],[Type]]="water", "cubic_metre_(m3)",
IF(Table2[[#This Row],[Type]]="heat", "therm_(thm)",
"NA")))</f>
        <v>cubic_metre_(m3)</v>
      </c>
      <c r="L349" s="1" t="s">
        <v>133</v>
      </c>
      <c r="M349" s="10">
        <f>IF(Table2[[#This Row],[Type]]="electricity", Table2[[#This Row],[Quantity_correct]]/6.6667,
IF(Table2[[#This Row],[Type]]="water", Table2[[#This Row],[Quantity_correct]]/3.333,
IF(Table2[[#This Row],[Type]]="heat", Table2[[#This Row],[Quantity_correct]]/0.8333,
"NA")))</f>
        <v>2.1002100210021002</v>
      </c>
      <c r="N349" s="1">
        <v>2.1</v>
      </c>
    </row>
    <row r="350" spans="1:14" ht="12.5" hidden="1" x14ac:dyDescent="0.25">
      <c r="A350" s="1" t="s">
        <v>18</v>
      </c>
      <c r="B350" s="1" t="s">
        <v>214</v>
      </c>
      <c r="C350" s="1" t="str">
        <f>IF(OR(Table2[[#This Row],[units]]="litre_(l)", Table2[[#This Row],[units]]="gallon_(gal)", Table2[[#This Row],[units]]="cubic_metre_(m3)"), "water", Table2[[#This Row],[type2]])</f>
        <v>water</v>
      </c>
      <c r="D350" s="1" t="s">
        <v>130</v>
      </c>
      <c r="E350" s="1" t="s">
        <v>192</v>
      </c>
      <c r="F350" s="8">
        <f t="shared" si="10"/>
        <v>44974</v>
      </c>
      <c r="G350" s="1" t="s">
        <v>196</v>
      </c>
      <c r="H350" s="8">
        <f t="shared" si="11"/>
        <v>45035</v>
      </c>
      <c r="I350" s="1">
        <v>5</v>
      </c>
      <c r="J35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350" s="4" t="str">
        <f>IF(Table2[[#This Row],[Type]]="electricity", "kilowatt_hour_(kwh)",
IF(Table2[[#This Row],[Type]]="water", "cubic_metre_(m3)",
IF(Table2[[#This Row],[Type]]="heat", "therm_(thm)",
"NA")))</f>
        <v>cubic_metre_(m3)</v>
      </c>
      <c r="L350" s="1" t="s">
        <v>133</v>
      </c>
      <c r="M350" s="10">
        <f>IF(Table2[[#This Row],[Type]]="electricity", Table2[[#This Row],[Quantity_correct]]/6.6667,
IF(Table2[[#This Row],[Type]]="water", Table2[[#This Row],[Quantity_correct]]/3.333,
IF(Table2[[#This Row],[Type]]="heat", Table2[[#This Row],[Quantity_correct]]/0.8333,
"NA")))</f>
        <v>1.5001500150015001</v>
      </c>
      <c r="N350" s="1">
        <v>1.5</v>
      </c>
    </row>
    <row r="351" spans="1:14" ht="12.5" hidden="1" x14ac:dyDescent="0.25">
      <c r="A351" s="1" t="s">
        <v>18</v>
      </c>
      <c r="B351" s="1" t="s">
        <v>214</v>
      </c>
      <c r="C351" s="1" t="str">
        <f>IF(OR(Table2[[#This Row],[units]]="litre_(l)", Table2[[#This Row],[units]]="gallon_(gal)", Table2[[#This Row],[units]]="cubic_metre_(m3)"), "water", Table2[[#This Row],[type2]])</f>
        <v>water</v>
      </c>
      <c r="D351" s="1" t="s">
        <v>130</v>
      </c>
      <c r="E351" s="1" t="s">
        <v>116</v>
      </c>
      <c r="F351" s="8">
        <f t="shared" si="10"/>
        <v>45036</v>
      </c>
      <c r="G351" s="1" t="s">
        <v>216</v>
      </c>
      <c r="H351" s="8">
        <f t="shared" si="11"/>
        <v>45096</v>
      </c>
      <c r="I351" s="1">
        <v>5</v>
      </c>
      <c r="J35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351" s="4" t="str">
        <f>IF(Table2[[#This Row],[Type]]="electricity", "kilowatt_hour_(kwh)",
IF(Table2[[#This Row],[Type]]="water", "cubic_metre_(m3)",
IF(Table2[[#This Row],[Type]]="heat", "therm_(thm)",
"NA")))</f>
        <v>cubic_metre_(m3)</v>
      </c>
      <c r="L351" s="1" t="s">
        <v>133</v>
      </c>
      <c r="M351" s="10">
        <f>IF(Table2[[#This Row],[Type]]="electricity", Table2[[#This Row],[Quantity_correct]]/6.6667,
IF(Table2[[#This Row],[Type]]="water", Table2[[#This Row],[Quantity_correct]]/3.333,
IF(Table2[[#This Row],[Type]]="heat", Table2[[#This Row],[Quantity_correct]]/0.8333,
"NA")))</f>
        <v>1.5001500150015001</v>
      </c>
      <c r="N351" s="1">
        <v>1.5</v>
      </c>
    </row>
    <row r="352" spans="1:14" ht="12.5" hidden="1" x14ac:dyDescent="0.25">
      <c r="A352" s="1" t="s">
        <v>18</v>
      </c>
      <c r="B352" s="1" t="s">
        <v>214</v>
      </c>
      <c r="C352" s="1" t="str">
        <f>IF(OR(Table2[[#This Row],[units]]="litre_(l)", Table2[[#This Row],[units]]="gallon_(gal)", Table2[[#This Row],[units]]="cubic_metre_(m3)"), "water", Table2[[#This Row],[type2]])</f>
        <v>water</v>
      </c>
      <c r="D352" s="1" t="s">
        <v>130</v>
      </c>
      <c r="E352" s="1" t="s">
        <v>220</v>
      </c>
      <c r="F352" s="8">
        <f t="shared" si="10"/>
        <v>45217</v>
      </c>
      <c r="G352" s="1" t="s">
        <v>218</v>
      </c>
      <c r="H352" s="8">
        <f t="shared" si="11"/>
        <v>45279</v>
      </c>
      <c r="I352" s="1">
        <v>5</v>
      </c>
      <c r="J35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v>
      </c>
      <c r="K352" s="4" t="str">
        <f>IF(Table2[[#This Row],[Type]]="electricity", "kilowatt_hour_(kwh)",
IF(Table2[[#This Row],[Type]]="water", "cubic_metre_(m3)",
IF(Table2[[#This Row],[Type]]="heat", "therm_(thm)",
"NA")))</f>
        <v>cubic_metre_(m3)</v>
      </c>
      <c r="L352" s="1" t="s">
        <v>133</v>
      </c>
      <c r="M352" s="10">
        <f>IF(Table2[[#This Row],[Type]]="electricity", Table2[[#This Row],[Quantity_correct]]/6.6667,
IF(Table2[[#This Row],[Type]]="water", Table2[[#This Row],[Quantity_correct]]/3.333,
IF(Table2[[#This Row],[Type]]="heat", Table2[[#This Row],[Quantity_correct]]/0.8333,
"NA")))</f>
        <v>1.5001500150015001</v>
      </c>
      <c r="N352" s="1">
        <v>1.5</v>
      </c>
    </row>
    <row r="353" spans="1:14" ht="12.5" hidden="1" x14ac:dyDescent="0.25">
      <c r="A353" s="1" t="s">
        <v>18</v>
      </c>
      <c r="B353" s="1" t="s">
        <v>18</v>
      </c>
      <c r="C353" s="1" t="str">
        <f>IF(OR(Table2[[#This Row],[units]]="litre_(l)", Table2[[#This Row],[units]]="gallon_(gal)", Table2[[#This Row],[units]]="cubic_metre_(m3)"), "water", Table2[[#This Row],[type2]])</f>
        <v>electricity</v>
      </c>
      <c r="D353" s="1" t="s">
        <v>128</v>
      </c>
      <c r="E353" s="3">
        <v>44573</v>
      </c>
      <c r="F353" s="8">
        <f t="shared" si="10"/>
        <v>44896</v>
      </c>
      <c r="G353" s="1" t="s">
        <v>51</v>
      </c>
      <c r="H353" s="8">
        <f t="shared" si="11"/>
        <v>44926</v>
      </c>
      <c r="I353" s="5">
        <v>25252.47</v>
      </c>
      <c r="J35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25252.47</v>
      </c>
      <c r="K353" s="5" t="str">
        <f>IF(Table2[[#This Row],[Type]]="electricity", "kilowatt_hour_(kwh)",
IF(Table2[[#This Row],[Type]]="water", "cubic_metre_(m3)",
IF(Table2[[#This Row],[Type]]="heat", "therm_(thm)",
"NA")))</f>
        <v>kilowatt_hour_(kwh)</v>
      </c>
      <c r="L353" s="1" t="s">
        <v>129</v>
      </c>
      <c r="M353" s="10">
        <f>IF(Table2[[#This Row],[Type]]="electricity", Table2[[#This Row],[Quantity_correct]]/6.6667,
IF(Table2[[#This Row],[Type]]="water", Table2[[#This Row],[Quantity_correct]]/3.333,
IF(Table2[[#This Row],[Type]]="heat", Table2[[#This Row],[Quantity_correct]]/0.8333,
"NA")))</f>
        <v>3787.8515607421969</v>
      </c>
      <c r="N353" s="1">
        <v>3787.8705</v>
      </c>
    </row>
    <row r="354" spans="1:14" ht="12.5" hidden="1" x14ac:dyDescent="0.25">
      <c r="A354" s="1" t="s">
        <v>18</v>
      </c>
      <c r="B354" s="1" t="s">
        <v>18</v>
      </c>
      <c r="C354" s="1" t="str">
        <f>IF(OR(Table2[[#This Row],[units]]="litre_(l)", Table2[[#This Row],[units]]="gallon_(gal)", Table2[[#This Row],[units]]="cubic_metre_(m3)"), "water", Table2[[#This Row],[type2]])</f>
        <v>electricity</v>
      </c>
      <c r="D354" s="1" t="s">
        <v>128</v>
      </c>
      <c r="E354" s="3">
        <v>44927</v>
      </c>
      <c r="F354" s="8">
        <f t="shared" si="10"/>
        <v>44927</v>
      </c>
      <c r="G354" s="1" t="s">
        <v>68</v>
      </c>
      <c r="H354" s="8">
        <f t="shared" si="11"/>
        <v>44957</v>
      </c>
      <c r="I354" s="5">
        <v>8975.5</v>
      </c>
      <c r="J35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8975.5</v>
      </c>
      <c r="K354" s="5" t="str">
        <f>IF(Table2[[#This Row],[Type]]="electricity", "kilowatt_hour_(kwh)",
IF(Table2[[#This Row],[Type]]="water", "cubic_metre_(m3)",
IF(Table2[[#This Row],[Type]]="heat", "therm_(thm)",
"NA")))</f>
        <v>kilowatt_hour_(kwh)</v>
      </c>
      <c r="L354" s="1" t="s">
        <v>129</v>
      </c>
      <c r="M354" s="10">
        <f>IF(Table2[[#This Row],[Type]]="electricity", Table2[[#This Row],[Quantity_correct]]/6.6667,
IF(Table2[[#This Row],[Type]]="water", Table2[[#This Row],[Quantity_correct]]/3.333,
IF(Table2[[#This Row],[Type]]="heat", Table2[[#This Row],[Quantity_correct]]/0.8333,
"NA")))</f>
        <v>1346.318268408658</v>
      </c>
      <c r="N354" s="1">
        <v>1346.325</v>
      </c>
    </row>
    <row r="355" spans="1:14" ht="12.5" hidden="1" x14ac:dyDescent="0.25">
      <c r="A355" s="1" t="s">
        <v>18</v>
      </c>
      <c r="B355" s="1" t="s">
        <v>18</v>
      </c>
      <c r="C355" s="1" t="str">
        <f>IF(OR(Table2[[#This Row],[units]]="litre_(l)", Table2[[#This Row],[units]]="gallon_(gal)", Table2[[#This Row],[units]]="cubic_metre_(m3)"), "water", Table2[[#This Row],[type2]])</f>
        <v>electricity</v>
      </c>
      <c r="D355" s="1" t="s">
        <v>128</v>
      </c>
      <c r="E355" s="3">
        <v>44927</v>
      </c>
      <c r="F355" s="8">
        <f t="shared" si="10"/>
        <v>44927</v>
      </c>
      <c r="G355" s="1" t="s">
        <v>68</v>
      </c>
      <c r="H355" s="8">
        <f t="shared" si="11"/>
        <v>44957</v>
      </c>
      <c r="I355" s="5">
        <v>26485.86</v>
      </c>
      <c r="J35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26485.86</v>
      </c>
      <c r="K355" s="5" t="str">
        <f>IF(Table2[[#This Row],[Type]]="electricity", "kilowatt_hour_(kwh)",
IF(Table2[[#This Row],[Type]]="water", "cubic_metre_(m3)",
IF(Table2[[#This Row],[Type]]="heat", "therm_(thm)",
"NA")))</f>
        <v>kilowatt_hour_(kwh)</v>
      </c>
      <c r="L355" s="1" t="s">
        <v>129</v>
      </c>
      <c r="M355" s="10">
        <f>IF(Table2[[#This Row],[Type]]="electricity", Table2[[#This Row],[Quantity_correct]]/6.6667,
IF(Table2[[#This Row],[Type]]="water", Table2[[#This Row],[Quantity_correct]]/3.333,
IF(Table2[[#This Row],[Type]]="heat", Table2[[#This Row],[Quantity_correct]]/0.8333,
"NA")))</f>
        <v>3972.8591357043219</v>
      </c>
      <c r="N355" s="1">
        <v>3972.8789999999999</v>
      </c>
    </row>
    <row r="356" spans="1:14" ht="12.5" hidden="1" x14ac:dyDescent="0.25">
      <c r="A356" s="1" t="s">
        <v>18</v>
      </c>
      <c r="B356" s="1" t="s">
        <v>18</v>
      </c>
      <c r="C356" s="1" t="str">
        <f>IF(OR(Table2[[#This Row],[units]]="litre_(l)", Table2[[#This Row],[units]]="gallon_(gal)", Table2[[#This Row],[units]]="cubic_metre_(m3)"), "water", Table2[[#This Row],[type2]])</f>
        <v>electricity</v>
      </c>
      <c r="D356" s="1" t="s">
        <v>128</v>
      </c>
      <c r="E356" s="3">
        <v>44928</v>
      </c>
      <c r="F356" s="8">
        <f t="shared" si="10"/>
        <v>44958</v>
      </c>
      <c r="G356" s="1" t="s">
        <v>65</v>
      </c>
      <c r="H356" s="8">
        <f t="shared" si="11"/>
        <v>44985</v>
      </c>
      <c r="I356" s="5">
        <v>3052.2</v>
      </c>
      <c r="J35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3052.2</v>
      </c>
      <c r="K356" s="5" t="str">
        <f>IF(Table2[[#This Row],[Type]]="electricity", "kilowatt_hour_(kwh)",
IF(Table2[[#This Row],[Type]]="water", "cubic_metre_(m3)",
IF(Table2[[#This Row],[Type]]="heat", "therm_(thm)",
"NA")))</f>
        <v>kilowatt_hour_(kwh)</v>
      </c>
      <c r="L356" s="1" t="s">
        <v>129</v>
      </c>
      <c r="M356" s="10">
        <f>IF(Table2[[#This Row],[Type]]="electricity", Table2[[#This Row],[Quantity_correct]]/6.6667,
IF(Table2[[#This Row],[Type]]="water", Table2[[#This Row],[Quantity_correct]]/3.333,
IF(Table2[[#This Row],[Type]]="heat", Table2[[#This Row],[Quantity_correct]]/0.8333,
"NA")))</f>
        <v>457.82771086144567</v>
      </c>
      <c r="N356" s="1">
        <v>457.83</v>
      </c>
    </row>
    <row r="357" spans="1:14" ht="12.5" hidden="1" x14ac:dyDescent="0.25">
      <c r="A357" s="1" t="s">
        <v>18</v>
      </c>
      <c r="B357" s="1" t="s">
        <v>18</v>
      </c>
      <c r="C357" s="1" t="str">
        <f>IF(OR(Table2[[#This Row],[units]]="litre_(l)", Table2[[#This Row],[units]]="gallon_(gal)", Table2[[#This Row],[units]]="cubic_metre_(m3)"), "water", Table2[[#This Row],[type2]])</f>
        <v>electricity</v>
      </c>
      <c r="D357" s="1" t="s">
        <v>128</v>
      </c>
      <c r="E357" s="3">
        <v>44928</v>
      </c>
      <c r="F357" s="8">
        <f t="shared" si="10"/>
        <v>44958</v>
      </c>
      <c r="G357" s="1" t="s">
        <v>65</v>
      </c>
      <c r="H357" s="8">
        <f t="shared" si="11"/>
        <v>44985</v>
      </c>
      <c r="I357" s="5">
        <v>24856.19</v>
      </c>
      <c r="J35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24856.19</v>
      </c>
      <c r="K357" s="5" t="str">
        <f>IF(Table2[[#This Row],[Type]]="electricity", "kilowatt_hour_(kwh)",
IF(Table2[[#This Row],[Type]]="water", "cubic_metre_(m3)",
IF(Table2[[#This Row],[Type]]="heat", "therm_(thm)",
"NA")))</f>
        <v>kilowatt_hour_(kwh)</v>
      </c>
      <c r="L357" s="1" t="s">
        <v>129</v>
      </c>
      <c r="M357" s="10">
        <f>IF(Table2[[#This Row],[Type]]="electricity", Table2[[#This Row],[Quantity_correct]]/6.6667,
IF(Table2[[#This Row],[Type]]="water", Table2[[#This Row],[Quantity_correct]]/3.333,
IF(Table2[[#This Row],[Type]]="heat", Table2[[#This Row],[Quantity_correct]]/0.8333,
"NA")))</f>
        <v>3728.4098579507104</v>
      </c>
      <c r="N357" s="1">
        <v>3728.4285</v>
      </c>
    </row>
    <row r="358" spans="1:14" ht="12.5" hidden="1" x14ac:dyDescent="0.25">
      <c r="A358" s="1" t="s">
        <v>18</v>
      </c>
      <c r="B358" s="1" t="s">
        <v>18</v>
      </c>
      <c r="C358" s="1" t="str">
        <f>IF(OR(Table2[[#This Row],[units]]="litre_(l)", Table2[[#This Row],[units]]="gallon_(gal)", Table2[[#This Row],[units]]="cubic_metre_(m3)"), "water", Table2[[#This Row],[type2]])</f>
        <v>electricity</v>
      </c>
      <c r="D358" s="1" t="s">
        <v>128</v>
      </c>
      <c r="E358" s="3">
        <v>44929</v>
      </c>
      <c r="F358" s="8">
        <f t="shared" si="10"/>
        <v>44986</v>
      </c>
      <c r="G358" s="1" t="s">
        <v>74</v>
      </c>
      <c r="H358" s="8">
        <f t="shared" si="11"/>
        <v>45016</v>
      </c>
      <c r="I358" s="5">
        <v>3875.3</v>
      </c>
      <c r="J35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3875.3</v>
      </c>
      <c r="K358" s="5" t="str">
        <f>IF(Table2[[#This Row],[Type]]="electricity", "kilowatt_hour_(kwh)",
IF(Table2[[#This Row],[Type]]="water", "cubic_metre_(m3)",
IF(Table2[[#This Row],[Type]]="heat", "therm_(thm)",
"NA")))</f>
        <v>kilowatt_hour_(kwh)</v>
      </c>
      <c r="L358" s="1" t="s">
        <v>129</v>
      </c>
      <c r="M358" s="10">
        <f>IF(Table2[[#This Row],[Type]]="electricity", Table2[[#This Row],[Quantity_correct]]/6.6667,
IF(Table2[[#This Row],[Type]]="water", Table2[[#This Row],[Quantity_correct]]/3.333,
IF(Table2[[#This Row],[Type]]="heat", Table2[[#This Row],[Quantity_correct]]/0.8333,
"NA")))</f>
        <v>581.2920935395324</v>
      </c>
      <c r="N358" s="1">
        <v>581.29499999999996</v>
      </c>
    </row>
    <row r="359" spans="1:14" ht="12.5" hidden="1" x14ac:dyDescent="0.25">
      <c r="A359" s="1" t="s">
        <v>18</v>
      </c>
      <c r="B359" s="1" t="s">
        <v>18</v>
      </c>
      <c r="C359" s="1" t="str">
        <f>IF(OR(Table2[[#This Row],[units]]="litre_(l)", Table2[[#This Row],[units]]="gallon_(gal)", Table2[[#This Row],[units]]="cubic_metre_(m3)"), "water", Table2[[#This Row],[type2]])</f>
        <v>electricity</v>
      </c>
      <c r="D359" s="1" t="s">
        <v>128</v>
      </c>
      <c r="E359" s="3">
        <v>44929</v>
      </c>
      <c r="F359" s="8">
        <f t="shared" si="10"/>
        <v>44986</v>
      </c>
      <c r="G359" s="1" t="s">
        <v>74</v>
      </c>
      <c r="H359" s="8">
        <f t="shared" si="11"/>
        <v>45016</v>
      </c>
      <c r="I359" s="5">
        <v>21487.37</v>
      </c>
      <c r="J35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21487.37</v>
      </c>
      <c r="K359" s="5" t="str">
        <f>IF(Table2[[#This Row],[Type]]="electricity", "kilowatt_hour_(kwh)",
IF(Table2[[#This Row],[Type]]="water", "cubic_metre_(m3)",
IF(Table2[[#This Row],[Type]]="heat", "therm_(thm)",
"NA")))</f>
        <v>kilowatt_hour_(kwh)</v>
      </c>
      <c r="L359" s="1" t="s">
        <v>129</v>
      </c>
      <c r="M359" s="10">
        <f>IF(Table2[[#This Row],[Type]]="electricity", Table2[[#This Row],[Quantity_correct]]/6.6667,
IF(Table2[[#This Row],[Type]]="water", Table2[[#This Row],[Quantity_correct]]/3.333,
IF(Table2[[#This Row],[Type]]="heat", Table2[[#This Row],[Quantity_correct]]/0.8333,
"NA")))</f>
        <v>3223.0893845530773</v>
      </c>
      <c r="N359" s="1">
        <v>3223.1055000000001</v>
      </c>
    </row>
    <row r="360" spans="1:14" ht="12.5" hidden="1" x14ac:dyDescent="0.25">
      <c r="A360" s="1" t="s">
        <v>18</v>
      </c>
      <c r="B360" s="1" t="s">
        <v>18</v>
      </c>
      <c r="C360" s="1" t="str">
        <f>IF(OR(Table2[[#This Row],[units]]="litre_(l)", Table2[[#This Row],[units]]="gallon_(gal)", Table2[[#This Row],[units]]="cubic_metre_(m3)"), "water", Table2[[#This Row],[type2]])</f>
        <v>electricity</v>
      </c>
      <c r="D360" s="1" t="s">
        <v>128</v>
      </c>
      <c r="E360" s="3">
        <v>44930</v>
      </c>
      <c r="F360" s="8">
        <f t="shared" si="10"/>
        <v>45017</v>
      </c>
      <c r="G360" s="1" t="s">
        <v>103</v>
      </c>
      <c r="H360" s="8">
        <f t="shared" si="11"/>
        <v>45046</v>
      </c>
      <c r="I360" s="5">
        <v>5063.3</v>
      </c>
      <c r="J36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5063.3</v>
      </c>
      <c r="K360" s="5" t="str">
        <f>IF(Table2[[#This Row],[Type]]="electricity", "kilowatt_hour_(kwh)",
IF(Table2[[#This Row],[Type]]="water", "cubic_metre_(m3)",
IF(Table2[[#This Row],[Type]]="heat", "therm_(thm)",
"NA")))</f>
        <v>kilowatt_hour_(kwh)</v>
      </c>
      <c r="L360" s="1" t="s">
        <v>129</v>
      </c>
      <c r="M360" s="10">
        <f>IF(Table2[[#This Row],[Type]]="electricity", Table2[[#This Row],[Quantity_correct]]/6.6667,
IF(Table2[[#This Row],[Type]]="water", Table2[[#This Row],[Quantity_correct]]/3.333,
IF(Table2[[#This Row],[Type]]="heat", Table2[[#This Row],[Quantity_correct]]/0.8333,
"NA")))</f>
        <v>759.49120254398736</v>
      </c>
      <c r="N360" s="1">
        <v>759.495</v>
      </c>
    </row>
    <row r="361" spans="1:14" ht="12.5" hidden="1" x14ac:dyDescent="0.25">
      <c r="A361" s="1" t="s">
        <v>18</v>
      </c>
      <c r="B361" s="1" t="s">
        <v>18</v>
      </c>
      <c r="C361" s="1" t="str">
        <f>IF(OR(Table2[[#This Row],[units]]="litre_(l)", Table2[[#This Row],[units]]="gallon_(gal)", Table2[[#This Row],[units]]="cubic_metre_(m3)"), "water", Table2[[#This Row],[type2]])</f>
        <v>electricity</v>
      </c>
      <c r="D361" s="1" t="s">
        <v>128</v>
      </c>
      <c r="E361" s="3">
        <v>44930</v>
      </c>
      <c r="F361" s="8">
        <f t="shared" si="10"/>
        <v>45017</v>
      </c>
      <c r="G361" s="1" t="s">
        <v>103</v>
      </c>
      <c r="H361" s="8">
        <f t="shared" si="11"/>
        <v>45046</v>
      </c>
      <c r="I361" s="5">
        <v>17959.38</v>
      </c>
      <c r="J36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17959.38</v>
      </c>
      <c r="K361" s="5" t="str">
        <f>IF(Table2[[#This Row],[Type]]="electricity", "kilowatt_hour_(kwh)",
IF(Table2[[#This Row],[Type]]="water", "cubic_metre_(m3)",
IF(Table2[[#This Row],[Type]]="heat", "therm_(thm)",
"NA")))</f>
        <v>kilowatt_hour_(kwh)</v>
      </c>
      <c r="L361" s="1" t="s">
        <v>129</v>
      </c>
      <c r="M361" s="10">
        <f>IF(Table2[[#This Row],[Type]]="electricity", Table2[[#This Row],[Quantity_correct]]/6.6667,
IF(Table2[[#This Row],[Type]]="water", Table2[[#This Row],[Quantity_correct]]/3.333,
IF(Table2[[#This Row],[Type]]="heat", Table2[[#This Row],[Quantity_correct]]/0.8333,
"NA")))</f>
        <v>2693.8935305323475</v>
      </c>
      <c r="N361" s="1">
        <v>2693.9070000000002</v>
      </c>
    </row>
    <row r="362" spans="1:14" ht="12.5" hidden="1" x14ac:dyDescent="0.25">
      <c r="A362" s="1" t="s">
        <v>18</v>
      </c>
      <c r="B362" s="1" t="s">
        <v>18</v>
      </c>
      <c r="C362" s="1" t="str">
        <f>IF(OR(Table2[[#This Row],[units]]="litre_(l)", Table2[[#This Row],[units]]="gallon_(gal)", Table2[[#This Row],[units]]="cubic_metre_(m3)"), "water", Table2[[#This Row],[type2]])</f>
        <v>electricity</v>
      </c>
      <c r="D362" s="1" t="s">
        <v>128</v>
      </c>
      <c r="E362" s="3">
        <v>44931</v>
      </c>
      <c r="F362" s="8">
        <f t="shared" si="10"/>
        <v>45047</v>
      </c>
      <c r="G362" s="1" t="s">
        <v>73</v>
      </c>
      <c r="H362" s="8">
        <f t="shared" si="11"/>
        <v>45077</v>
      </c>
      <c r="I362" s="5">
        <v>4496.7</v>
      </c>
      <c r="J36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4496.7</v>
      </c>
      <c r="K362" s="5" t="str">
        <f>IF(Table2[[#This Row],[Type]]="electricity", "kilowatt_hour_(kwh)",
IF(Table2[[#This Row],[Type]]="water", "cubic_metre_(m3)",
IF(Table2[[#This Row],[Type]]="heat", "therm_(thm)",
"NA")))</f>
        <v>kilowatt_hour_(kwh)</v>
      </c>
      <c r="L362" s="1" t="s">
        <v>129</v>
      </c>
      <c r="M362" s="10">
        <f>IF(Table2[[#This Row],[Type]]="electricity", Table2[[#This Row],[Quantity_correct]]/6.6667,
IF(Table2[[#This Row],[Type]]="water", Table2[[#This Row],[Quantity_correct]]/3.333,
IF(Table2[[#This Row],[Type]]="heat", Table2[[#This Row],[Quantity_correct]]/0.8333,
"NA")))</f>
        <v>674.50162749186256</v>
      </c>
      <c r="N362" s="1">
        <v>674.505</v>
      </c>
    </row>
    <row r="363" spans="1:14" ht="12.5" hidden="1" x14ac:dyDescent="0.25">
      <c r="A363" s="1" t="s">
        <v>18</v>
      </c>
      <c r="B363" s="1" t="s">
        <v>18</v>
      </c>
      <c r="C363" s="1" t="str">
        <f>IF(OR(Table2[[#This Row],[units]]="litre_(l)", Table2[[#This Row],[units]]="gallon_(gal)", Table2[[#This Row],[units]]="cubic_metre_(m3)"), "water", Table2[[#This Row],[type2]])</f>
        <v>electricity</v>
      </c>
      <c r="D363" s="1" t="s">
        <v>128</v>
      </c>
      <c r="E363" s="3">
        <v>44931</v>
      </c>
      <c r="F363" s="8">
        <f t="shared" si="10"/>
        <v>45047</v>
      </c>
      <c r="G363" s="1" t="s">
        <v>73</v>
      </c>
      <c r="H363" s="8">
        <f t="shared" si="11"/>
        <v>45077</v>
      </c>
      <c r="I363" s="5">
        <v>13334.7</v>
      </c>
      <c r="J36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13334.7</v>
      </c>
      <c r="K363" s="5" t="str">
        <f>IF(Table2[[#This Row],[Type]]="electricity", "kilowatt_hour_(kwh)",
IF(Table2[[#This Row],[Type]]="water", "cubic_metre_(m3)",
IF(Table2[[#This Row],[Type]]="heat", "therm_(thm)",
"NA")))</f>
        <v>kilowatt_hour_(kwh)</v>
      </c>
      <c r="L363" s="1" t="s">
        <v>129</v>
      </c>
      <c r="M363" s="10">
        <f>IF(Table2[[#This Row],[Type]]="electricity", Table2[[#This Row],[Quantity_correct]]/6.6667,
IF(Table2[[#This Row],[Type]]="water", Table2[[#This Row],[Quantity_correct]]/3.333,
IF(Table2[[#This Row],[Type]]="heat", Table2[[#This Row],[Quantity_correct]]/0.8333,
"NA")))</f>
        <v>2000.194999025005</v>
      </c>
      <c r="N363" s="1">
        <v>2000.2049999999999</v>
      </c>
    </row>
    <row r="364" spans="1:14" ht="12.5" hidden="1" x14ac:dyDescent="0.25">
      <c r="A364" s="1" t="s">
        <v>18</v>
      </c>
      <c r="B364" s="1" t="s">
        <v>18</v>
      </c>
      <c r="C364" s="1" t="str">
        <f>IF(OR(Table2[[#This Row],[units]]="litre_(l)", Table2[[#This Row],[units]]="gallon_(gal)", Table2[[#This Row],[units]]="cubic_metre_(m3)"), "water", Table2[[#This Row],[type2]])</f>
        <v>electricity</v>
      </c>
      <c r="D364" s="1" t="s">
        <v>128</v>
      </c>
      <c r="E364" s="3">
        <v>44932</v>
      </c>
      <c r="F364" s="8">
        <f t="shared" si="10"/>
        <v>45078</v>
      </c>
      <c r="G364" s="1" t="s">
        <v>69</v>
      </c>
      <c r="H364" s="8">
        <f t="shared" si="11"/>
        <v>45107</v>
      </c>
      <c r="I364" s="5">
        <v>11349.78</v>
      </c>
      <c r="J36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11349.78</v>
      </c>
      <c r="K364" s="5" t="str">
        <f>IF(Table2[[#This Row],[Type]]="electricity", "kilowatt_hour_(kwh)",
IF(Table2[[#This Row],[Type]]="water", "cubic_metre_(m3)",
IF(Table2[[#This Row],[Type]]="heat", "therm_(thm)",
"NA")))</f>
        <v>kilowatt_hour_(kwh)</v>
      </c>
      <c r="L364" s="1" t="s">
        <v>129</v>
      </c>
      <c r="M364" s="10">
        <f>IF(Table2[[#This Row],[Type]]="electricity", Table2[[#This Row],[Quantity_correct]]/6.6667,
IF(Table2[[#This Row],[Type]]="water", Table2[[#This Row],[Quantity_correct]]/3.333,
IF(Table2[[#This Row],[Type]]="heat", Table2[[#This Row],[Quantity_correct]]/0.8333,
"NA")))</f>
        <v>1702.4584877075617</v>
      </c>
      <c r="N364" s="1">
        <v>1702.4670000000001</v>
      </c>
    </row>
    <row r="365" spans="1:14" ht="12.5" hidden="1" x14ac:dyDescent="0.25">
      <c r="A365" s="1" t="s">
        <v>18</v>
      </c>
      <c r="B365" s="1" t="s">
        <v>18</v>
      </c>
      <c r="C365" s="1" t="str">
        <f>IF(OR(Table2[[#This Row],[units]]="litre_(l)", Table2[[#This Row],[units]]="gallon_(gal)", Table2[[#This Row],[units]]="cubic_metre_(m3)"), "water", Table2[[#This Row],[type2]])</f>
        <v>electricity</v>
      </c>
      <c r="D365" s="1" t="s">
        <v>128</v>
      </c>
      <c r="E365" s="3">
        <v>44933</v>
      </c>
      <c r="F365" s="8">
        <f t="shared" si="10"/>
        <v>45108</v>
      </c>
      <c r="G365" s="1" t="s">
        <v>71</v>
      </c>
      <c r="H365" s="8">
        <f t="shared" si="11"/>
        <v>45138</v>
      </c>
      <c r="I365" s="5">
        <v>15799.58</v>
      </c>
      <c r="J36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15799.58</v>
      </c>
      <c r="K365" s="5" t="str">
        <f>IF(Table2[[#This Row],[Type]]="electricity", "kilowatt_hour_(kwh)",
IF(Table2[[#This Row],[Type]]="water", "cubic_metre_(m3)",
IF(Table2[[#This Row],[Type]]="heat", "therm_(thm)",
"NA")))</f>
        <v>kilowatt_hour_(kwh)</v>
      </c>
      <c r="L365" s="1" t="s">
        <v>129</v>
      </c>
      <c r="M365" s="10">
        <f>IF(Table2[[#This Row],[Type]]="electricity", Table2[[#This Row],[Quantity_correct]]/6.6667,
IF(Table2[[#This Row],[Type]]="water", Table2[[#This Row],[Quantity_correct]]/3.333,
IF(Table2[[#This Row],[Type]]="heat", Table2[[#This Row],[Quantity_correct]]/0.8333,
"NA")))</f>
        <v>2369.9251503742485</v>
      </c>
      <c r="N365" s="1">
        <v>2369.9369999999999</v>
      </c>
    </row>
    <row r="366" spans="1:14" ht="12.5" hidden="1" x14ac:dyDescent="0.25">
      <c r="A366" s="1" t="s">
        <v>18</v>
      </c>
      <c r="B366" s="1" t="s">
        <v>18</v>
      </c>
      <c r="C366" s="1" t="str">
        <f>IF(OR(Table2[[#This Row],[units]]="litre_(l)", Table2[[#This Row],[units]]="gallon_(gal)", Table2[[#This Row],[units]]="cubic_metre_(m3)"), "water", Table2[[#This Row],[type2]])</f>
        <v>electricity</v>
      </c>
      <c r="D366" s="1" t="s">
        <v>128</v>
      </c>
      <c r="E366" s="3">
        <v>44934</v>
      </c>
      <c r="F366" s="8">
        <f t="shared" si="10"/>
        <v>45139</v>
      </c>
      <c r="G366" s="1" t="s">
        <v>72</v>
      </c>
      <c r="H366" s="8">
        <f t="shared" si="11"/>
        <v>45169</v>
      </c>
      <c r="I366" s="5">
        <v>10751.98</v>
      </c>
      <c r="J36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10751.98</v>
      </c>
      <c r="K366" s="5" t="str">
        <f>IF(Table2[[#This Row],[Type]]="electricity", "kilowatt_hour_(kwh)",
IF(Table2[[#This Row],[Type]]="water", "cubic_metre_(m3)",
IF(Table2[[#This Row],[Type]]="heat", "therm_(thm)",
"NA")))</f>
        <v>kilowatt_hour_(kwh)</v>
      </c>
      <c r="L366" s="1" t="s">
        <v>129</v>
      </c>
      <c r="M366" s="10">
        <f>IF(Table2[[#This Row],[Type]]="electricity", Table2[[#This Row],[Quantity_correct]]/6.6667,
IF(Table2[[#This Row],[Type]]="water", Table2[[#This Row],[Quantity_correct]]/3.333,
IF(Table2[[#This Row],[Type]]="heat", Table2[[#This Row],[Quantity_correct]]/0.8333,
"NA")))</f>
        <v>1612.7889360553197</v>
      </c>
      <c r="N366" s="1">
        <v>1612.797</v>
      </c>
    </row>
    <row r="367" spans="1:14" ht="12.5" hidden="1" x14ac:dyDescent="0.25">
      <c r="A367" s="1" t="s">
        <v>18</v>
      </c>
      <c r="B367" s="1" t="s">
        <v>18</v>
      </c>
      <c r="C367" s="1" t="str">
        <f>IF(OR(Table2[[#This Row],[units]]="litre_(l)", Table2[[#This Row],[units]]="gallon_(gal)", Table2[[#This Row],[units]]="cubic_metre_(m3)"), "water", Table2[[#This Row],[type2]])</f>
        <v>electricity</v>
      </c>
      <c r="D367" s="1" t="s">
        <v>128</v>
      </c>
      <c r="E367" s="3">
        <v>44935</v>
      </c>
      <c r="F367" s="8">
        <f t="shared" si="10"/>
        <v>45170</v>
      </c>
      <c r="G367" s="1" t="s">
        <v>67</v>
      </c>
      <c r="H367" s="8">
        <f t="shared" si="11"/>
        <v>45199</v>
      </c>
      <c r="I367" s="5">
        <v>10038.290000000001</v>
      </c>
      <c r="J36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10038.290000000001</v>
      </c>
      <c r="K367" s="5" t="str">
        <f>IF(Table2[[#This Row],[Type]]="electricity", "kilowatt_hour_(kwh)",
IF(Table2[[#This Row],[Type]]="water", "cubic_metre_(m3)",
IF(Table2[[#This Row],[Type]]="heat", "therm_(thm)",
"NA")))</f>
        <v>kilowatt_hour_(kwh)</v>
      </c>
      <c r="L367" s="1" t="s">
        <v>129</v>
      </c>
      <c r="M367" s="10">
        <f>IF(Table2[[#This Row],[Type]]="electricity", Table2[[#This Row],[Quantity_correct]]/6.6667,
IF(Table2[[#This Row],[Type]]="water", Table2[[#This Row],[Quantity_correct]]/3.333,
IF(Table2[[#This Row],[Type]]="heat", Table2[[#This Row],[Quantity_correct]]/0.8333,
"NA")))</f>
        <v>1505.7359713201436</v>
      </c>
      <c r="N367" s="1">
        <v>1505.7435</v>
      </c>
    </row>
    <row r="368" spans="1:14" ht="12.5" hidden="1" x14ac:dyDescent="0.25">
      <c r="A368" s="1" t="s">
        <v>18</v>
      </c>
      <c r="B368" s="1" t="s">
        <v>18</v>
      </c>
      <c r="C368" s="1" t="str">
        <f>IF(OR(Table2[[#This Row],[units]]="litre_(l)", Table2[[#This Row],[units]]="gallon_(gal)", Table2[[#This Row],[units]]="cubic_metre_(m3)"), "water", Table2[[#This Row],[type2]])</f>
        <v>electricity</v>
      </c>
      <c r="D368" s="1" t="s">
        <v>128</v>
      </c>
      <c r="E368" s="3">
        <v>44936</v>
      </c>
      <c r="F368" s="8">
        <f t="shared" si="10"/>
        <v>45200</v>
      </c>
      <c r="G368" s="1" t="s">
        <v>75</v>
      </c>
      <c r="H368" s="8">
        <f t="shared" si="11"/>
        <v>45230</v>
      </c>
      <c r="I368" s="5">
        <v>10860.8</v>
      </c>
      <c r="J36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10860.8</v>
      </c>
      <c r="K368" s="5" t="str">
        <f>IF(Table2[[#This Row],[Type]]="electricity", "kilowatt_hour_(kwh)",
IF(Table2[[#This Row],[Type]]="water", "cubic_metre_(m3)",
IF(Table2[[#This Row],[Type]]="heat", "therm_(thm)",
"NA")))</f>
        <v>kilowatt_hour_(kwh)</v>
      </c>
      <c r="L368" s="1" t="s">
        <v>129</v>
      </c>
      <c r="M368" s="10">
        <f>IF(Table2[[#This Row],[Type]]="electricity", Table2[[#This Row],[Quantity_correct]]/6.6667,
IF(Table2[[#This Row],[Type]]="water", Table2[[#This Row],[Quantity_correct]]/3.333,
IF(Table2[[#This Row],[Type]]="heat", Table2[[#This Row],[Quantity_correct]]/0.8333,
"NA")))</f>
        <v>1629.1118544407277</v>
      </c>
      <c r="N368" s="1">
        <v>1629.12</v>
      </c>
    </row>
    <row r="369" spans="1:14" ht="12.5" hidden="1" x14ac:dyDescent="0.25">
      <c r="A369" s="1" t="s">
        <v>18</v>
      </c>
      <c r="B369" s="1" t="s">
        <v>18</v>
      </c>
      <c r="C369" s="1" t="str">
        <f>IF(OR(Table2[[#This Row],[units]]="litre_(l)", Table2[[#This Row],[units]]="gallon_(gal)", Table2[[#This Row],[units]]="cubic_metre_(m3)"), "water", Table2[[#This Row],[type2]])</f>
        <v>electricity</v>
      </c>
      <c r="D369" s="1" t="s">
        <v>128</v>
      </c>
      <c r="E369" s="3">
        <v>44937</v>
      </c>
      <c r="F369" s="8">
        <f t="shared" si="10"/>
        <v>45231</v>
      </c>
      <c r="G369" s="1" t="s">
        <v>56</v>
      </c>
      <c r="H369" s="8">
        <f t="shared" si="11"/>
        <v>45260</v>
      </c>
      <c r="I369" s="5">
        <v>25423.759999999998</v>
      </c>
      <c r="J36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25423.759999999998</v>
      </c>
      <c r="K369" s="5" t="str">
        <f>IF(Table2[[#This Row],[Type]]="electricity", "kilowatt_hour_(kwh)",
IF(Table2[[#This Row],[Type]]="water", "cubic_metre_(m3)",
IF(Table2[[#This Row],[Type]]="heat", "therm_(thm)",
"NA")))</f>
        <v>kilowatt_hour_(kwh)</v>
      </c>
      <c r="L369" s="1" t="s">
        <v>129</v>
      </c>
      <c r="M369" s="10">
        <f>IF(Table2[[#This Row],[Type]]="electricity", Table2[[#This Row],[Quantity_correct]]/6.6667,
IF(Table2[[#This Row],[Type]]="water", Table2[[#This Row],[Quantity_correct]]/3.333,
IF(Table2[[#This Row],[Type]]="heat", Table2[[#This Row],[Quantity_correct]]/0.8333,
"NA")))</f>
        <v>3813.5449322753384</v>
      </c>
      <c r="N369" s="1">
        <v>3813.5639999999999</v>
      </c>
    </row>
    <row r="370" spans="1:14" ht="12.5" hidden="1" x14ac:dyDescent="0.25">
      <c r="A370" s="1" t="s">
        <v>18</v>
      </c>
      <c r="B370" s="1" t="s">
        <v>18</v>
      </c>
      <c r="C370" s="1" t="str">
        <f>IF(OR(Table2[[#This Row],[units]]="litre_(l)", Table2[[#This Row],[units]]="gallon_(gal)", Table2[[#This Row],[units]]="cubic_metre_(m3)"), "water", Table2[[#This Row],[type2]])</f>
        <v>electricity</v>
      </c>
      <c r="D370" s="1" t="s">
        <v>128</v>
      </c>
      <c r="E370" s="3">
        <v>44938</v>
      </c>
      <c r="F370" s="8">
        <f t="shared" si="10"/>
        <v>45261</v>
      </c>
      <c r="G370" s="1" t="s">
        <v>45</v>
      </c>
      <c r="H370" s="8">
        <f t="shared" si="11"/>
        <v>45291</v>
      </c>
      <c r="I370" s="5">
        <v>23643.38</v>
      </c>
      <c r="J37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23643.38</v>
      </c>
      <c r="K370" s="5" t="str">
        <f>IF(Table2[[#This Row],[Type]]="electricity", "kilowatt_hour_(kwh)",
IF(Table2[[#This Row],[Type]]="water", "cubic_metre_(m3)",
IF(Table2[[#This Row],[Type]]="heat", "therm_(thm)",
"NA")))</f>
        <v>kilowatt_hour_(kwh)</v>
      </c>
      <c r="L370" s="1" t="s">
        <v>129</v>
      </c>
      <c r="M370" s="10">
        <f>IF(Table2[[#This Row],[Type]]="electricity", Table2[[#This Row],[Quantity_correct]]/6.6667,
IF(Table2[[#This Row],[Type]]="water", Table2[[#This Row],[Quantity_correct]]/3.333,
IF(Table2[[#This Row],[Type]]="heat", Table2[[#This Row],[Quantity_correct]]/0.8333,
"NA")))</f>
        <v>3546.4892675536626</v>
      </c>
      <c r="N370" s="1">
        <v>3546.5070000000001</v>
      </c>
    </row>
    <row r="371" spans="1:14" ht="12.5" hidden="1" x14ac:dyDescent="0.25">
      <c r="A371" s="1" t="s">
        <v>18</v>
      </c>
      <c r="B371" s="1" t="s">
        <v>18</v>
      </c>
      <c r="C371" s="1" t="str">
        <f>IF(OR(Table2[[#This Row],[units]]="litre_(l)", Table2[[#This Row],[units]]="gallon_(gal)", Table2[[#This Row],[units]]="cubic_metre_(m3)"), "water", Table2[[#This Row],[type2]])</f>
        <v>water</v>
      </c>
      <c r="D371" s="1" t="s">
        <v>140</v>
      </c>
      <c r="E371" s="3">
        <v>44927</v>
      </c>
      <c r="F371" s="8">
        <f t="shared" si="10"/>
        <v>44927</v>
      </c>
      <c r="G371" s="1" t="s">
        <v>68</v>
      </c>
      <c r="H371" s="8">
        <f t="shared" si="11"/>
        <v>44957</v>
      </c>
      <c r="I371" s="4">
        <v>8101</v>
      </c>
      <c r="J37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8101</v>
      </c>
      <c r="K371" s="4" t="str">
        <f>IF(Table2[[#This Row],[Type]]="electricity", "kilowatt_hour_(kwh)",
IF(Table2[[#This Row],[Type]]="water", "cubic_metre_(m3)",
IF(Table2[[#This Row],[Type]]="heat", "therm_(thm)",
"NA")))</f>
        <v>cubic_metre_(m3)</v>
      </c>
      <c r="L371" s="1" t="s">
        <v>133</v>
      </c>
      <c r="M371" s="10">
        <f>IF(Table2[[#This Row],[Type]]="electricity", Table2[[#This Row],[Quantity_correct]]/6.6667,
IF(Table2[[#This Row],[Type]]="water", Table2[[#This Row],[Quantity_correct]]/3.333,
IF(Table2[[#This Row],[Type]]="heat", Table2[[#This Row],[Quantity_correct]]/0.8333,
"NA")))</f>
        <v>2430.5430543054304</v>
      </c>
      <c r="N371" s="1">
        <v>9721.2000000000007</v>
      </c>
    </row>
    <row r="372" spans="1:14" ht="12.5" hidden="1" x14ac:dyDescent="0.25">
      <c r="A372" s="1" t="s">
        <v>18</v>
      </c>
      <c r="B372" s="1" t="s">
        <v>18</v>
      </c>
      <c r="C372" s="1" t="str">
        <f>IF(OR(Table2[[#This Row],[units]]="litre_(l)", Table2[[#This Row],[units]]="gallon_(gal)", Table2[[#This Row],[units]]="cubic_metre_(m3)"), "water", Table2[[#This Row],[type2]])</f>
        <v>water</v>
      </c>
      <c r="D372" s="1" t="s">
        <v>140</v>
      </c>
      <c r="E372" s="3">
        <v>44927</v>
      </c>
      <c r="F372" s="8">
        <f t="shared" si="10"/>
        <v>44927</v>
      </c>
      <c r="G372" s="1" t="s">
        <v>68</v>
      </c>
      <c r="H372" s="8">
        <f t="shared" si="11"/>
        <v>44957</v>
      </c>
      <c r="I372" s="4">
        <v>16918</v>
      </c>
      <c r="J37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16918</v>
      </c>
      <c r="K372" s="4" t="str">
        <f>IF(Table2[[#This Row],[Type]]="electricity", "kilowatt_hour_(kwh)",
IF(Table2[[#This Row],[Type]]="water", "cubic_metre_(m3)",
IF(Table2[[#This Row],[Type]]="heat", "therm_(thm)",
"NA")))</f>
        <v>cubic_metre_(m3)</v>
      </c>
      <c r="L372" s="1" t="s">
        <v>133</v>
      </c>
      <c r="M372" s="10">
        <f>IF(Table2[[#This Row],[Type]]="electricity", Table2[[#This Row],[Quantity_correct]]/6.6667,
IF(Table2[[#This Row],[Type]]="water", Table2[[#This Row],[Quantity_correct]]/3.333,
IF(Table2[[#This Row],[Type]]="heat", Table2[[#This Row],[Quantity_correct]]/0.8333,
"NA")))</f>
        <v>5075.9075907590759</v>
      </c>
      <c r="N372" s="1">
        <v>20301.599999999999</v>
      </c>
    </row>
    <row r="373" spans="1:14" ht="12.5" hidden="1" x14ac:dyDescent="0.25">
      <c r="A373" s="1" t="s">
        <v>18</v>
      </c>
      <c r="B373" s="1" t="s">
        <v>18</v>
      </c>
      <c r="C373" s="1" t="str">
        <f>IF(OR(Table2[[#This Row],[units]]="litre_(l)", Table2[[#This Row],[units]]="gallon_(gal)", Table2[[#This Row],[units]]="cubic_metre_(m3)"), "water", Table2[[#This Row],[type2]])</f>
        <v>water</v>
      </c>
      <c r="D373" s="1" t="s">
        <v>140</v>
      </c>
      <c r="E373" s="3">
        <v>44928</v>
      </c>
      <c r="F373" s="8">
        <f t="shared" si="10"/>
        <v>44958</v>
      </c>
      <c r="G373" s="1" t="s">
        <v>65</v>
      </c>
      <c r="H373" s="8">
        <f t="shared" si="11"/>
        <v>44985</v>
      </c>
      <c r="I373" s="1">
        <v>0</v>
      </c>
      <c r="J37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73" s="4" t="str">
        <f>IF(Table2[[#This Row],[Type]]="electricity", "kilowatt_hour_(kwh)",
IF(Table2[[#This Row],[Type]]="water", "cubic_metre_(m3)",
IF(Table2[[#This Row],[Type]]="heat", "therm_(thm)",
"NA")))</f>
        <v>cubic_metre_(m3)</v>
      </c>
      <c r="L373" s="1" t="s">
        <v>133</v>
      </c>
      <c r="M373" s="10">
        <f>IF(Table2[[#This Row],[Type]]="electricity", Table2[[#This Row],[Quantity_correct]]/6.6667,
IF(Table2[[#This Row],[Type]]="water", Table2[[#This Row],[Quantity_correct]]/3.333,
IF(Table2[[#This Row],[Type]]="heat", Table2[[#This Row],[Quantity_correct]]/0.8333,
"NA")))</f>
        <v>0</v>
      </c>
      <c r="N373" s="1">
        <v>0</v>
      </c>
    </row>
    <row r="374" spans="1:14" ht="12.5" hidden="1" x14ac:dyDescent="0.25">
      <c r="A374" s="1" t="s">
        <v>18</v>
      </c>
      <c r="B374" s="1" t="s">
        <v>18</v>
      </c>
      <c r="C374" s="1" t="str">
        <f>IF(OR(Table2[[#This Row],[units]]="litre_(l)", Table2[[#This Row],[units]]="gallon_(gal)", Table2[[#This Row],[units]]="cubic_metre_(m3)"), "water", Table2[[#This Row],[type2]])</f>
        <v>water</v>
      </c>
      <c r="D374" s="1" t="s">
        <v>140</v>
      </c>
      <c r="E374" s="3">
        <v>44928</v>
      </c>
      <c r="F374" s="8">
        <f t="shared" si="10"/>
        <v>44958</v>
      </c>
      <c r="G374" s="1" t="s">
        <v>65</v>
      </c>
      <c r="H374" s="8">
        <f t="shared" si="11"/>
        <v>44985</v>
      </c>
      <c r="I374" s="4">
        <v>15259</v>
      </c>
      <c r="J37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15259</v>
      </c>
      <c r="K374" s="4" t="str">
        <f>IF(Table2[[#This Row],[Type]]="electricity", "kilowatt_hour_(kwh)",
IF(Table2[[#This Row],[Type]]="water", "cubic_metre_(m3)",
IF(Table2[[#This Row],[Type]]="heat", "therm_(thm)",
"NA")))</f>
        <v>cubic_metre_(m3)</v>
      </c>
      <c r="L374" s="1" t="s">
        <v>133</v>
      </c>
      <c r="M374" s="10">
        <f>IF(Table2[[#This Row],[Type]]="electricity", Table2[[#This Row],[Quantity_correct]]/6.6667,
IF(Table2[[#This Row],[Type]]="water", Table2[[#This Row],[Quantity_correct]]/3.333,
IF(Table2[[#This Row],[Type]]="heat", Table2[[#This Row],[Quantity_correct]]/0.8333,
"NA")))</f>
        <v>4578.1578157815775</v>
      </c>
      <c r="N374" s="1">
        <v>18310.8</v>
      </c>
    </row>
    <row r="375" spans="1:14" ht="12.5" hidden="1" x14ac:dyDescent="0.25">
      <c r="A375" s="1" t="s">
        <v>18</v>
      </c>
      <c r="B375" s="1" t="s">
        <v>18</v>
      </c>
      <c r="C375" s="1" t="str">
        <f>IF(OR(Table2[[#This Row],[units]]="litre_(l)", Table2[[#This Row],[units]]="gallon_(gal)", Table2[[#This Row],[units]]="cubic_metre_(m3)"), "water", Table2[[#This Row],[type2]])</f>
        <v>water</v>
      </c>
      <c r="D375" s="1" t="s">
        <v>140</v>
      </c>
      <c r="E375" s="3">
        <v>44929</v>
      </c>
      <c r="F375" s="8">
        <f t="shared" si="10"/>
        <v>44986</v>
      </c>
      <c r="G375" s="1" t="s">
        <v>74</v>
      </c>
      <c r="H375" s="8">
        <f t="shared" si="11"/>
        <v>45016</v>
      </c>
      <c r="I375" s="1">
        <v>0</v>
      </c>
      <c r="J37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75" s="4" t="str">
        <f>IF(Table2[[#This Row],[Type]]="electricity", "kilowatt_hour_(kwh)",
IF(Table2[[#This Row],[Type]]="water", "cubic_metre_(m3)",
IF(Table2[[#This Row],[Type]]="heat", "therm_(thm)",
"NA")))</f>
        <v>cubic_metre_(m3)</v>
      </c>
      <c r="L375" s="1" t="s">
        <v>133</v>
      </c>
      <c r="M375" s="10">
        <f>IF(Table2[[#This Row],[Type]]="electricity", Table2[[#This Row],[Quantity_correct]]/6.6667,
IF(Table2[[#This Row],[Type]]="water", Table2[[#This Row],[Quantity_correct]]/3.333,
IF(Table2[[#This Row],[Type]]="heat", Table2[[#This Row],[Quantity_correct]]/0.8333,
"NA")))</f>
        <v>0</v>
      </c>
      <c r="N375" s="1">
        <v>0</v>
      </c>
    </row>
    <row r="376" spans="1:14" ht="12.5" hidden="1" x14ac:dyDescent="0.25">
      <c r="A376" s="1" t="s">
        <v>18</v>
      </c>
      <c r="B376" s="1" t="s">
        <v>18</v>
      </c>
      <c r="C376" s="1" t="str">
        <f>IF(OR(Table2[[#This Row],[units]]="litre_(l)", Table2[[#This Row],[units]]="gallon_(gal)", Table2[[#This Row],[units]]="cubic_metre_(m3)"), "water", Table2[[#This Row],[type2]])</f>
        <v>water</v>
      </c>
      <c r="D376" s="1" t="s">
        <v>140</v>
      </c>
      <c r="E376" s="3">
        <v>44929</v>
      </c>
      <c r="F376" s="8">
        <f t="shared" si="10"/>
        <v>44986</v>
      </c>
      <c r="G376" s="1" t="s">
        <v>74</v>
      </c>
      <c r="H376" s="8">
        <f t="shared" si="11"/>
        <v>45016</v>
      </c>
      <c r="I376" s="4">
        <v>8547</v>
      </c>
      <c r="J37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8547</v>
      </c>
      <c r="K376" s="4" t="str">
        <f>IF(Table2[[#This Row],[Type]]="electricity", "kilowatt_hour_(kwh)",
IF(Table2[[#This Row],[Type]]="water", "cubic_metre_(m3)",
IF(Table2[[#This Row],[Type]]="heat", "therm_(thm)",
"NA")))</f>
        <v>cubic_metre_(m3)</v>
      </c>
      <c r="L376" s="1" t="s">
        <v>133</v>
      </c>
      <c r="M376" s="10">
        <f>IF(Table2[[#This Row],[Type]]="electricity", Table2[[#This Row],[Quantity_correct]]/6.6667,
IF(Table2[[#This Row],[Type]]="water", Table2[[#This Row],[Quantity_correct]]/3.333,
IF(Table2[[#This Row],[Type]]="heat", Table2[[#This Row],[Quantity_correct]]/0.8333,
"NA")))</f>
        <v>2564.3564356435641</v>
      </c>
      <c r="N376" s="1">
        <v>10256.4</v>
      </c>
    </row>
    <row r="377" spans="1:14" ht="12.5" hidden="1" x14ac:dyDescent="0.25">
      <c r="A377" s="1" t="s">
        <v>18</v>
      </c>
      <c r="B377" s="1" t="s">
        <v>18</v>
      </c>
      <c r="C377" s="1" t="str">
        <f>IF(OR(Table2[[#This Row],[units]]="litre_(l)", Table2[[#This Row],[units]]="gallon_(gal)", Table2[[#This Row],[units]]="cubic_metre_(m3)"), "water", Table2[[#This Row],[type2]])</f>
        <v>water</v>
      </c>
      <c r="D377" s="1" t="s">
        <v>140</v>
      </c>
      <c r="E377" s="3">
        <v>44930</v>
      </c>
      <c r="F377" s="8">
        <f t="shared" si="10"/>
        <v>45017</v>
      </c>
      <c r="G377" s="1" t="s">
        <v>103</v>
      </c>
      <c r="H377" s="8">
        <f t="shared" si="11"/>
        <v>45046</v>
      </c>
      <c r="I377" s="1">
        <v>0</v>
      </c>
      <c r="J37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77" s="4" t="str">
        <f>IF(Table2[[#This Row],[Type]]="electricity", "kilowatt_hour_(kwh)",
IF(Table2[[#This Row],[Type]]="water", "cubic_metre_(m3)",
IF(Table2[[#This Row],[Type]]="heat", "therm_(thm)",
"NA")))</f>
        <v>cubic_metre_(m3)</v>
      </c>
      <c r="L377" s="1" t="s">
        <v>133</v>
      </c>
      <c r="M377" s="10">
        <f>IF(Table2[[#This Row],[Type]]="electricity", Table2[[#This Row],[Quantity_correct]]/6.6667,
IF(Table2[[#This Row],[Type]]="water", Table2[[#This Row],[Quantity_correct]]/3.333,
IF(Table2[[#This Row],[Type]]="heat", Table2[[#This Row],[Quantity_correct]]/0.8333,
"NA")))</f>
        <v>0</v>
      </c>
      <c r="N377" s="1">
        <v>0</v>
      </c>
    </row>
    <row r="378" spans="1:14" ht="12.5" hidden="1" x14ac:dyDescent="0.25">
      <c r="A378" s="1" t="s">
        <v>18</v>
      </c>
      <c r="B378" s="1" t="s">
        <v>18</v>
      </c>
      <c r="C378" s="1" t="str">
        <f>IF(OR(Table2[[#This Row],[units]]="litre_(l)", Table2[[#This Row],[units]]="gallon_(gal)", Table2[[#This Row],[units]]="cubic_metre_(m3)"), "water", Table2[[#This Row],[type2]])</f>
        <v>water</v>
      </c>
      <c r="D378" s="1" t="s">
        <v>140</v>
      </c>
      <c r="E378" s="3">
        <v>44930</v>
      </c>
      <c r="F378" s="8">
        <f t="shared" si="10"/>
        <v>45017</v>
      </c>
      <c r="G378" s="1" t="s">
        <v>103</v>
      </c>
      <c r="H378" s="8">
        <f t="shared" si="11"/>
        <v>45046</v>
      </c>
      <c r="I378" s="4">
        <v>1668</v>
      </c>
      <c r="J37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1668</v>
      </c>
      <c r="K378" s="4" t="str">
        <f>IF(Table2[[#This Row],[Type]]="electricity", "kilowatt_hour_(kwh)",
IF(Table2[[#This Row],[Type]]="water", "cubic_metre_(m3)",
IF(Table2[[#This Row],[Type]]="heat", "therm_(thm)",
"NA")))</f>
        <v>cubic_metre_(m3)</v>
      </c>
      <c r="L378" s="1" t="s">
        <v>133</v>
      </c>
      <c r="M378" s="10">
        <f>IF(Table2[[#This Row],[Type]]="electricity", Table2[[#This Row],[Quantity_correct]]/6.6667,
IF(Table2[[#This Row],[Type]]="water", Table2[[#This Row],[Quantity_correct]]/3.333,
IF(Table2[[#This Row],[Type]]="heat", Table2[[#This Row],[Quantity_correct]]/0.8333,
"NA")))</f>
        <v>500.4500450045004</v>
      </c>
      <c r="N378" s="1">
        <v>2001.6</v>
      </c>
    </row>
    <row r="379" spans="1:14" ht="12.5" hidden="1" x14ac:dyDescent="0.25">
      <c r="A379" s="1" t="s">
        <v>18</v>
      </c>
      <c r="B379" s="1" t="s">
        <v>18</v>
      </c>
      <c r="C379" s="1" t="str">
        <f>IF(OR(Table2[[#This Row],[units]]="litre_(l)", Table2[[#This Row],[units]]="gallon_(gal)", Table2[[#This Row],[units]]="cubic_metre_(m3)"), "water", Table2[[#This Row],[type2]])</f>
        <v>water</v>
      </c>
      <c r="D379" s="1" t="s">
        <v>140</v>
      </c>
      <c r="E379" s="3">
        <v>44931</v>
      </c>
      <c r="F379" s="8">
        <f t="shared" si="10"/>
        <v>45047</v>
      </c>
      <c r="G379" s="1" t="s">
        <v>221</v>
      </c>
      <c r="H379" s="8">
        <f t="shared" si="11"/>
        <v>45076</v>
      </c>
      <c r="I379" s="1">
        <v>2</v>
      </c>
      <c r="J37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v>
      </c>
      <c r="K379" s="4" t="str">
        <f>IF(Table2[[#This Row],[Type]]="electricity", "kilowatt_hour_(kwh)",
IF(Table2[[#This Row],[Type]]="water", "cubic_metre_(m3)",
IF(Table2[[#This Row],[Type]]="heat", "therm_(thm)",
"NA")))</f>
        <v>cubic_metre_(m3)</v>
      </c>
      <c r="L379" s="1" t="s">
        <v>133</v>
      </c>
      <c r="M379" s="10">
        <f>IF(Table2[[#This Row],[Type]]="electricity", Table2[[#This Row],[Quantity_correct]]/6.6667,
IF(Table2[[#This Row],[Type]]="water", Table2[[#This Row],[Quantity_correct]]/3.333,
IF(Table2[[#This Row],[Type]]="heat", Table2[[#This Row],[Quantity_correct]]/0.8333,
"NA")))</f>
        <v>0.60006000600060005</v>
      </c>
      <c r="N379" s="1">
        <v>2.4</v>
      </c>
    </row>
    <row r="380" spans="1:14" ht="12.5" hidden="1" x14ac:dyDescent="0.25">
      <c r="A380" s="1" t="s">
        <v>18</v>
      </c>
      <c r="B380" s="1" t="s">
        <v>18</v>
      </c>
      <c r="C380" s="1" t="str">
        <f>IF(OR(Table2[[#This Row],[units]]="litre_(l)", Table2[[#This Row],[units]]="gallon_(gal)", Table2[[#This Row],[units]]="cubic_metre_(m3)"), "water", Table2[[#This Row],[type2]])</f>
        <v>water</v>
      </c>
      <c r="D380" s="1" t="s">
        <v>140</v>
      </c>
      <c r="E380" s="3">
        <v>44931</v>
      </c>
      <c r="F380" s="8">
        <f t="shared" si="10"/>
        <v>45047</v>
      </c>
      <c r="G380" s="1" t="s">
        <v>73</v>
      </c>
      <c r="H380" s="8">
        <f t="shared" si="11"/>
        <v>45077</v>
      </c>
      <c r="I380" s="1">
        <v>0</v>
      </c>
      <c r="J38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0" s="4" t="str">
        <f>IF(Table2[[#This Row],[Type]]="electricity", "kilowatt_hour_(kwh)",
IF(Table2[[#This Row],[Type]]="water", "cubic_metre_(m3)",
IF(Table2[[#This Row],[Type]]="heat", "therm_(thm)",
"NA")))</f>
        <v>cubic_metre_(m3)</v>
      </c>
      <c r="L380" s="1" t="s">
        <v>133</v>
      </c>
      <c r="M380" s="10">
        <f>IF(Table2[[#This Row],[Type]]="electricity", Table2[[#This Row],[Quantity_correct]]/6.6667,
IF(Table2[[#This Row],[Type]]="water", Table2[[#This Row],[Quantity_correct]]/3.333,
IF(Table2[[#This Row],[Type]]="heat", Table2[[#This Row],[Quantity_correct]]/0.8333,
"NA")))</f>
        <v>0</v>
      </c>
      <c r="N380" s="1">
        <v>0</v>
      </c>
    </row>
    <row r="381" spans="1:14" ht="12.5" hidden="1" x14ac:dyDescent="0.25">
      <c r="A381" s="1" t="s">
        <v>18</v>
      </c>
      <c r="B381" s="1" t="s">
        <v>18</v>
      </c>
      <c r="C381" s="1" t="str">
        <f>IF(OR(Table2[[#This Row],[units]]="litre_(l)", Table2[[#This Row],[units]]="gallon_(gal)", Table2[[#This Row],[units]]="cubic_metre_(m3)"), "water", Table2[[#This Row],[type2]])</f>
        <v>water</v>
      </c>
      <c r="D381" s="1" t="s">
        <v>140</v>
      </c>
      <c r="E381" s="3">
        <v>44932</v>
      </c>
      <c r="F381" s="8">
        <f t="shared" si="10"/>
        <v>45078</v>
      </c>
      <c r="G381" s="1" t="s">
        <v>69</v>
      </c>
      <c r="H381" s="8">
        <f t="shared" si="11"/>
        <v>45107</v>
      </c>
      <c r="I381" s="1">
        <v>0</v>
      </c>
      <c r="J38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1" s="4" t="str">
        <f>IF(Table2[[#This Row],[Type]]="electricity", "kilowatt_hour_(kwh)",
IF(Table2[[#This Row],[Type]]="water", "cubic_metre_(m3)",
IF(Table2[[#This Row],[Type]]="heat", "therm_(thm)",
"NA")))</f>
        <v>cubic_metre_(m3)</v>
      </c>
      <c r="L381" s="1" t="s">
        <v>133</v>
      </c>
      <c r="M381" s="10">
        <f>IF(Table2[[#This Row],[Type]]="electricity", Table2[[#This Row],[Quantity_correct]]/6.6667,
IF(Table2[[#This Row],[Type]]="water", Table2[[#This Row],[Quantity_correct]]/3.333,
IF(Table2[[#This Row],[Type]]="heat", Table2[[#This Row],[Quantity_correct]]/0.8333,
"NA")))</f>
        <v>0</v>
      </c>
      <c r="N381" s="1">
        <v>0</v>
      </c>
    </row>
    <row r="382" spans="1:14" ht="12.5" hidden="1" x14ac:dyDescent="0.25">
      <c r="A382" s="1" t="s">
        <v>18</v>
      </c>
      <c r="B382" s="1" t="s">
        <v>18</v>
      </c>
      <c r="C382" s="1" t="str">
        <f>IF(OR(Table2[[#This Row],[units]]="litre_(l)", Table2[[#This Row],[units]]="gallon_(gal)", Table2[[#This Row],[units]]="cubic_metre_(m3)"), "water", Table2[[#This Row],[type2]])</f>
        <v>water</v>
      </c>
      <c r="D382" s="1" t="s">
        <v>140</v>
      </c>
      <c r="E382" s="3">
        <v>44933</v>
      </c>
      <c r="F382" s="8">
        <f t="shared" si="10"/>
        <v>45108</v>
      </c>
      <c r="G382" s="1" t="s">
        <v>71</v>
      </c>
      <c r="H382" s="8">
        <f t="shared" si="11"/>
        <v>45138</v>
      </c>
      <c r="I382" s="1">
        <v>0</v>
      </c>
      <c r="J38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2" s="4" t="str">
        <f>IF(Table2[[#This Row],[Type]]="electricity", "kilowatt_hour_(kwh)",
IF(Table2[[#This Row],[Type]]="water", "cubic_metre_(m3)",
IF(Table2[[#This Row],[Type]]="heat", "therm_(thm)",
"NA")))</f>
        <v>cubic_metre_(m3)</v>
      </c>
      <c r="L382" s="1" t="s">
        <v>133</v>
      </c>
      <c r="M382" s="10">
        <f>IF(Table2[[#This Row],[Type]]="electricity", Table2[[#This Row],[Quantity_correct]]/6.6667,
IF(Table2[[#This Row],[Type]]="water", Table2[[#This Row],[Quantity_correct]]/3.333,
IF(Table2[[#This Row],[Type]]="heat", Table2[[#This Row],[Quantity_correct]]/0.8333,
"NA")))</f>
        <v>0</v>
      </c>
      <c r="N382" s="1">
        <v>0</v>
      </c>
    </row>
    <row r="383" spans="1:14" ht="12.5" hidden="1" x14ac:dyDescent="0.25">
      <c r="A383" s="1" t="s">
        <v>18</v>
      </c>
      <c r="B383" s="1" t="s">
        <v>18</v>
      </c>
      <c r="C383" s="1" t="str">
        <f>IF(OR(Table2[[#This Row],[units]]="litre_(l)", Table2[[#This Row],[units]]="gallon_(gal)", Table2[[#This Row],[units]]="cubic_metre_(m3)"), "water", Table2[[#This Row],[type2]])</f>
        <v>water</v>
      </c>
      <c r="D383" s="1" t="s">
        <v>140</v>
      </c>
      <c r="E383" s="3">
        <v>44934</v>
      </c>
      <c r="F383" s="8">
        <f t="shared" si="10"/>
        <v>45139</v>
      </c>
      <c r="G383" s="1" t="s">
        <v>72</v>
      </c>
      <c r="H383" s="8">
        <f t="shared" si="11"/>
        <v>45169</v>
      </c>
      <c r="I383" s="1">
        <v>0</v>
      </c>
      <c r="J38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3" s="4" t="str">
        <f>IF(Table2[[#This Row],[Type]]="electricity", "kilowatt_hour_(kwh)",
IF(Table2[[#This Row],[Type]]="water", "cubic_metre_(m3)",
IF(Table2[[#This Row],[Type]]="heat", "therm_(thm)",
"NA")))</f>
        <v>cubic_metre_(m3)</v>
      </c>
      <c r="L383" s="1" t="s">
        <v>133</v>
      </c>
      <c r="M383" s="10">
        <f>IF(Table2[[#This Row],[Type]]="electricity", Table2[[#This Row],[Quantity_correct]]/6.6667,
IF(Table2[[#This Row],[Type]]="water", Table2[[#This Row],[Quantity_correct]]/3.333,
IF(Table2[[#This Row],[Type]]="heat", Table2[[#This Row],[Quantity_correct]]/0.8333,
"NA")))</f>
        <v>0</v>
      </c>
      <c r="N383" s="1">
        <v>0</v>
      </c>
    </row>
    <row r="384" spans="1:14" ht="12.5" hidden="1" x14ac:dyDescent="0.25">
      <c r="A384" s="1" t="s">
        <v>18</v>
      </c>
      <c r="B384" s="1" t="s">
        <v>18</v>
      </c>
      <c r="C384" s="1" t="str">
        <f>IF(OR(Table2[[#This Row],[units]]="litre_(l)", Table2[[#This Row],[units]]="gallon_(gal)", Table2[[#This Row],[units]]="cubic_metre_(m3)"), "water", Table2[[#This Row],[type2]])</f>
        <v>water</v>
      </c>
      <c r="D384" s="1" t="s">
        <v>140</v>
      </c>
      <c r="E384" s="3">
        <v>44935</v>
      </c>
      <c r="F384" s="8">
        <f t="shared" si="10"/>
        <v>45170</v>
      </c>
      <c r="G384" s="1" t="s">
        <v>67</v>
      </c>
      <c r="H384" s="8">
        <f t="shared" si="11"/>
        <v>45199</v>
      </c>
      <c r="I384" s="1">
        <v>0</v>
      </c>
      <c r="J38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4" s="4" t="str">
        <f>IF(Table2[[#This Row],[Type]]="electricity", "kilowatt_hour_(kwh)",
IF(Table2[[#This Row],[Type]]="water", "cubic_metre_(m3)",
IF(Table2[[#This Row],[Type]]="heat", "therm_(thm)",
"NA")))</f>
        <v>cubic_metre_(m3)</v>
      </c>
      <c r="L384" s="1" t="s">
        <v>133</v>
      </c>
      <c r="M384" s="10">
        <f>IF(Table2[[#This Row],[Type]]="electricity", Table2[[#This Row],[Quantity_correct]]/6.6667,
IF(Table2[[#This Row],[Type]]="water", Table2[[#This Row],[Quantity_correct]]/3.333,
IF(Table2[[#This Row],[Type]]="heat", Table2[[#This Row],[Quantity_correct]]/0.8333,
"NA")))</f>
        <v>0</v>
      </c>
      <c r="N384" s="1">
        <v>0</v>
      </c>
    </row>
    <row r="385" spans="1:14" ht="12.5" hidden="1" x14ac:dyDescent="0.25">
      <c r="A385" s="1" t="s">
        <v>18</v>
      </c>
      <c r="B385" s="1" t="s">
        <v>18</v>
      </c>
      <c r="C385" s="1" t="str">
        <f>IF(OR(Table2[[#This Row],[units]]="litre_(l)", Table2[[#This Row],[units]]="gallon_(gal)", Table2[[#This Row],[units]]="cubic_metre_(m3)"), "water", Table2[[#This Row],[type2]])</f>
        <v>water</v>
      </c>
      <c r="D385" s="1" t="s">
        <v>140</v>
      </c>
      <c r="E385" s="3">
        <v>44936</v>
      </c>
      <c r="F385" s="8">
        <f t="shared" si="10"/>
        <v>45200</v>
      </c>
      <c r="G385" s="1" t="s">
        <v>75</v>
      </c>
      <c r="H385" s="8">
        <f t="shared" si="11"/>
        <v>45230</v>
      </c>
      <c r="I385" s="1">
        <v>4</v>
      </c>
      <c r="J38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v>
      </c>
      <c r="K385" s="4" t="str">
        <f>IF(Table2[[#This Row],[Type]]="electricity", "kilowatt_hour_(kwh)",
IF(Table2[[#This Row],[Type]]="water", "cubic_metre_(m3)",
IF(Table2[[#This Row],[Type]]="heat", "therm_(thm)",
"NA")))</f>
        <v>cubic_metre_(m3)</v>
      </c>
      <c r="L385" s="1" t="s">
        <v>133</v>
      </c>
      <c r="M385" s="10">
        <f>IF(Table2[[#This Row],[Type]]="electricity", Table2[[#This Row],[Quantity_correct]]/6.6667,
IF(Table2[[#This Row],[Type]]="water", Table2[[#This Row],[Quantity_correct]]/3.333,
IF(Table2[[#This Row],[Type]]="heat", Table2[[#This Row],[Quantity_correct]]/0.8333,
"NA")))</f>
        <v>1.2001200120012001</v>
      </c>
      <c r="N385" s="1">
        <v>4.8</v>
      </c>
    </row>
    <row r="386" spans="1:14" ht="12.5" hidden="1" x14ac:dyDescent="0.25">
      <c r="A386" s="1" t="s">
        <v>18</v>
      </c>
      <c r="B386" s="1" t="s">
        <v>18</v>
      </c>
      <c r="C386" s="1" t="str">
        <f>IF(OR(Table2[[#This Row],[units]]="litre_(l)", Table2[[#This Row],[units]]="gallon_(gal)", Table2[[#This Row],[units]]="cubic_metre_(m3)"), "water", Table2[[#This Row],[type2]])</f>
        <v>water</v>
      </c>
      <c r="D386" s="1" t="s">
        <v>140</v>
      </c>
      <c r="E386" s="3">
        <v>44937</v>
      </c>
      <c r="F386" s="8">
        <f t="shared" ref="F386:F436" si="12">DATE(RIGHT(TEXT(E386,"dd-mm-yyyy"),4), LEFT(TEXT(E386,"dd-mm-yyyy"),2),MID(TEXT(E386,"dd-mm-yyyy"),4,2))</f>
        <v>45231</v>
      </c>
      <c r="G386" s="1" t="s">
        <v>56</v>
      </c>
      <c r="H386" s="8">
        <f t="shared" ref="H386:H436" si="13">DATE(RIGHT(TEXT(G386,"dd-mm-yyyy"),4), LEFT(TEXT(G386,"dd-mm-yyyy"),2),MID(TEXT(G386,"dd-mm-yyyy"),4,2))</f>
        <v>45260</v>
      </c>
      <c r="I386" s="4">
        <v>12285</v>
      </c>
      <c r="J38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12285</v>
      </c>
      <c r="K386" s="4" t="str">
        <f>IF(Table2[[#This Row],[Type]]="electricity", "kilowatt_hour_(kwh)",
IF(Table2[[#This Row],[Type]]="water", "cubic_metre_(m3)",
IF(Table2[[#This Row],[Type]]="heat", "therm_(thm)",
"NA")))</f>
        <v>cubic_metre_(m3)</v>
      </c>
      <c r="L386" s="1" t="s">
        <v>133</v>
      </c>
      <c r="M386" s="10">
        <f>IF(Table2[[#This Row],[Type]]="electricity", Table2[[#This Row],[Quantity_correct]]/6.6667,
IF(Table2[[#This Row],[Type]]="water", Table2[[#This Row],[Quantity_correct]]/3.333,
IF(Table2[[#This Row],[Type]]="heat", Table2[[#This Row],[Quantity_correct]]/0.8333,
"NA")))</f>
        <v>3685.8685868586858</v>
      </c>
      <c r="N386" s="1">
        <v>14742</v>
      </c>
    </row>
    <row r="387" spans="1:14" ht="12.5" hidden="1" x14ac:dyDescent="0.25">
      <c r="A387" s="1" t="s">
        <v>18</v>
      </c>
      <c r="B387" s="1" t="s">
        <v>18</v>
      </c>
      <c r="C387" s="1" t="str">
        <f>IF(OR(Table2[[#This Row],[units]]="litre_(l)", Table2[[#This Row],[units]]="gallon_(gal)", Table2[[#This Row],[units]]="cubic_metre_(m3)"), "water", Table2[[#This Row],[type2]])</f>
        <v>water</v>
      </c>
      <c r="D387" s="1" t="s">
        <v>140</v>
      </c>
      <c r="E387" s="3">
        <v>44938</v>
      </c>
      <c r="F387" s="8">
        <f t="shared" si="12"/>
        <v>45261</v>
      </c>
      <c r="G387" s="1" t="s">
        <v>45</v>
      </c>
      <c r="H387" s="8">
        <f t="shared" si="13"/>
        <v>45291</v>
      </c>
      <c r="I387" s="4">
        <v>13681</v>
      </c>
      <c r="J38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13681</v>
      </c>
      <c r="K387" s="4" t="str">
        <f>IF(Table2[[#This Row],[Type]]="electricity", "kilowatt_hour_(kwh)",
IF(Table2[[#This Row],[Type]]="water", "cubic_metre_(m3)",
IF(Table2[[#This Row],[Type]]="heat", "therm_(thm)",
"NA")))</f>
        <v>cubic_metre_(m3)</v>
      </c>
      <c r="L387" s="1" t="s">
        <v>133</v>
      </c>
      <c r="M387" s="10">
        <f>IF(Table2[[#This Row],[Type]]="electricity", Table2[[#This Row],[Quantity_correct]]/6.6667,
IF(Table2[[#This Row],[Type]]="water", Table2[[#This Row],[Quantity_correct]]/3.333,
IF(Table2[[#This Row],[Type]]="heat", Table2[[#This Row],[Quantity_correct]]/0.8333,
"NA")))</f>
        <v>4104.7104710471049</v>
      </c>
      <c r="N387" s="1">
        <v>16417.2</v>
      </c>
    </row>
    <row r="388" spans="1:14" ht="12.5" hidden="1" x14ac:dyDescent="0.25">
      <c r="A388" s="1" t="s">
        <v>18</v>
      </c>
      <c r="B388" s="1" t="s">
        <v>18</v>
      </c>
      <c r="C388" s="1" t="str">
        <f>IF(OR(Table2[[#This Row],[units]]="litre_(l)", Table2[[#This Row],[units]]="gallon_(gal)", Table2[[#This Row],[units]]="cubic_metre_(m3)"), "water", Table2[[#This Row],[type2]])</f>
        <v>water</v>
      </c>
      <c r="D388" s="1" t="s">
        <v>130</v>
      </c>
      <c r="E388" s="3">
        <v>44604</v>
      </c>
      <c r="F388" s="8">
        <f t="shared" si="12"/>
        <v>44897</v>
      </c>
      <c r="G388" s="1" t="s">
        <v>68</v>
      </c>
      <c r="H388" s="8">
        <f t="shared" si="13"/>
        <v>44957</v>
      </c>
      <c r="I388" s="1">
        <v>309</v>
      </c>
      <c r="J38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309</v>
      </c>
      <c r="K388" s="4" t="str">
        <f>IF(Table2[[#This Row],[Type]]="electricity", "kilowatt_hour_(kwh)",
IF(Table2[[#This Row],[Type]]="water", "cubic_metre_(m3)",
IF(Table2[[#This Row],[Type]]="heat", "therm_(thm)",
"NA")))</f>
        <v>cubic_metre_(m3)</v>
      </c>
      <c r="L388" s="1" t="s">
        <v>133</v>
      </c>
      <c r="M388" s="10">
        <f>IF(Table2[[#This Row],[Type]]="electricity", Table2[[#This Row],[Quantity_correct]]/6.6667,
IF(Table2[[#This Row],[Type]]="water", Table2[[#This Row],[Quantity_correct]]/3.333,
IF(Table2[[#This Row],[Type]]="heat", Table2[[#This Row],[Quantity_correct]]/0.8333,
"NA")))</f>
        <v>92.709270927092703</v>
      </c>
      <c r="N388" s="1">
        <v>92.7</v>
      </c>
    </row>
    <row r="389" spans="1:14" ht="12.5" hidden="1" x14ac:dyDescent="0.25">
      <c r="A389" s="1" t="s">
        <v>18</v>
      </c>
      <c r="B389" s="1" t="s">
        <v>18</v>
      </c>
      <c r="C389" s="1" t="str">
        <f>IF(OR(Table2[[#This Row],[units]]="litre_(l)", Table2[[#This Row],[units]]="gallon_(gal)", Table2[[#This Row],[units]]="cubic_metre_(m3)"), "water", Table2[[#This Row],[type2]])</f>
        <v>water</v>
      </c>
      <c r="D389" s="1" t="s">
        <v>130</v>
      </c>
      <c r="E389" s="1" t="s">
        <v>222</v>
      </c>
      <c r="F389" s="8">
        <f t="shared" si="12"/>
        <v>44909</v>
      </c>
      <c r="G389" s="1" t="s">
        <v>117</v>
      </c>
      <c r="H389" s="8">
        <f t="shared" si="13"/>
        <v>45005</v>
      </c>
      <c r="I389" s="1">
        <v>0</v>
      </c>
      <c r="J38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89" s="4" t="str">
        <f>IF(Table2[[#This Row],[Type]]="electricity", "kilowatt_hour_(kwh)",
IF(Table2[[#This Row],[Type]]="water", "cubic_metre_(m3)",
IF(Table2[[#This Row],[Type]]="heat", "therm_(thm)",
"NA")))</f>
        <v>cubic_metre_(m3)</v>
      </c>
      <c r="L389" s="1" t="s">
        <v>133</v>
      </c>
      <c r="M389" s="10">
        <f>IF(Table2[[#This Row],[Type]]="electricity", Table2[[#This Row],[Quantity_correct]]/6.6667,
IF(Table2[[#This Row],[Type]]="water", Table2[[#This Row],[Quantity_correct]]/3.333,
IF(Table2[[#This Row],[Type]]="heat", Table2[[#This Row],[Quantity_correct]]/0.8333,
"NA")))</f>
        <v>0</v>
      </c>
      <c r="N389" s="1">
        <v>0</v>
      </c>
    </row>
    <row r="390" spans="1:14" ht="12.5" hidden="1" x14ac:dyDescent="0.25">
      <c r="A390" s="1" t="s">
        <v>18</v>
      </c>
      <c r="B390" s="1" t="s">
        <v>18</v>
      </c>
      <c r="C390" s="1" t="str">
        <f>IF(OR(Table2[[#This Row],[units]]="litre_(l)", Table2[[#This Row],[units]]="gallon_(gal)", Table2[[#This Row],[units]]="cubic_metre_(m3)"), "water", Table2[[#This Row],[type2]])</f>
        <v>water</v>
      </c>
      <c r="D390" s="1" t="s">
        <v>130</v>
      </c>
      <c r="E390" s="3">
        <v>44927</v>
      </c>
      <c r="F390" s="8">
        <f t="shared" si="12"/>
        <v>44927</v>
      </c>
      <c r="G390" s="1" t="s">
        <v>68</v>
      </c>
      <c r="H390" s="8">
        <f t="shared" si="13"/>
        <v>44957</v>
      </c>
      <c r="I390" s="1">
        <v>68</v>
      </c>
      <c r="J39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68</v>
      </c>
      <c r="K390" s="4" t="str">
        <f>IF(Table2[[#This Row],[Type]]="electricity", "kilowatt_hour_(kwh)",
IF(Table2[[#This Row],[Type]]="water", "cubic_metre_(m3)",
IF(Table2[[#This Row],[Type]]="heat", "therm_(thm)",
"NA")))</f>
        <v>cubic_metre_(m3)</v>
      </c>
      <c r="L390" s="1" t="s">
        <v>133</v>
      </c>
      <c r="M390" s="10">
        <f>IF(Table2[[#This Row],[Type]]="electricity", Table2[[#This Row],[Quantity_correct]]/6.6667,
IF(Table2[[#This Row],[Type]]="water", Table2[[#This Row],[Quantity_correct]]/3.333,
IF(Table2[[#This Row],[Type]]="heat", Table2[[#This Row],[Quantity_correct]]/0.8333,
"NA")))</f>
        <v>20.402040204020402</v>
      </c>
      <c r="N390" s="1">
        <v>20.399999999999999</v>
      </c>
    </row>
    <row r="391" spans="1:14" ht="12.5" hidden="1" x14ac:dyDescent="0.25">
      <c r="A391" s="1" t="s">
        <v>18</v>
      </c>
      <c r="B391" s="1" t="s">
        <v>18</v>
      </c>
      <c r="C391" s="1" t="str">
        <f>IF(OR(Table2[[#This Row],[units]]="litre_(l)", Table2[[#This Row],[units]]="gallon_(gal)", Table2[[#This Row],[units]]="cubic_metre_(m3)"), "water", Table2[[#This Row],[type2]])</f>
        <v>water</v>
      </c>
      <c r="D391" s="1" t="s">
        <v>130</v>
      </c>
      <c r="E391" s="3">
        <v>44928</v>
      </c>
      <c r="F391" s="8">
        <f t="shared" si="12"/>
        <v>44958</v>
      </c>
      <c r="G391" s="3">
        <v>45050</v>
      </c>
      <c r="H391" s="8">
        <f t="shared" si="13"/>
        <v>45021</v>
      </c>
      <c r="I391" s="1">
        <v>0</v>
      </c>
      <c r="J39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91" s="4" t="str">
        <f>IF(Table2[[#This Row],[Type]]="electricity", "kilowatt_hour_(kwh)",
IF(Table2[[#This Row],[Type]]="water", "cubic_metre_(m3)",
IF(Table2[[#This Row],[Type]]="heat", "therm_(thm)",
"NA")))</f>
        <v>cubic_metre_(m3)</v>
      </c>
      <c r="L391" s="1" t="s">
        <v>133</v>
      </c>
      <c r="M391" s="10">
        <f>IF(Table2[[#This Row],[Type]]="electricity", Table2[[#This Row],[Quantity_correct]]/6.6667,
IF(Table2[[#This Row],[Type]]="water", Table2[[#This Row],[Quantity_correct]]/3.333,
IF(Table2[[#This Row],[Type]]="heat", Table2[[#This Row],[Quantity_correct]]/0.8333,
"NA")))</f>
        <v>0</v>
      </c>
      <c r="N391" s="1">
        <v>0</v>
      </c>
    </row>
    <row r="392" spans="1:14" ht="12.5" hidden="1" x14ac:dyDescent="0.25">
      <c r="A392" s="1" t="s">
        <v>18</v>
      </c>
      <c r="B392" s="1" t="s">
        <v>18</v>
      </c>
      <c r="C392" s="1" t="str">
        <f>IF(OR(Table2[[#This Row],[units]]="litre_(l)", Table2[[#This Row],[units]]="gallon_(gal)", Table2[[#This Row],[units]]="cubic_metre_(m3)"), "water", Table2[[#This Row],[type2]])</f>
        <v>water</v>
      </c>
      <c r="D392" s="1" t="s">
        <v>130</v>
      </c>
      <c r="E392" s="3">
        <v>44959</v>
      </c>
      <c r="F392" s="8">
        <f t="shared" si="12"/>
        <v>44959</v>
      </c>
      <c r="G392" s="3">
        <v>45081</v>
      </c>
      <c r="H392" s="8">
        <f t="shared" si="13"/>
        <v>45022</v>
      </c>
      <c r="I392" s="1">
        <v>264</v>
      </c>
      <c r="J39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264</v>
      </c>
      <c r="K392" s="4" t="str">
        <f>IF(Table2[[#This Row],[Type]]="electricity", "kilowatt_hour_(kwh)",
IF(Table2[[#This Row],[Type]]="water", "cubic_metre_(m3)",
IF(Table2[[#This Row],[Type]]="heat", "therm_(thm)",
"NA")))</f>
        <v>cubic_metre_(m3)</v>
      </c>
      <c r="L392" s="1" t="s">
        <v>133</v>
      </c>
      <c r="M392" s="10">
        <f>IF(Table2[[#This Row],[Type]]="electricity", Table2[[#This Row],[Quantity_correct]]/6.6667,
IF(Table2[[#This Row],[Type]]="water", Table2[[#This Row],[Quantity_correct]]/3.333,
IF(Table2[[#This Row],[Type]]="heat", Table2[[#This Row],[Quantity_correct]]/0.8333,
"NA")))</f>
        <v>79.207920792079207</v>
      </c>
      <c r="N392" s="1">
        <v>79.2</v>
      </c>
    </row>
    <row r="393" spans="1:14" ht="12.5" hidden="1" x14ac:dyDescent="0.25">
      <c r="A393" s="1" t="s">
        <v>18</v>
      </c>
      <c r="B393" s="1" t="s">
        <v>18</v>
      </c>
      <c r="C393" s="1" t="str">
        <f>IF(OR(Table2[[#This Row],[units]]="litre_(l)", Table2[[#This Row],[units]]="gallon_(gal)", Table2[[#This Row],[units]]="cubic_metre_(m3)"), "water", Table2[[#This Row],[type2]])</f>
        <v>water</v>
      </c>
      <c r="D393" s="1" t="s">
        <v>130</v>
      </c>
      <c r="E393" s="1" t="s">
        <v>194</v>
      </c>
      <c r="F393" s="8">
        <f t="shared" si="12"/>
        <v>45006</v>
      </c>
      <c r="G393" s="3">
        <v>45052</v>
      </c>
      <c r="H393" s="8">
        <f t="shared" si="13"/>
        <v>45082</v>
      </c>
      <c r="I393" s="1">
        <v>79</v>
      </c>
      <c r="J39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79</v>
      </c>
      <c r="K393" s="4" t="str">
        <f>IF(Table2[[#This Row],[Type]]="electricity", "kilowatt_hour_(kwh)",
IF(Table2[[#This Row],[Type]]="water", "cubic_metre_(m3)",
IF(Table2[[#This Row],[Type]]="heat", "therm_(thm)",
"NA")))</f>
        <v>cubic_metre_(m3)</v>
      </c>
      <c r="L393" s="1" t="s">
        <v>133</v>
      </c>
      <c r="M393" s="10">
        <f>IF(Table2[[#This Row],[Type]]="electricity", Table2[[#This Row],[Quantity_correct]]/6.6667,
IF(Table2[[#This Row],[Type]]="water", Table2[[#This Row],[Quantity_correct]]/3.333,
IF(Table2[[#This Row],[Type]]="heat", Table2[[#This Row],[Quantity_correct]]/0.8333,
"NA")))</f>
        <v>23.7023702370237</v>
      </c>
      <c r="N393" s="1">
        <v>23.7</v>
      </c>
    </row>
    <row r="394" spans="1:14" ht="12.5" hidden="1" x14ac:dyDescent="0.25">
      <c r="A394" s="1" t="s">
        <v>18</v>
      </c>
      <c r="B394" s="1" t="s">
        <v>18</v>
      </c>
      <c r="C394" s="1" t="str">
        <f>IF(OR(Table2[[#This Row],[units]]="litre_(l)", Table2[[#This Row],[units]]="gallon_(gal)", Table2[[#This Row],[units]]="cubic_metre_(m3)"), "water", Table2[[#This Row],[type2]])</f>
        <v>water</v>
      </c>
      <c r="D394" s="1" t="s">
        <v>130</v>
      </c>
      <c r="E394" s="3">
        <v>45081</v>
      </c>
      <c r="F394" s="8">
        <f t="shared" si="12"/>
        <v>45022</v>
      </c>
      <c r="G394" s="1" t="s">
        <v>73</v>
      </c>
      <c r="H394" s="8">
        <f t="shared" si="13"/>
        <v>45077</v>
      </c>
      <c r="I394" s="1">
        <v>255</v>
      </c>
      <c r="J39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255</v>
      </c>
      <c r="K394" s="4" t="str">
        <f>IF(Table2[[#This Row],[Type]]="electricity", "kilowatt_hour_(kwh)",
IF(Table2[[#This Row],[Type]]="water", "cubic_metre_(m3)",
IF(Table2[[#This Row],[Type]]="heat", "therm_(thm)",
"NA")))</f>
        <v>cubic_metre_(m3)</v>
      </c>
      <c r="L394" s="1" t="s">
        <v>133</v>
      </c>
      <c r="M394" s="10">
        <f>IF(Table2[[#This Row],[Type]]="electricity", Table2[[#This Row],[Quantity_correct]]/6.6667,
IF(Table2[[#This Row],[Type]]="water", Table2[[#This Row],[Quantity_correct]]/3.333,
IF(Table2[[#This Row],[Type]]="heat", Table2[[#This Row],[Quantity_correct]]/0.8333,
"NA")))</f>
        <v>76.507650765076505</v>
      </c>
      <c r="N394" s="1">
        <v>76.5</v>
      </c>
    </row>
    <row r="395" spans="1:14" ht="12.5" hidden="1" x14ac:dyDescent="0.25">
      <c r="A395" s="1" t="s">
        <v>18</v>
      </c>
      <c r="B395" s="1" t="s">
        <v>18</v>
      </c>
      <c r="C395" s="1" t="str">
        <f>IF(OR(Table2[[#This Row],[units]]="litre_(l)", Table2[[#This Row],[units]]="gallon_(gal)", Table2[[#This Row],[units]]="cubic_metre_(m3)"), "water", Table2[[#This Row],[type2]])</f>
        <v>water</v>
      </c>
      <c r="D395" s="1" t="s">
        <v>130</v>
      </c>
      <c r="E395" s="3">
        <v>45111</v>
      </c>
      <c r="F395" s="8">
        <f t="shared" si="12"/>
        <v>45023</v>
      </c>
      <c r="G395" s="3">
        <v>45052</v>
      </c>
      <c r="H395" s="8">
        <f t="shared" si="13"/>
        <v>45082</v>
      </c>
      <c r="I395" s="1">
        <v>59</v>
      </c>
      <c r="J39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59</v>
      </c>
      <c r="K395" s="4" t="str">
        <f>IF(Table2[[#This Row],[Type]]="electricity", "kilowatt_hour_(kwh)",
IF(Table2[[#This Row],[Type]]="water", "cubic_metre_(m3)",
IF(Table2[[#This Row],[Type]]="heat", "therm_(thm)",
"NA")))</f>
        <v>cubic_metre_(m3)</v>
      </c>
      <c r="L395" s="1" t="s">
        <v>133</v>
      </c>
      <c r="M395" s="10">
        <f>IF(Table2[[#This Row],[Type]]="electricity", Table2[[#This Row],[Quantity_correct]]/6.6667,
IF(Table2[[#This Row],[Type]]="water", Table2[[#This Row],[Quantity_correct]]/3.333,
IF(Table2[[#This Row],[Type]]="heat", Table2[[#This Row],[Quantity_correct]]/0.8333,
"NA")))</f>
        <v>17.7017701770177</v>
      </c>
      <c r="N395" s="1">
        <v>17.7</v>
      </c>
    </row>
    <row r="396" spans="1:14" ht="12.5" hidden="1" x14ac:dyDescent="0.25">
      <c r="A396" s="1" t="s">
        <v>18</v>
      </c>
      <c r="B396" s="1" t="s">
        <v>18</v>
      </c>
      <c r="C396" s="1" t="str">
        <f>IF(OR(Table2[[#This Row],[units]]="litre_(l)", Table2[[#This Row],[units]]="gallon_(gal)", Table2[[#This Row],[units]]="cubic_metre_(m3)"), "water", Table2[[#This Row],[type2]])</f>
        <v>water</v>
      </c>
      <c r="D396" s="1" t="s">
        <v>130</v>
      </c>
      <c r="E396" s="3">
        <v>44932</v>
      </c>
      <c r="F396" s="8">
        <f t="shared" si="12"/>
        <v>45078</v>
      </c>
      <c r="G396" s="3">
        <v>45146</v>
      </c>
      <c r="H396" s="8">
        <f t="shared" si="13"/>
        <v>45146</v>
      </c>
      <c r="I396" s="1">
        <v>0</v>
      </c>
      <c r="J39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0</v>
      </c>
      <c r="K396" s="4" t="str">
        <f>IF(Table2[[#This Row],[Type]]="electricity", "kilowatt_hour_(kwh)",
IF(Table2[[#This Row],[Type]]="water", "cubic_metre_(m3)",
IF(Table2[[#This Row],[Type]]="heat", "therm_(thm)",
"NA")))</f>
        <v>cubic_metre_(m3)</v>
      </c>
      <c r="L396" s="1" t="s">
        <v>133</v>
      </c>
      <c r="M396" s="10">
        <f>IF(Table2[[#This Row],[Type]]="electricity", Table2[[#This Row],[Quantity_correct]]/6.6667,
IF(Table2[[#This Row],[Type]]="water", Table2[[#This Row],[Quantity_correct]]/3.333,
IF(Table2[[#This Row],[Type]]="heat", Table2[[#This Row],[Quantity_correct]]/0.8333,
"NA")))</f>
        <v>0</v>
      </c>
      <c r="N396" s="1">
        <v>0</v>
      </c>
    </row>
    <row r="397" spans="1:14" ht="12.5" hidden="1" x14ac:dyDescent="0.25">
      <c r="A397" s="1" t="s">
        <v>18</v>
      </c>
      <c r="B397" s="1" t="s">
        <v>18</v>
      </c>
      <c r="C397" s="1" t="str">
        <f>IF(OR(Table2[[#This Row],[units]]="litre_(l)", Table2[[#This Row],[units]]="gallon_(gal)", Table2[[#This Row],[units]]="cubic_metre_(m3)"), "water", Table2[[#This Row],[type2]])</f>
        <v>water</v>
      </c>
      <c r="D397" s="1" t="s">
        <v>130</v>
      </c>
      <c r="E397" s="3">
        <v>45083</v>
      </c>
      <c r="F397" s="8">
        <f t="shared" si="12"/>
        <v>45083</v>
      </c>
      <c r="G397" s="3">
        <v>45207</v>
      </c>
      <c r="H397" s="8">
        <f t="shared" si="13"/>
        <v>45148</v>
      </c>
      <c r="I397" s="1">
        <v>356</v>
      </c>
      <c r="J39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356</v>
      </c>
      <c r="K397" s="4" t="str">
        <f>IF(Table2[[#This Row],[Type]]="electricity", "kilowatt_hour_(kwh)",
IF(Table2[[#This Row],[Type]]="water", "cubic_metre_(m3)",
IF(Table2[[#This Row],[Type]]="heat", "therm_(thm)",
"NA")))</f>
        <v>cubic_metre_(m3)</v>
      </c>
      <c r="L397" s="1" t="s">
        <v>133</v>
      </c>
      <c r="M397" s="10">
        <f>IF(Table2[[#This Row],[Type]]="electricity", Table2[[#This Row],[Quantity_correct]]/6.6667,
IF(Table2[[#This Row],[Type]]="water", Table2[[#This Row],[Quantity_correct]]/3.333,
IF(Table2[[#This Row],[Type]]="heat", Table2[[#This Row],[Quantity_correct]]/0.8333,
"NA")))</f>
        <v>106.8106810681068</v>
      </c>
      <c r="N397" s="1">
        <v>106.8</v>
      </c>
    </row>
    <row r="398" spans="1:14" ht="12.5" hidden="1" x14ac:dyDescent="0.25">
      <c r="A398" s="1" t="s">
        <v>18</v>
      </c>
      <c r="B398" s="1" t="s">
        <v>18</v>
      </c>
      <c r="C398" s="1" t="str">
        <f>IF(OR(Table2[[#This Row],[units]]="litre_(l)", Table2[[#This Row],[units]]="gallon_(gal)", Table2[[#This Row],[units]]="cubic_metre_(m3)"), "water", Table2[[#This Row],[type2]])</f>
        <v>water</v>
      </c>
      <c r="D398" s="1" t="s">
        <v>130</v>
      </c>
      <c r="E398" s="3">
        <v>45177</v>
      </c>
      <c r="F398" s="8">
        <f t="shared" si="12"/>
        <v>45147</v>
      </c>
      <c r="G398" s="3">
        <v>45026</v>
      </c>
      <c r="H398" s="8">
        <f t="shared" si="13"/>
        <v>45203</v>
      </c>
      <c r="I398" s="1">
        <v>260</v>
      </c>
      <c r="J39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260</v>
      </c>
      <c r="K398" s="4" t="str">
        <f>IF(Table2[[#This Row],[Type]]="electricity", "kilowatt_hour_(kwh)",
IF(Table2[[#This Row],[Type]]="water", "cubic_metre_(m3)",
IF(Table2[[#This Row],[Type]]="heat", "therm_(thm)",
"NA")))</f>
        <v>cubic_metre_(m3)</v>
      </c>
      <c r="L398" s="1" t="s">
        <v>133</v>
      </c>
      <c r="M398" s="10">
        <f>IF(Table2[[#This Row],[Type]]="electricity", Table2[[#This Row],[Quantity_correct]]/6.6667,
IF(Table2[[#This Row],[Type]]="water", Table2[[#This Row],[Quantity_correct]]/3.333,
IF(Table2[[#This Row],[Type]]="heat", Table2[[#This Row],[Quantity_correct]]/0.8333,
"NA")))</f>
        <v>78.007800780078</v>
      </c>
      <c r="N398" s="1">
        <v>78</v>
      </c>
    </row>
    <row r="399" spans="1:14" ht="12.5" hidden="1" x14ac:dyDescent="0.25">
      <c r="A399" s="1" t="s">
        <v>18</v>
      </c>
      <c r="B399" s="1" t="s">
        <v>18</v>
      </c>
      <c r="C399" s="1" t="str">
        <f>IF(OR(Table2[[#This Row],[units]]="litre_(l)", Table2[[#This Row],[units]]="gallon_(gal)", Table2[[#This Row],[units]]="cubic_metre_(m3)"), "water", Table2[[#This Row],[type2]])</f>
        <v>water</v>
      </c>
      <c r="D399" s="1" t="s">
        <v>130</v>
      </c>
      <c r="E399" s="3">
        <v>45238</v>
      </c>
      <c r="F399" s="8">
        <f t="shared" si="12"/>
        <v>45149</v>
      </c>
      <c r="G399" s="3">
        <v>45056</v>
      </c>
      <c r="H399" s="8">
        <f t="shared" si="13"/>
        <v>45204</v>
      </c>
      <c r="I399" s="1">
        <v>89</v>
      </c>
      <c r="J39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89</v>
      </c>
      <c r="K399" s="4" t="str">
        <f>IF(Table2[[#This Row],[Type]]="electricity", "kilowatt_hour_(kwh)",
IF(Table2[[#This Row],[Type]]="water", "cubic_metre_(m3)",
IF(Table2[[#This Row],[Type]]="heat", "therm_(thm)",
"NA")))</f>
        <v>cubic_metre_(m3)</v>
      </c>
      <c r="L399" s="1" t="s">
        <v>133</v>
      </c>
      <c r="M399" s="10">
        <f>IF(Table2[[#This Row],[Type]]="electricity", Table2[[#This Row],[Quantity_correct]]/6.6667,
IF(Table2[[#This Row],[Type]]="water", Table2[[#This Row],[Quantity_correct]]/3.333,
IF(Table2[[#This Row],[Type]]="heat", Table2[[#This Row],[Quantity_correct]]/0.8333,
"NA")))</f>
        <v>26.702670267026701</v>
      </c>
      <c r="N399" s="1">
        <v>26.7</v>
      </c>
    </row>
    <row r="400" spans="1:14" ht="12.5" hidden="1" x14ac:dyDescent="0.25">
      <c r="A400" s="1" t="s">
        <v>18</v>
      </c>
      <c r="B400" s="1" t="s">
        <v>18</v>
      </c>
      <c r="C400" s="1" t="str">
        <f>IF(OR(Table2[[#This Row],[units]]="litre_(l)", Table2[[#This Row],[units]]="gallon_(gal)", Table2[[#This Row],[units]]="cubic_metre_(m3)"), "water", Table2[[#This Row],[type2]])</f>
        <v>water</v>
      </c>
      <c r="D400" s="1" t="s">
        <v>130</v>
      </c>
      <c r="E400" s="3">
        <v>45087</v>
      </c>
      <c r="F400" s="8">
        <f t="shared" si="12"/>
        <v>45205</v>
      </c>
      <c r="G400" s="1" t="s">
        <v>210</v>
      </c>
      <c r="H400" s="8">
        <f t="shared" si="13"/>
        <v>45278</v>
      </c>
      <c r="I400" s="1">
        <v>199</v>
      </c>
      <c r="J40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199</v>
      </c>
      <c r="K400" s="4" t="str">
        <f>IF(Table2[[#This Row],[Type]]="electricity", "kilowatt_hour_(kwh)",
IF(Table2[[#This Row],[Type]]="water", "cubic_metre_(m3)",
IF(Table2[[#This Row],[Type]]="heat", "therm_(thm)",
"NA")))</f>
        <v>cubic_metre_(m3)</v>
      </c>
      <c r="L400" s="1" t="s">
        <v>133</v>
      </c>
      <c r="M400" s="10">
        <f>IF(Table2[[#This Row],[Type]]="electricity", Table2[[#This Row],[Quantity_correct]]/6.6667,
IF(Table2[[#This Row],[Type]]="water", Table2[[#This Row],[Quantity_correct]]/3.333,
IF(Table2[[#This Row],[Type]]="heat", Table2[[#This Row],[Quantity_correct]]/0.8333,
"NA")))</f>
        <v>59.705970597059704</v>
      </c>
      <c r="N400" s="1">
        <v>59.7</v>
      </c>
    </row>
    <row r="401" spans="1:14" ht="12.5" hidden="1" x14ac:dyDescent="0.25">
      <c r="A401" s="1" t="s">
        <v>19</v>
      </c>
      <c r="B401" s="1" t="s">
        <v>19</v>
      </c>
      <c r="C401" s="1" t="str">
        <f>IF(OR(Table2[[#This Row],[units]]="litre_(l)", Table2[[#This Row],[units]]="gallon_(gal)", Table2[[#This Row],[units]]="cubic_metre_(m3)"), "water", Table2[[#This Row],[type2]])</f>
        <v>electricity</v>
      </c>
      <c r="D401" s="1" t="s">
        <v>128</v>
      </c>
      <c r="E401" s="3">
        <v>44927</v>
      </c>
      <c r="F401" s="8">
        <f t="shared" si="12"/>
        <v>44927</v>
      </c>
      <c r="G401" s="1" t="s">
        <v>68</v>
      </c>
      <c r="H401" s="8">
        <f t="shared" si="13"/>
        <v>44957</v>
      </c>
      <c r="I401" s="4">
        <v>3011</v>
      </c>
      <c r="J40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3011</v>
      </c>
      <c r="K401" s="4" t="str">
        <f>IF(Table2[[#This Row],[Type]]="electricity", "kilowatt_hour_(kwh)",
IF(Table2[[#This Row],[Type]]="water", "cubic_metre_(m3)",
IF(Table2[[#This Row],[Type]]="heat", "therm_(thm)",
"NA")))</f>
        <v>kilowatt_hour_(kwh)</v>
      </c>
      <c r="L401" s="1" t="s">
        <v>129</v>
      </c>
      <c r="M401" s="10">
        <f>IF(Table2[[#This Row],[Type]]="electricity", Table2[[#This Row],[Quantity_correct]]/6.6667,
IF(Table2[[#This Row],[Type]]="water", Table2[[#This Row],[Quantity_correct]]/3.333,
IF(Table2[[#This Row],[Type]]="heat", Table2[[#This Row],[Quantity_correct]]/0.8333,
"NA")))</f>
        <v>451.64774176129123</v>
      </c>
      <c r="N401" s="1">
        <v>0</v>
      </c>
    </row>
    <row r="402" spans="1:14" ht="12.5" hidden="1" x14ac:dyDescent="0.25">
      <c r="A402" s="1" t="s">
        <v>19</v>
      </c>
      <c r="B402" s="1" t="s">
        <v>19</v>
      </c>
      <c r="C402" s="1" t="str">
        <f>IF(OR(Table2[[#This Row],[units]]="litre_(l)", Table2[[#This Row],[units]]="gallon_(gal)", Table2[[#This Row],[units]]="cubic_metre_(m3)"), "water", Table2[[#This Row],[type2]])</f>
        <v>electricity</v>
      </c>
      <c r="D402" s="1" t="s">
        <v>128</v>
      </c>
      <c r="E402" s="3">
        <v>44928</v>
      </c>
      <c r="F402" s="8">
        <f t="shared" si="12"/>
        <v>44958</v>
      </c>
      <c r="G402" s="1" t="s">
        <v>65</v>
      </c>
      <c r="H402" s="8">
        <f t="shared" si="13"/>
        <v>44985</v>
      </c>
      <c r="I402" s="4">
        <v>2706</v>
      </c>
      <c r="J40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2706</v>
      </c>
      <c r="K402" s="4" t="str">
        <f>IF(Table2[[#This Row],[Type]]="electricity", "kilowatt_hour_(kwh)",
IF(Table2[[#This Row],[Type]]="water", "cubic_metre_(m3)",
IF(Table2[[#This Row],[Type]]="heat", "therm_(thm)",
"NA")))</f>
        <v>kilowatt_hour_(kwh)</v>
      </c>
      <c r="L402" s="1" t="s">
        <v>129</v>
      </c>
      <c r="M402" s="10">
        <f>IF(Table2[[#This Row],[Type]]="electricity", Table2[[#This Row],[Quantity_correct]]/6.6667,
IF(Table2[[#This Row],[Type]]="water", Table2[[#This Row],[Quantity_correct]]/3.333,
IF(Table2[[#This Row],[Type]]="heat", Table2[[#This Row],[Quantity_correct]]/0.8333,
"NA")))</f>
        <v>405.89797051014745</v>
      </c>
      <c r="N402" s="1">
        <v>0</v>
      </c>
    </row>
    <row r="403" spans="1:14" ht="12.5" hidden="1" x14ac:dyDescent="0.25">
      <c r="A403" s="1" t="s">
        <v>19</v>
      </c>
      <c r="B403" s="1" t="s">
        <v>19</v>
      </c>
      <c r="C403" s="1" t="str">
        <f>IF(OR(Table2[[#This Row],[units]]="litre_(l)", Table2[[#This Row],[units]]="gallon_(gal)", Table2[[#This Row],[units]]="cubic_metre_(m3)"), "water", Table2[[#This Row],[type2]])</f>
        <v>electricity</v>
      </c>
      <c r="D403" s="1" t="s">
        <v>128</v>
      </c>
      <c r="E403" s="3">
        <v>44929</v>
      </c>
      <c r="F403" s="8">
        <f t="shared" si="12"/>
        <v>44986</v>
      </c>
      <c r="G403" s="1" t="s">
        <v>74</v>
      </c>
      <c r="H403" s="8">
        <f t="shared" si="13"/>
        <v>45016</v>
      </c>
      <c r="I403" s="4">
        <v>2549</v>
      </c>
      <c r="J40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2549</v>
      </c>
      <c r="K403" s="4" t="str">
        <f>IF(Table2[[#This Row],[Type]]="electricity", "kilowatt_hour_(kwh)",
IF(Table2[[#This Row],[Type]]="water", "cubic_metre_(m3)",
IF(Table2[[#This Row],[Type]]="heat", "therm_(thm)",
"NA")))</f>
        <v>kilowatt_hour_(kwh)</v>
      </c>
      <c r="L403" s="1" t="s">
        <v>129</v>
      </c>
      <c r="M403" s="10">
        <f>IF(Table2[[#This Row],[Type]]="electricity", Table2[[#This Row],[Quantity_correct]]/6.6667,
IF(Table2[[#This Row],[Type]]="water", Table2[[#This Row],[Quantity_correct]]/3.333,
IF(Table2[[#This Row],[Type]]="heat", Table2[[#This Row],[Quantity_correct]]/0.8333,
"NA")))</f>
        <v>382.34808825955872</v>
      </c>
      <c r="N403" s="1">
        <v>0</v>
      </c>
    </row>
    <row r="404" spans="1:14" ht="12.5" hidden="1" x14ac:dyDescent="0.25">
      <c r="A404" s="1" t="s">
        <v>19</v>
      </c>
      <c r="B404" s="1" t="s">
        <v>19</v>
      </c>
      <c r="C404" s="1" t="str">
        <f>IF(OR(Table2[[#This Row],[units]]="litre_(l)", Table2[[#This Row],[units]]="gallon_(gal)", Table2[[#This Row],[units]]="cubic_metre_(m3)"), "water", Table2[[#This Row],[type2]])</f>
        <v>electricity</v>
      </c>
      <c r="D404" s="1" t="s">
        <v>128</v>
      </c>
      <c r="E404" s="3">
        <v>44930</v>
      </c>
      <c r="F404" s="8">
        <f t="shared" si="12"/>
        <v>45017</v>
      </c>
      <c r="G404" s="1" t="s">
        <v>103</v>
      </c>
      <c r="H404" s="8">
        <f t="shared" si="13"/>
        <v>45046</v>
      </c>
      <c r="I404" s="4">
        <v>2418</v>
      </c>
      <c r="J40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2418</v>
      </c>
      <c r="K404" s="4" t="str">
        <f>IF(Table2[[#This Row],[Type]]="electricity", "kilowatt_hour_(kwh)",
IF(Table2[[#This Row],[Type]]="water", "cubic_metre_(m3)",
IF(Table2[[#This Row],[Type]]="heat", "therm_(thm)",
"NA")))</f>
        <v>kilowatt_hour_(kwh)</v>
      </c>
      <c r="L404" s="1" t="s">
        <v>129</v>
      </c>
      <c r="M404" s="10">
        <f>IF(Table2[[#This Row],[Type]]="electricity", Table2[[#This Row],[Quantity_correct]]/6.6667,
IF(Table2[[#This Row],[Type]]="water", Table2[[#This Row],[Quantity_correct]]/3.333,
IF(Table2[[#This Row],[Type]]="heat", Table2[[#This Row],[Quantity_correct]]/0.8333,
"NA")))</f>
        <v>362.69818650906745</v>
      </c>
      <c r="N404" s="1">
        <v>0</v>
      </c>
    </row>
    <row r="405" spans="1:14" ht="12.5" hidden="1" x14ac:dyDescent="0.25">
      <c r="A405" s="1" t="s">
        <v>19</v>
      </c>
      <c r="B405" s="1" t="s">
        <v>19</v>
      </c>
      <c r="C405" s="1" t="str">
        <f>IF(OR(Table2[[#This Row],[units]]="litre_(l)", Table2[[#This Row],[units]]="gallon_(gal)", Table2[[#This Row],[units]]="cubic_metre_(m3)"), "water", Table2[[#This Row],[type2]])</f>
        <v>electricity</v>
      </c>
      <c r="D405" s="1" t="s">
        <v>128</v>
      </c>
      <c r="E405" s="3">
        <v>44931</v>
      </c>
      <c r="F405" s="8">
        <f t="shared" si="12"/>
        <v>45047</v>
      </c>
      <c r="G405" s="1" t="s">
        <v>73</v>
      </c>
      <c r="H405" s="8">
        <f t="shared" si="13"/>
        <v>45077</v>
      </c>
      <c r="I405" s="4">
        <v>2569</v>
      </c>
      <c r="J40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2569</v>
      </c>
      <c r="K405" s="4" t="str">
        <f>IF(Table2[[#This Row],[Type]]="electricity", "kilowatt_hour_(kwh)",
IF(Table2[[#This Row],[Type]]="water", "cubic_metre_(m3)",
IF(Table2[[#This Row],[Type]]="heat", "therm_(thm)",
"NA")))</f>
        <v>kilowatt_hour_(kwh)</v>
      </c>
      <c r="L405" s="1" t="s">
        <v>129</v>
      </c>
      <c r="M405" s="10">
        <f>IF(Table2[[#This Row],[Type]]="electricity", Table2[[#This Row],[Quantity_correct]]/6.6667,
IF(Table2[[#This Row],[Type]]="water", Table2[[#This Row],[Quantity_correct]]/3.333,
IF(Table2[[#This Row],[Type]]="heat", Table2[[#This Row],[Quantity_correct]]/0.8333,
"NA")))</f>
        <v>385.34807325963374</v>
      </c>
      <c r="N405" s="1">
        <v>0</v>
      </c>
    </row>
    <row r="406" spans="1:14" ht="12.5" hidden="1" x14ac:dyDescent="0.25">
      <c r="A406" s="1" t="s">
        <v>19</v>
      </c>
      <c r="B406" s="1" t="s">
        <v>19</v>
      </c>
      <c r="C406" s="1" t="str">
        <f>IF(OR(Table2[[#This Row],[units]]="litre_(l)", Table2[[#This Row],[units]]="gallon_(gal)", Table2[[#This Row],[units]]="cubic_metre_(m3)"), "water", Table2[[#This Row],[type2]])</f>
        <v>electricity</v>
      </c>
      <c r="D406" s="1" t="s">
        <v>128</v>
      </c>
      <c r="E406" s="3">
        <v>44932</v>
      </c>
      <c r="F406" s="8">
        <f t="shared" si="12"/>
        <v>45078</v>
      </c>
      <c r="G406" s="1" t="s">
        <v>69</v>
      </c>
      <c r="H406" s="8">
        <f t="shared" si="13"/>
        <v>45107</v>
      </c>
      <c r="I406" s="4">
        <v>3006</v>
      </c>
      <c r="J40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3006</v>
      </c>
      <c r="K406" s="4" t="str">
        <f>IF(Table2[[#This Row],[Type]]="electricity", "kilowatt_hour_(kwh)",
IF(Table2[[#This Row],[Type]]="water", "cubic_metre_(m3)",
IF(Table2[[#This Row],[Type]]="heat", "therm_(thm)",
"NA")))</f>
        <v>kilowatt_hour_(kwh)</v>
      </c>
      <c r="L406" s="1" t="s">
        <v>129</v>
      </c>
      <c r="M406" s="10">
        <f>IF(Table2[[#This Row],[Type]]="electricity", Table2[[#This Row],[Quantity_correct]]/6.6667,
IF(Table2[[#This Row],[Type]]="water", Table2[[#This Row],[Quantity_correct]]/3.333,
IF(Table2[[#This Row],[Type]]="heat", Table2[[#This Row],[Quantity_correct]]/0.8333,
"NA")))</f>
        <v>450.89774551127249</v>
      </c>
      <c r="N406" s="1">
        <v>0</v>
      </c>
    </row>
    <row r="407" spans="1:14" ht="12.5" hidden="1" x14ac:dyDescent="0.25">
      <c r="A407" s="1" t="s">
        <v>19</v>
      </c>
      <c r="B407" s="1" t="s">
        <v>19</v>
      </c>
      <c r="C407" s="1" t="str">
        <f>IF(OR(Table2[[#This Row],[units]]="litre_(l)", Table2[[#This Row],[units]]="gallon_(gal)", Table2[[#This Row],[units]]="cubic_metre_(m3)"), "water", Table2[[#This Row],[type2]])</f>
        <v>electricity</v>
      </c>
      <c r="D407" s="1" t="s">
        <v>128</v>
      </c>
      <c r="E407" s="3">
        <v>44933</v>
      </c>
      <c r="F407" s="8">
        <f t="shared" si="12"/>
        <v>45108</v>
      </c>
      <c r="G407" s="1" t="s">
        <v>71</v>
      </c>
      <c r="H407" s="8">
        <f t="shared" si="13"/>
        <v>45138</v>
      </c>
      <c r="I407" s="4">
        <v>2882</v>
      </c>
      <c r="J40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2882</v>
      </c>
      <c r="K407" s="4" t="str">
        <f>IF(Table2[[#This Row],[Type]]="electricity", "kilowatt_hour_(kwh)",
IF(Table2[[#This Row],[Type]]="water", "cubic_metre_(m3)",
IF(Table2[[#This Row],[Type]]="heat", "therm_(thm)",
"NA")))</f>
        <v>kilowatt_hour_(kwh)</v>
      </c>
      <c r="L407" s="1" t="s">
        <v>129</v>
      </c>
      <c r="M407" s="10">
        <f>IF(Table2[[#This Row],[Type]]="electricity", Table2[[#This Row],[Quantity_correct]]/6.6667,
IF(Table2[[#This Row],[Type]]="water", Table2[[#This Row],[Quantity_correct]]/3.333,
IF(Table2[[#This Row],[Type]]="heat", Table2[[#This Row],[Quantity_correct]]/0.8333,
"NA")))</f>
        <v>432.29783851080748</v>
      </c>
      <c r="N407" s="1">
        <v>0</v>
      </c>
    </row>
    <row r="408" spans="1:14" ht="12.5" hidden="1" x14ac:dyDescent="0.25">
      <c r="A408" s="1" t="s">
        <v>19</v>
      </c>
      <c r="B408" s="1" t="s">
        <v>19</v>
      </c>
      <c r="C408" s="1" t="str">
        <f>IF(OR(Table2[[#This Row],[units]]="litre_(l)", Table2[[#This Row],[units]]="gallon_(gal)", Table2[[#This Row],[units]]="cubic_metre_(m3)"), "water", Table2[[#This Row],[type2]])</f>
        <v>electricity</v>
      </c>
      <c r="D408" s="1" t="s">
        <v>128</v>
      </c>
      <c r="E408" s="3">
        <v>44934</v>
      </c>
      <c r="F408" s="8">
        <f t="shared" si="12"/>
        <v>45139</v>
      </c>
      <c r="G408" s="1" t="s">
        <v>72</v>
      </c>
      <c r="H408" s="8">
        <f t="shared" si="13"/>
        <v>45169</v>
      </c>
      <c r="I408" s="4">
        <v>3111</v>
      </c>
      <c r="J40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3111</v>
      </c>
      <c r="K408" s="4" t="str">
        <f>IF(Table2[[#This Row],[Type]]="electricity", "kilowatt_hour_(kwh)",
IF(Table2[[#This Row],[Type]]="water", "cubic_metre_(m3)",
IF(Table2[[#This Row],[Type]]="heat", "therm_(thm)",
"NA")))</f>
        <v>kilowatt_hour_(kwh)</v>
      </c>
      <c r="L408" s="1" t="s">
        <v>129</v>
      </c>
      <c r="M408" s="10">
        <f>IF(Table2[[#This Row],[Type]]="electricity", Table2[[#This Row],[Quantity_correct]]/6.6667,
IF(Table2[[#This Row],[Type]]="water", Table2[[#This Row],[Quantity_correct]]/3.333,
IF(Table2[[#This Row],[Type]]="heat", Table2[[#This Row],[Quantity_correct]]/0.8333,
"NA")))</f>
        <v>466.64766676166624</v>
      </c>
      <c r="N408" s="1">
        <v>0</v>
      </c>
    </row>
    <row r="409" spans="1:14" ht="12.5" hidden="1" x14ac:dyDescent="0.25">
      <c r="A409" s="1" t="s">
        <v>19</v>
      </c>
      <c r="B409" s="1" t="s">
        <v>19</v>
      </c>
      <c r="C409" s="1" t="str">
        <f>IF(OR(Table2[[#This Row],[units]]="litre_(l)", Table2[[#This Row],[units]]="gallon_(gal)", Table2[[#This Row],[units]]="cubic_metre_(m3)"), "water", Table2[[#This Row],[type2]])</f>
        <v>electricity</v>
      </c>
      <c r="D409" s="1" t="s">
        <v>128</v>
      </c>
      <c r="E409" s="3">
        <v>44935</v>
      </c>
      <c r="F409" s="8">
        <f t="shared" si="12"/>
        <v>45170</v>
      </c>
      <c r="G409" s="1" t="s">
        <v>67</v>
      </c>
      <c r="H409" s="8">
        <f t="shared" si="13"/>
        <v>45199</v>
      </c>
      <c r="I409" s="4">
        <v>2983</v>
      </c>
      <c r="J40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2983</v>
      </c>
      <c r="K409" s="4" t="str">
        <f>IF(Table2[[#This Row],[Type]]="electricity", "kilowatt_hour_(kwh)",
IF(Table2[[#This Row],[Type]]="water", "cubic_metre_(m3)",
IF(Table2[[#This Row],[Type]]="heat", "therm_(thm)",
"NA")))</f>
        <v>kilowatt_hour_(kwh)</v>
      </c>
      <c r="L409" s="1" t="s">
        <v>129</v>
      </c>
      <c r="M409" s="10">
        <f>IF(Table2[[#This Row],[Type]]="electricity", Table2[[#This Row],[Quantity_correct]]/6.6667,
IF(Table2[[#This Row],[Type]]="water", Table2[[#This Row],[Quantity_correct]]/3.333,
IF(Table2[[#This Row],[Type]]="heat", Table2[[#This Row],[Quantity_correct]]/0.8333,
"NA")))</f>
        <v>447.4477627611862</v>
      </c>
      <c r="N409" s="1">
        <v>0</v>
      </c>
    </row>
    <row r="410" spans="1:14" ht="12.5" hidden="1" x14ac:dyDescent="0.25">
      <c r="A410" s="1" t="s">
        <v>19</v>
      </c>
      <c r="B410" s="1" t="s">
        <v>19</v>
      </c>
      <c r="C410" s="1" t="str">
        <f>IF(OR(Table2[[#This Row],[units]]="litre_(l)", Table2[[#This Row],[units]]="gallon_(gal)", Table2[[#This Row],[units]]="cubic_metre_(m3)"), "water", Table2[[#This Row],[type2]])</f>
        <v>electricity</v>
      </c>
      <c r="D410" s="1" t="s">
        <v>128</v>
      </c>
      <c r="E410" s="3">
        <v>44936</v>
      </c>
      <c r="F410" s="8">
        <f t="shared" si="12"/>
        <v>45200</v>
      </c>
      <c r="G410" s="1" t="s">
        <v>75</v>
      </c>
      <c r="H410" s="8">
        <f t="shared" si="13"/>
        <v>45230</v>
      </c>
      <c r="I410" s="4">
        <v>3500</v>
      </c>
      <c r="J41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3500</v>
      </c>
      <c r="K410" s="4" t="str">
        <f>IF(Table2[[#This Row],[Type]]="electricity", "kilowatt_hour_(kwh)",
IF(Table2[[#This Row],[Type]]="water", "cubic_metre_(m3)",
IF(Table2[[#This Row],[Type]]="heat", "therm_(thm)",
"NA")))</f>
        <v>kilowatt_hour_(kwh)</v>
      </c>
      <c r="L410" s="1" t="s">
        <v>129</v>
      </c>
      <c r="M410" s="10">
        <f>IF(Table2[[#This Row],[Type]]="electricity", Table2[[#This Row],[Quantity_correct]]/6.6667,
IF(Table2[[#This Row],[Type]]="water", Table2[[#This Row],[Quantity_correct]]/3.333,
IF(Table2[[#This Row],[Type]]="heat", Table2[[#This Row],[Quantity_correct]]/0.8333,
"NA")))</f>
        <v>524.99737501312495</v>
      </c>
      <c r="N410" s="1">
        <v>0</v>
      </c>
    </row>
    <row r="411" spans="1:14" ht="12.5" hidden="1" x14ac:dyDescent="0.25">
      <c r="A411" s="1" t="s">
        <v>19</v>
      </c>
      <c r="B411" s="1" t="s">
        <v>19</v>
      </c>
      <c r="C411" s="1" t="str">
        <f>IF(OR(Table2[[#This Row],[units]]="litre_(l)", Table2[[#This Row],[units]]="gallon_(gal)", Table2[[#This Row],[units]]="cubic_metre_(m3)"), "water", Table2[[#This Row],[type2]])</f>
        <v>electricity</v>
      </c>
      <c r="D411" s="1" t="s">
        <v>128</v>
      </c>
      <c r="E411" s="3">
        <v>44937</v>
      </c>
      <c r="F411" s="8">
        <f t="shared" si="12"/>
        <v>45231</v>
      </c>
      <c r="G411" s="1" t="s">
        <v>56</v>
      </c>
      <c r="H411" s="8">
        <f t="shared" si="13"/>
        <v>45260</v>
      </c>
      <c r="I411" s="4">
        <v>3100</v>
      </c>
      <c r="J41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3100</v>
      </c>
      <c r="K411" s="4" t="str">
        <f>IF(Table2[[#This Row],[Type]]="electricity", "kilowatt_hour_(kwh)",
IF(Table2[[#This Row],[Type]]="water", "cubic_metre_(m3)",
IF(Table2[[#This Row],[Type]]="heat", "therm_(thm)",
"NA")))</f>
        <v>kilowatt_hour_(kwh)</v>
      </c>
      <c r="L411" s="1" t="s">
        <v>129</v>
      </c>
      <c r="M411" s="10">
        <f>IF(Table2[[#This Row],[Type]]="electricity", Table2[[#This Row],[Quantity_correct]]/6.6667,
IF(Table2[[#This Row],[Type]]="water", Table2[[#This Row],[Quantity_correct]]/3.333,
IF(Table2[[#This Row],[Type]]="heat", Table2[[#This Row],[Quantity_correct]]/0.8333,
"NA")))</f>
        <v>464.99767501162495</v>
      </c>
      <c r="N411" s="1">
        <v>0</v>
      </c>
    </row>
    <row r="412" spans="1:14" ht="12.5" hidden="1" x14ac:dyDescent="0.25">
      <c r="A412" s="1" t="s">
        <v>19</v>
      </c>
      <c r="B412" s="1" t="s">
        <v>19</v>
      </c>
      <c r="C412" s="1" t="str">
        <f>IF(OR(Table2[[#This Row],[units]]="litre_(l)", Table2[[#This Row],[units]]="gallon_(gal)", Table2[[#This Row],[units]]="cubic_metre_(m3)"), "water", Table2[[#This Row],[type2]])</f>
        <v>electricity</v>
      </c>
      <c r="D412" s="1" t="s">
        <v>128</v>
      </c>
      <c r="E412" s="3">
        <v>44938</v>
      </c>
      <c r="F412" s="8">
        <f t="shared" si="12"/>
        <v>45261</v>
      </c>
      <c r="G412" s="1" t="s">
        <v>45</v>
      </c>
      <c r="H412" s="8">
        <f t="shared" si="13"/>
        <v>45291</v>
      </c>
      <c r="I412" s="4">
        <v>2929</v>
      </c>
      <c r="J41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2929</v>
      </c>
      <c r="K412" s="4" t="str">
        <f>IF(Table2[[#This Row],[Type]]="electricity", "kilowatt_hour_(kwh)",
IF(Table2[[#This Row],[Type]]="water", "cubic_metre_(m3)",
IF(Table2[[#This Row],[Type]]="heat", "therm_(thm)",
"NA")))</f>
        <v>kilowatt_hour_(kwh)</v>
      </c>
      <c r="L412" s="1" t="s">
        <v>129</v>
      </c>
      <c r="M412" s="10">
        <f>IF(Table2[[#This Row],[Type]]="electricity", Table2[[#This Row],[Quantity_correct]]/6.6667,
IF(Table2[[#This Row],[Type]]="water", Table2[[#This Row],[Quantity_correct]]/3.333,
IF(Table2[[#This Row],[Type]]="heat", Table2[[#This Row],[Quantity_correct]]/0.8333,
"NA")))</f>
        <v>439.34780326098371</v>
      </c>
      <c r="N412" s="1">
        <v>0</v>
      </c>
    </row>
    <row r="413" spans="1:14" ht="12.5" x14ac:dyDescent="0.25">
      <c r="A413" s="1" t="s">
        <v>19</v>
      </c>
      <c r="B413" s="1" t="s">
        <v>19</v>
      </c>
      <c r="C413" s="1" t="str">
        <f>IF(OR(Table2[[#This Row],[units]]="litre_(l)", Table2[[#This Row],[units]]="gallon_(gal)", Table2[[#This Row],[units]]="cubic_metre_(m3)"), "water", Table2[[#This Row],[type2]])</f>
        <v>heat</v>
      </c>
      <c r="D413" s="1" t="s">
        <v>140</v>
      </c>
      <c r="E413" s="3">
        <v>44927</v>
      </c>
      <c r="F413" s="8">
        <f t="shared" si="12"/>
        <v>44927</v>
      </c>
      <c r="G413" s="1" t="s">
        <v>68</v>
      </c>
      <c r="H413" s="8">
        <f t="shared" si="13"/>
        <v>44957</v>
      </c>
      <c r="I413" s="1">
        <v>1.74</v>
      </c>
      <c r="J41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913.7088</v>
      </c>
      <c r="K413" s="4" t="str">
        <f>IF(Table2[[#This Row],[Type]]="electricity", "kilowatt_hour_(kwh)",
IF(Table2[[#This Row],[Type]]="water", "cubic_metre_(m3)",
IF(Table2[[#This Row],[Type]]="heat", "therm_(thm)",
"NA")))</f>
        <v>therm_(thm)</v>
      </c>
      <c r="L413" s="1" t="s">
        <v>223</v>
      </c>
      <c r="M413" s="10">
        <f>IF(Table2[[#This Row],[Type]]="electricity", Table2[[#This Row],[Quantity_correct]]/6.6667,
IF(Table2[[#This Row],[Type]]="water", Table2[[#This Row],[Quantity_correct]]/3.333,
IF(Table2[[#This Row],[Type]]="heat", Table2[[#This Row],[Quantity_correct]]/0.8333,
"NA")))</f>
        <v>1096.4944197767911</v>
      </c>
      <c r="N413" s="1">
        <v>2.0880000000000001</v>
      </c>
    </row>
    <row r="414" spans="1:14" ht="12.5" x14ac:dyDescent="0.25">
      <c r="A414" s="1" t="s">
        <v>19</v>
      </c>
      <c r="B414" s="1" t="s">
        <v>19</v>
      </c>
      <c r="C414" s="1" t="str">
        <f>IF(OR(Table2[[#This Row],[units]]="litre_(l)", Table2[[#This Row],[units]]="gallon_(gal)", Table2[[#This Row],[units]]="cubic_metre_(m3)"), "water", Table2[[#This Row],[type2]])</f>
        <v>heat</v>
      </c>
      <c r="D414" s="1" t="s">
        <v>140</v>
      </c>
      <c r="E414" s="3">
        <v>44928</v>
      </c>
      <c r="F414" s="8">
        <f t="shared" si="12"/>
        <v>44958</v>
      </c>
      <c r="G414" s="1" t="s">
        <v>65</v>
      </c>
      <c r="H414" s="8">
        <f t="shared" si="13"/>
        <v>44985</v>
      </c>
      <c r="I414" s="1">
        <v>1.79</v>
      </c>
      <c r="J41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939.96480000000008</v>
      </c>
      <c r="K414" s="4" t="str">
        <f>IF(Table2[[#This Row],[Type]]="electricity", "kilowatt_hour_(kwh)",
IF(Table2[[#This Row],[Type]]="water", "cubic_metre_(m3)",
IF(Table2[[#This Row],[Type]]="heat", "therm_(thm)",
"NA")))</f>
        <v>therm_(thm)</v>
      </c>
      <c r="L414" s="1" t="s">
        <v>223</v>
      </c>
      <c r="M414" s="10">
        <f>IF(Table2[[#This Row],[Type]]="electricity", Table2[[#This Row],[Quantity_correct]]/6.6667,
IF(Table2[[#This Row],[Type]]="water", Table2[[#This Row],[Quantity_correct]]/3.333,
IF(Table2[[#This Row],[Type]]="heat", Table2[[#This Row],[Quantity_correct]]/0.8333,
"NA")))</f>
        <v>1128.0028801152046</v>
      </c>
      <c r="N414" s="1">
        <v>2.1480000000000001</v>
      </c>
    </row>
    <row r="415" spans="1:14" ht="12.5" x14ac:dyDescent="0.25">
      <c r="A415" s="1" t="s">
        <v>19</v>
      </c>
      <c r="B415" s="1" t="s">
        <v>19</v>
      </c>
      <c r="C415" s="1" t="str">
        <f>IF(OR(Table2[[#This Row],[units]]="litre_(l)", Table2[[#This Row],[units]]="gallon_(gal)", Table2[[#This Row],[units]]="cubic_metre_(m3)"), "water", Table2[[#This Row],[type2]])</f>
        <v>heat</v>
      </c>
      <c r="D415" s="1" t="s">
        <v>140</v>
      </c>
      <c r="E415" s="3">
        <v>44929</v>
      </c>
      <c r="F415" s="8">
        <f t="shared" si="12"/>
        <v>44986</v>
      </c>
      <c r="G415" s="1" t="s">
        <v>74</v>
      </c>
      <c r="H415" s="8">
        <f t="shared" si="13"/>
        <v>45016</v>
      </c>
      <c r="I415" s="1">
        <v>0.7</v>
      </c>
      <c r="J41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367.584</v>
      </c>
      <c r="K415" s="4" t="str">
        <f>IF(Table2[[#This Row],[Type]]="electricity", "kilowatt_hour_(kwh)",
IF(Table2[[#This Row],[Type]]="water", "cubic_metre_(m3)",
IF(Table2[[#This Row],[Type]]="heat", "therm_(thm)",
"NA")))</f>
        <v>therm_(thm)</v>
      </c>
      <c r="L415" s="1" t="s">
        <v>223</v>
      </c>
      <c r="M415" s="10">
        <f>IF(Table2[[#This Row],[Type]]="electricity", Table2[[#This Row],[Quantity_correct]]/6.6667,
IF(Table2[[#This Row],[Type]]="water", Table2[[#This Row],[Quantity_correct]]/3.333,
IF(Table2[[#This Row],[Type]]="heat", Table2[[#This Row],[Quantity_correct]]/0.8333,
"NA")))</f>
        <v>441.1184447377895</v>
      </c>
      <c r="N415" s="1">
        <v>0.84</v>
      </c>
    </row>
    <row r="416" spans="1:14" ht="12.5" x14ac:dyDescent="0.25">
      <c r="A416" s="1" t="s">
        <v>19</v>
      </c>
      <c r="B416" s="1" t="s">
        <v>19</v>
      </c>
      <c r="C416" s="1" t="str">
        <f>IF(OR(Table2[[#This Row],[units]]="litre_(l)", Table2[[#This Row],[units]]="gallon_(gal)", Table2[[#This Row],[units]]="cubic_metre_(m3)"), "water", Table2[[#This Row],[type2]])</f>
        <v>heat</v>
      </c>
      <c r="D416" s="1" t="s">
        <v>140</v>
      </c>
      <c r="E416" s="3">
        <v>44930</v>
      </c>
      <c r="F416" s="8">
        <f t="shared" si="12"/>
        <v>45017</v>
      </c>
      <c r="G416" s="1" t="s">
        <v>103</v>
      </c>
      <c r="H416" s="8">
        <f t="shared" si="13"/>
        <v>45046</v>
      </c>
      <c r="I416" s="1">
        <v>0.33</v>
      </c>
      <c r="J41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173.28960000000001</v>
      </c>
      <c r="K416" s="4" t="str">
        <f>IF(Table2[[#This Row],[Type]]="electricity", "kilowatt_hour_(kwh)",
IF(Table2[[#This Row],[Type]]="water", "cubic_metre_(m3)",
IF(Table2[[#This Row],[Type]]="heat", "therm_(thm)",
"NA")))</f>
        <v>therm_(thm)</v>
      </c>
      <c r="L416" s="1" t="s">
        <v>223</v>
      </c>
      <c r="M416" s="10">
        <f>IF(Table2[[#This Row],[Type]]="electricity", Table2[[#This Row],[Quantity_correct]]/6.6667,
IF(Table2[[#This Row],[Type]]="water", Table2[[#This Row],[Quantity_correct]]/3.333,
IF(Table2[[#This Row],[Type]]="heat", Table2[[#This Row],[Quantity_correct]]/0.8333,
"NA")))</f>
        <v>207.95583823352933</v>
      </c>
      <c r="N416" s="1">
        <v>0.39600000000000002</v>
      </c>
    </row>
    <row r="417" spans="1:14" ht="12.5" x14ac:dyDescent="0.25">
      <c r="A417" s="1" t="s">
        <v>19</v>
      </c>
      <c r="B417" s="1" t="s">
        <v>19</v>
      </c>
      <c r="C417" s="1" t="str">
        <f>IF(OR(Table2[[#This Row],[units]]="litre_(l)", Table2[[#This Row],[units]]="gallon_(gal)", Table2[[#This Row],[units]]="cubic_metre_(m3)"), "water", Table2[[#This Row],[type2]])</f>
        <v>heat</v>
      </c>
      <c r="D417" s="1" t="s">
        <v>140</v>
      </c>
      <c r="E417" s="3">
        <v>44931</v>
      </c>
      <c r="F417" s="8">
        <f t="shared" si="12"/>
        <v>45047</v>
      </c>
      <c r="G417" s="1" t="s">
        <v>73</v>
      </c>
      <c r="H417" s="8">
        <f t="shared" si="13"/>
        <v>45077</v>
      </c>
      <c r="I417" s="1">
        <v>0.3</v>
      </c>
      <c r="J41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157.536</v>
      </c>
      <c r="K417" s="4" t="str">
        <f>IF(Table2[[#This Row],[Type]]="electricity", "kilowatt_hour_(kwh)",
IF(Table2[[#This Row],[Type]]="water", "cubic_metre_(m3)",
IF(Table2[[#This Row],[Type]]="heat", "therm_(thm)",
"NA")))</f>
        <v>therm_(thm)</v>
      </c>
      <c r="L417" s="1" t="s">
        <v>223</v>
      </c>
      <c r="M417" s="10">
        <f>IF(Table2[[#This Row],[Type]]="electricity", Table2[[#This Row],[Quantity_correct]]/6.6667,
IF(Table2[[#This Row],[Type]]="water", Table2[[#This Row],[Quantity_correct]]/3.333,
IF(Table2[[#This Row],[Type]]="heat", Table2[[#This Row],[Quantity_correct]]/0.8333,
"NA")))</f>
        <v>189.05076203048122</v>
      </c>
      <c r="N417" s="1">
        <v>0.36</v>
      </c>
    </row>
    <row r="418" spans="1:14" ht="12.5" x14ac:dyDescent="0.25">
      <c r="A418" s="1" t="s">
        <v>19</v>
      </c>
      <c r="B418" s="1" t="s">
        <v>19</v>
      </c>
      <c r="C418" s="1" t="str">
        <f>IF(OR(Table2[[#This Row],[units]]="litre_(l)", Table2[[#This Row],[units]]="gallon_(gal)", Table2[[#This Row],[units]]="cubic_metre_(m3)"), "water", Table2[[#This Row],[type2]])</f>
        <v>heat</v>
      </c>
      <c r="D418" s="1" t="s">
        <v>140</v>
      </c>
      <c r="E418" s="3">
        <v>44932</v>
      </c>
      <c r="F418" s="8">
        <f t="shared" si="12"/>
        <v>45078</v>
      </c>
      <c r="G418" s="1" t="s">
        <v>69</v>
      </c>
      <c r="H418" s="8">
        <f t="shared" si="13"/>
        <v>45107</v>
      </c>
      <c r="I418" s="1">
        <v>0.06</v>
      </c>
      <c r="J41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31.507199999999997</v>
      </c>
      <c r="K418" s="4" t="str">
        <f>IF(Table2[[#This Row],[Type]]="electricity", "kilowatt_hour_(kwh)",
IF(Table2[[#This Row],[Type]]="water", "cubic_metre_(m3)",
IF(Table2[[#This Row],[Type]]="heat", "therm_(thm)",
"NA")))</f>
        <v>therm_(thm)</v>
      </c>
      <c r="L418" s="1" t="s">
        <v>223</v>
      </c>
      <c r="M418" s="10">
        <f>IF(Table2[[#This Row],[Type]]="electricity", Table2[[#This Row],[Quantity_correct]]/6.6667,
IF(Table2[[#This Row],[Type]]="water", Table2[[#This Row],[Quantity_correct]]/3.333,
IF(Table2[[#This Row],[Type]]="heat", Table2[[#This Row],[Quantity_correct]]/0.8333,
"NA")))</f>
        <v>37.810152406096236</v>
      </c>
      <c r="N418" s="1">
        <v>7.1999999999999995E-2</v>
      </c>
    </row>
    <row r="419" spans="1:14" ht="12.5" x14ac:dyDescent="0.25">
      <c r="A419" s="1" t="s">
        <v>19</v>
      </c>
      <c r="B419" s="1" t="s">
        <v>19</v>
      </c>
      <c r="C419" s="1" t="str">
        <f>IF(OR(Table2[[#This Row],[units]]="litre_(l)", Table2[[#This Row],[units]]="gallon_(gal)", Table2[[#This Row],[units]]="cubic_metre_(m3)"), "water", Table2[[#This Row],[type2]])</f>
        <v>heat</v>
      </c>
      <c r="D419" s="1" t="s">
        <v>140</v>
      </c>
      <c r="E419" s="3">
        <v>44933</v>
      </c>
      <c r="F419" s="8">
        <f t="shared" si="12"/>
        <v>45108</v>
      </c>
      <c r="G419" s="1" t="s">
        <v>71</v>
      </c>
      <c r="H419" s="8">
        <f t="shared" si="13"/>
        <v>45138</v>
      </c>
      <c r="I419" s="1">
        <v>0.06</v>
      </c>
      <c r="J41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31.507199999999997</v>
      </c>
      <c r="K419" s="4" t="str">
        <f>IF(Table2[[#This Row],[Type]]="electricity", "kilowatt_hour_(kwh)",
IF(Table2[[#This Row],[Type]]="water", "cubic_metre_(m3)",
IF(Table2[[#This Row],[Type]]="heat", "therm_(thm)",
"NA")))</f>
        <v>therm_(thm)</v>
      </c>
      <c r="L419" s="1" t="s">
        <v>223</v>
      </c>
      <c r="M419" s="10">
        <f>IF(Table2[[#This Row],[Type]]="electricity", Table2[[#This Row],[Quantity_correct]]/6.6667,
IF(Table2[[#This Row],[Type]]="water", Table2[[#This Row],[Quantity_correct]]/3.333,
IF(Table2[[#This Row],[Type]]="heat", Table2[[#This Row],[Quantity_correct]]/0.8333,
"NA")))</f>
        <v>37.810152406096236</v>
      </c>
      <c r="N419" s="1">
        <v>7.1999999999999995E-2</v>
      </c>
    </row>
    <row r="420" spans="1:14" ht="12.5" x14ac:dyDescent="0.25">
      <c r="A420" s="1" t="s">
        <v>19</v>
      </c>
      <c r="B420" s="1" t="s">
        <v>19</v>
      </c>
      <c r="C420" s="1" t="str">
        <f>IF(OR(Table2[[#This Row],[units]]="litre_(l)", Table2[[#This Row],[units]]="gallon_(gal)", Table2[[#This Row],[units]]="cubic_metre_(m3)"), "water", Table2[[#This Row],[type2]])</f>
        <v>heat</v>
      </c>
      <c r="D420" s="1" t="s">
        <v>140</v>
      </c>
      <c r="E420" s="3">
        <v>44934</v>
      </c>
      <c r="F420" s="8">
        <f t="shared" si="12"/>
        <v>45139</v>
      </c>
      <c r="G420" s="1" t="s">
        <v>72</v>
      </c>
      <c r="H420" s="8">
        <f t="shared" si="13"/>
        <v>45169</v>
      </c>
      <c r="I420" s="1">
        <v>7.0000000000000007E-2</v>
      </c>
      <c r="J42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36.758400000000002</v>
      </c>
      <c r="K420" s="4" t="str">
        <f>IF(Table2[[#This Row],[Type]]="electricity", "kilowatt_hour_(kwh)",
IF(Table2[[#This Row],[Type]]="water", "cubic_metre_(m3)",
IF(Table2[[#This Row],[Type]]="heat", "therm_(thm)",
"NA")))</f>
        <v>therm_(thm)</v>
      </c>
      <c r="L420" s="1" t="s">
        <v>223</v>
      </c>
      <c r="M420" s="10">
        <f>IF(Table2[[#This Row],[Type]]="electricity", Table2[[#This Row],[Quantity_correct]]/6.6667,
IF(Table2[[#This Row],[Type]]="water", Table2[[#This Row],[Quantity_correct]]/3.333,
IF(Table2[[#This Row],[Type]]="heat", Table2[[#This Row],[Quantity_correct]]/0.8333,
"NA")))</f>
        <v>44.111844473778952</v>
      </c>
      <c r="N420" s="1">
        <v>8.4000000000000005E-2</v>
      </c>
    </row>
    <row r="421" spans="1:14" ht="12.5" x14ac:dyDescent="0.25">
      <c r="A421" s="1" t="s">
        <v>19</v>
      </c>
      <c r="B421" s="1" t="s">
        <v>19</v>
      </c>
      <c r="C421" s="1" t="str">
        <f>IF(OR(Table2[[#This Row],[units]]="litre_(l)", Table2[[#This Row],[units]]="gallon_(gal)", Table2[[#This Row],[units]]="cubic_metre_(m3)"), "water", Table2[[#This Row],[type2]])</f>
        <v>heat</v>
      </c>
      <c r="D421" s="1" t="s">
        <v>140</v>
      </c>
      <c r="E421" s="3">
        <v>44935</v>
      </c>
      <c r="F421" s="8">
        <f t="shared" si="12"/>
        <v>45170</v>
      </c>
      <c r="G421" s="1" t="s">
        <v>67</v>
      </c>
      <c r="H421" s="8">
        <f t="shared" si="13"/>
        <v>45199</v>
      </c>
      <c r="I421" s="1">
        <v>7.0000000000000007E-2</v>
      </c>
      <c r="J42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36.758400000000002</v>
      </c>
      <c r="K421" s="4" t="str">
        <f>IF(Table2[[#This Row],[Type]]="electricity", "kilowatt_hour_(kwh)",
IF(Table2[[#This Row],[Type]]="water", "cubic_metre_(m3)",
IF(Table2[[#This Row],[Type]]="heat", "therm_(thm)",
"NA")))</f>
        <v>therm_(thm)</v>
      </c>
      <c r="L421" s="1" t="s">
        <v>223</v>
      </c>
      <c r="M421" s="10">
        <f>IF(Table2[[#This Row],[Type]]="electricity", Table2[[#This Row],[Quantity_correct]]/6.6667,
IF(Table2[[#This Row],[Type]]="water", Table2[[#This Row],[Quantity_correct]]/3.333,
IF(Table2[[#This Row],[Type]]="heat", Table2[[#This Row],[Quantity_correct]]/0.8333,
"NA")))</f>
        <v>44.111844473778952</v>
      </c>
      <c r="N421" s="1">
        <v>8.4000000000000005E-2</v>
      </c>
    </row>
    <row r="422" spans="1:14" ht="12.5" x14ac:dyDescent="0.25">
      <c r="A422" s="1" t="s">
        <v>19</v>
      </c>
      <c r="B422" s="1" t="s">
        <v>19</v>
      </c>
      <c r="C422" s="1" t="str">
        <f>IF(OR(Table2[[#This Row],[units]]="litre_(l)", Table2[[#This Row],[units]]="gallon_(gal)", Table2[[#This Row],[units]]="cubic_metre_(m3)"), "water", Table2[[#This Row],[type2]])</f>
        <v>heat</v>
      </c>
      <c r="D422" s="1" t="s">
        <v>140</v>
      </c>
      <c r="E422" s="3">
        <v>44936</v>
      </c>
      <c r="F422" s="8">
        <f t="shared" si="12"/>
        <v>45200</v>
      </c>
      <c r="G422" s="1" t="s">
        <v>75</v>
      </c>
      <c r="H422" s="8">
        <f t="shared" si="13"/>
        <v>45230</v>
      </c>
      <c r="I422" s="1">
        <v>0.67</v>
      </c>
      <c r="J42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351.8304</v>
      </c>
      <c r="K422" s="4" t="str">
        <f>IF(Table2[[#This Row],[Type]]="electricity", "kilowatt_hour_(kwh)",
IF(Table2[[#This Row],[Type]]="water", "cubic_metre_(m3)",
IF(Table2[[#This Row],[Type]]="heat", "therm_(thm)",
"NA")))</f>
        <v>therm_(thm)</v>
      </c>
      <c r="L422" s="1" t="s">
        <v>223</v>
      </c>
      <c r="M422" s="10">
        <f>IF(Table2[[#This Row],[Type]]="electricity", Table2[[#This Row],[Quantity_correct]]/6.6667,
IF(Table2[[#This Row],[Type]]="water", Table2[[#This Row],[Quantity_correct]]/3.333,
IF(Table2[[#This Row],[Type]]="heat", Table2[[#This Row],[Quantity_correct]]/0.8333,
"NA")))</f>
        <v>422.21336853474139</v>
      </c>
      <c r="N422" s="1">
        <v>0.80400000000000005</v>
      </c>
    </row>
    <row r="423" spans="1:14" ht="12.5" x14ac:dyDescent="0.25">
      <c r="A423" s="1" t="s">
        <v>19</v>
      </c>
      <c r="B423" s="1" t="s">
        <v>19</v>
      </c>
      <c r="C423" s="1" t="str">
        <f>IF(OR(Table2[[#This Row],[units]]="litre_(l)", Table2[[#This Row],[units]]="gallon_(gal)", Table2[[#This Row],[units]]="cubic_metre_(m3)"), "water", Table2[[#This Row],[type2]])</f>
        <v>heat</v>
      </c>
      <c r="D423" s="1" t="s">
        <v>140</v>
      </c>
      <c r="E423" s="3">
        <v>44937</v>
      </c>
      <c r="F423" s="8">
        <f t="shared" si="12"/>
        <v>45231</v>
      </c>
      <c r="G423" s="1" t="s">
        <v>56</v>
      </c>
      <c r="H423" s="8">
        <f t="shared" si="13"/>
        <v>45260</v>
      </c>
      <c r="I423" s="1">
        <v>0.8</v>
      </c>
      <c r="J42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420.096</v>
      </c>
      <c r="K423" s="4" t="str">
        <f>IF(Table2[[#This Row],[Type]]="electricity", "kilowatt_hour_(kwh)",
IF(Table2[[#This Row],[Type]]="water", "cubic_metre_(m3)",
IF(Table2[[#This Row],[Type]]="heat", "therm_(thm)",
"NA")))</f>
        <v>therm_(thm)</v>
      </c>
      <c r="L423" s="1" t="s">
        <v>223</v>
      </c>
      <c r="M423" s="10">
        <f>IF(Table2[[#This Row],[Type]]="electricity", Table2[[#This Row],[Quantity_correct]]/6.6667,
IF(Table2[[#This Row],[Type]]="water", Table2[[#This Row],[Quantity_correct]]/3.333,
IF(Table2[[#This Row],[Type]]="heat", Table2[[#This Row],[Quantity_correct]]/0.8333,
"NA")))</f>
        <v>504.13536541461656</v>
      </c>
      <c r="N423" s="1">
        <v>0.96</v>
      </c>
    </row>
    <row r="424" spans="1:14" ht="12.5" x14ac:dyDescent="0.25">
      <c r="A424" s="1" t="s">
        <v>19</v>
      </c>
      <c r="B424" s="1" t="s">
        <v>19</v>
      </c>
      <c r="C424" s="1" t="str">
        <f>IF(OR(Table2[[#This Row],[units]]="litre_(l)", Table2[[#This Row],[units]]="gallon_(gal)", Table2[[#This Row],[units]]="cubic_metre_(m3)"), "water", Table2[[#This Row],[type2]])</f>
        <v>heat</v>
      </c>
      <c r="D424" s="1" t="s">
        <v>140</v>
      </c>
      <c r="E424" s="3">
        <v>44938</v>
      </c>
      <c r="F424" s="8">
        <f t="shared" si="12"/>
        <v>45261</v>
      </c>
      <c r="G424" s="1" t="s">
        <v>45</v>
      </c>
      <c r="H424" s="8">
        <f t="shared" si="13"/>
        <v>45291</v>
      </c>
      <c r="I424" s="1">
        <v>1.38</v>
      </c>
      <c r="J42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724.66559999999993</v>
      </c>
      <c r="K424" s="4" t="str">
        <f>IF(Table2[[#This Row],[Type]]="electricity", "kilowatt_hour_(kwh)",
IF(Table2[[#This Row],[Type]]="water", "cubic_metre_(m3)",
IF(Table2[[#This Row],[Type]]="heat", "therm_(thm)",
"NA")))</f>
        <v>therm_(thm)</v>
      </c>
      <c r="L424" s="1" t="s">
        <v>223</v>
      </c>
      <c r="M424" s="10">
        <f>IF(Table2[[#This Row],[Type]]="electricity", Table2[[#This Row],[Quantity_correct]]/6.6667,
IF(Table2[[#This Row],[Type]]="water", Table2[[#This Row],[Quantity_correct]]/3.333,
IF(Table2[[#This Row],[Type]]="heat", Table2[[#This Row],[Quantity_correct]]/0.8333,
"NA")))</f>
        <v>869.63350534021345</v>
      </c>
      <c r="N424" s="1">
        <v>1.6559999999999999</v>
      </c>
    </row>
    <row r="425" spans="1:14" ht="12.5" hidden="1" x14ac:dyDescent="0.25">
      <c r="A425" s="1" t="s">
        <v>19</v>
      </c>
      <c r="B425" s="1" t="s">
        <v>19</v>
      </c>
      <c r="C425" s="1" t="str">
        <f>IF(OR(Table2[[#This Row],[units]]="litre_(l)", Table2[[#This Row],[units]]="gallon_(gal)", Table2[[#This Row],[units]]="cubic_metre_(m3)"), "water", Table2[[#This Row],[type2]])</f>
        <v>water</v>
      </c>
      <c r="D425" s="1" t="s">
        <v>130</v>
      </c>
      <c r="E425" s="3">
        <v>44927</v>
      </c>
      <c r="F425" s="8">
        <f t="shared" si="12"/>
        <v>44927</v>
      </c>
      <c r="G425" s="1" t="s">
        <v>68</v>
      </c>
      <c r="H425" s="8">
        <f t="shared" si="13"/>
        <v>44957</v>
      </c>
      <c r="I425" s="1">
        <v>15.2</v>
      </c>
      <c r="J42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15.2</v>
      </c>
      <c r="K425" s="4" t="str">
        <f>IF(Table2[[#This Row],[Type]]="electricity", "kilowatt_hour_(kwh)",
IF(Table2[[#This Row],[Type]]="water", "cubic_metre_(m3)",
IF(Table2[[#This Row],[Type]]="heat", "therm_(thm)",
"NA")))</f>
        <v>cubic_metre_(m3)</v>
      </c>
      <c r="L425" s="1" t="s">
        <v>133</v>
      </c>
      <c r="M425" s="10">
        <f>IF(Table2[[#This Row],[Type]]="electricity", Table2[[#This Row],[Quantity_correct]]/6.6667,
IF(Table2[[#This Row],[Type]]="water", Table2[[#This Row],[Quantity_correct]]/3.333,
IF(Table2[[#This Row],[Type]]="heat", Table2[[#This Row],[Quantity_correct]]/0.8333,
"NA")))</f>
        <v>4.5604560456045604</v>
      </c>
      <c r="N425" s="1">
        <v>4.5599999999999996</v>
      </c>
    </row>
    <row r="426" spans="1:14" ht="12.5" hidden="1" x14ac:dyDescent="0.25">
      <c r="A426" s="1" t="s">
        <v>19</v>
      </c>
      <c r="B426" s="1" t="s">
        <v>19</v>
      </c>
      <c r="C426" s="1" t="str">
        <f>IF(OR(Table2[[#This Row],[units]]="litre_(l)", Table2[[#This Row],[units]]="gallon_(gal)", Table2[[#This Row],[units]]="cubic_metre_(m3)"), "water", Table2[[#This Row],[type2]])</f>
        <v>water</v>
      </c>
      <c r="D426" s="1" t="s">
        <v>130</v>
      </c>
      <c r="E426" s="3">
        <v>44928</v>
      </c>
      <c r="F426" s="8">
        <f t="shared" si="12"/>
        <v>44958</v>
      </c>
      <c r="G426" s="1" t="s">
        <v>65</v>
      </c>
      <c r="H426" s="8">
        <f t="shared" si="13"/>
        <v>44985</v>
      </c>
      <c r="I426" s="1">
        <v>20.7</v>
      </c>
      <c r="J42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20.7</v>
      </c>
      <c r="K426" s="4" t="str">
        <f>IF(Table2[[#This Row],[Type]]="electricity", "kilowatt_hour_(kwh)",
IF(Table2[[#This Row],[Type]]="water", "cubic_metre_(m3)",
IF(Table2[[#This Row],[Type]]="heat", "therm_(thm)",
"NA")))</f>
        <v>cubic_metre_(m3)</v>
      </c>
      <c r="L426" s="1" t="s">
        <v>133</v>
      </c>
      <c r="M426" s="10">
        <f>IF(Table2[[#This Row],[Type]]="electricity", Table2[[#This Row],[Quantity_correct]]/6.6667,
IF(Table2[[#This Row],[Type]]="water", Table2[[#This Row],[Quantity_correct]]/3.333,
IF(Table2[[#This Row],[Type]]="heat", Table2[[#This Row],[Quantity_correct]]/0.8333,
"NA")))</f>
        <v>6.2106210621062097</v>
      </c>
      <c r="N426" s="1">
        <v>6.21</v>
      </c>
    </row>
    <row r="427" spans="1:14" ht="12.5" hidden="1" x14ac:dyDescent="0.25">
      <c r="A427" s="1" t="s">
        <v>19</v>
      </c>
      <c r="B427" s="1" t="s">
        <v>19</v>
      </c>
      <c r="C427" s="1" t="str">
        <f>IF(OR(Table2[[#This Row],[units]]="litre_(l)", Table2[[#This Row],[units]]="gallon_(gal)", Table2[[#This Row],[units]]="cubic_metre_(m3)"), "water", Table2[[#This Row],[type2]])</f>
        <v>water</v>
      </c>
      <c r="D427" s="1" t="s">
        <v>130</v>
      </c>
      <c r="E427" s="3">
        <v>44929</v>
      </c>
      <c r="F427" s="8">
        <f t="shared" si="12"/>
        <v>44986</v>
      </c>
      <c r="G427" s="1" t="s">
        <v>74</v>
      </c>
      <c r="H427" s="8">
        <f t="shared" si="13"/>
        <v>45016</v>
      </c>
      <c r="I427" s="1">
        <v>16</v>
      </c>
      <c r="J427"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v>
      </c>
      <c r="K427" s="4" t="str">
        <f>IF(Table2[[#This Row],[Type]]="electricity", "kilowatt_hour_(kwh)",
IF(Table2[[#This Row],[Type]]="water", "cubic_metre_(m3)",
IF(Table2[[#This Row],[Type]]="heat", "therm_(thm)",
"NA")))</f>
        <v>cubic_metre_(m3)</v>
      </c>
      <c r="L427" s="1" t="s">
        <v>133</v>
      </c>
      <c r="M427" s="10">
        <f>IF(Table2[[#This Row],[Type]]="electricity", Table2[[#This Row],[Quantity_correct]]/6.6667,
IF(Table2[[#This Row],[Type]]="water", Table2[[#This Row],[Quantity_correct]]/3.333,
IF(Table2[[#This Row],[Type]]="heat", Table2[[#This Row],[Quantity_correct]]/0.8333,
"NA")))</f>
        <v>4.8004800480048004</v>
      </c>
      <c r="N427" s="1">
        <v>4.8</v>
      </c>
    </row>
    <row r="428" spans="1:14" ht="12.5" hidden="1" x14ac:dyDescent="0.25">
      <c r="A428" s="1" t="s">
        <v>19</v>
      </c>
      <c r="B428" s="1" t="s">
        <v>19</v>
      </c>
      <c r="C428" s="1" t="str">
        <f>IF(OR(Table2[[#This Row],[units]]="litre_(l)", Table2[[#This Row],[units]]="gallon_(gal)", Table2[[#This Row],[units]]="cubic_metre_(m3)"), "water", Table2[[#This Row],[type2]])</f>
        <v>water</v>
      </c>
      <c r="D428" s="1" t="s">
        <v>130</v>
      </c>
      <c r="E428" s="3">
        <v>44930</v>
      </c>
      <c r="F428" s="8">
        <f t="shared" si="12"/>
        <v>45017</v>
      </c>
      <c r="G428" s="1" t="s">
        <v>103</v>
      </c>
      <c r="H428" s="8">
        <f t="shared" si="13"/>
        <v>45046</v>
      </c>
      <c r="I428" s="1">
        <v>18.2</v>
      </c>
      <c r="J428"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18.2</v>
      </c>
      <c r="K428" s="4" t="str">
        <f>IF(Table2[[#This Row],[Type]]="electricity", "kilowatt_hour_(kwh)",
IF(Table2[[#This Row],[Type]]="water", "cubic_metre_(m3)",
IF(Table2[[#This Row],[Type]]="heat", "therm_(thm)",
"NA")))</f>
        <v>cubic_metre_(m3)</v>
      </c>
      <c r="L428" s="1" t="s">
        <v>133</v>
      </c>
      <c r="M428" s="10">
        <f>IF(Table2[[#This Row],[Type]]="electricity", Table2[[#This Row],[Quantity_correct]]/6.6667,
IF(Table2[[#This Row],[Type]]="water", Table2[[#This Row],[Quantity_correct]]/3.333,
IF(Table2[[#This Row],[Type]]="heat", Table2[[#This Row],[Quantity_correct]]/0.8333,
"NA")))</f>
        <v>5.4605460546054596</v>
      </c>
      <c r="N428" s="1">
        <v>5.46</v>
      </c>
    </row>
    <row r="429" spans="1:14" ht="12.5" hidden="1" x14ac:dyDescent="0.25">
      <c r="A429" s="1" t="s">
        <v>19</v>
      </c>
      <c r="B429" s="1" t="s">
        <v>19</v>
      </c>
      <c r="C429" s="1" t="str">
        <f>IF(OR(Table2[[#This Row],[units]]="litre_(l)", Table2[[#This Row],[units]]="gallon_(gal)", Table2[[#This Row],[units]]="cubic_metre_(m3)"), "water", Table2[[#This Row],[type2]])</f>
        <v>water</v>
      </c>
      <c r="D429" s="1" t="s">
        <v>130</v>
      </c>
      <c r="E429" s="3">
        <v>44931</v>
      </c>
      <c r="F429" s="8">
        <f t="shared" si="12"/>
        <v>45047</v>
      </c>
      <c r="G429" s="1" t="s">
        <v>73</v>
      </c>
      <c r="H429" s="8">
        <f t="shared" si="13"/>
        <v>45077</v>
      </c>
      <c r="I429" s="1">
        <v>16.399999999999999</v>
      </c>
      <c r="J429"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16.399999999999999</v>
      </c>
      <c r="K429" s="4" t="str">
        <f>IF(Table2[[#This Row],[Type]]="electricity", "kilowatt_hour_(kwh)",
IF(Table2[[#This Row],[Type]]="water", "cubic_metre_(m3)",
IF(Table2[[#This Row],[Type]]="heat", "therm_(thm)",
"NA")))</f>
        <v>cubic_metre_(m3)</v>
      </c>
      <c r="L429" s="1" t="s">
        <v>133</v>
      </c>
      <c r="M429" s="10">
        <f>IF(Table2[[#This Row],[Type]]="electricity", Table2[[#This Row],[Quantity_correct]]/6.6667,
IF(Table2[[#This Row],[Type]]="water", Table2[[#This Row],[Quantity_correct]]/3.333,
IF(Table2[[#This Row],[Type]]="heat", Table2[[#This Row],[Quantity_correct]]/0.8333,
"NA")))</f>
        <v>4.9204920492049196</v>
      </c>
      <c r="N429" s="1">
        <v>4.92</v>
      </c>
    </row>
    <row r="430" spans="1:14" ht="12.5" hidden="1" x14ac:dyDescent="0.25">
      <c r="A430" s="1" t="s">
        <v>19</v>
      </c>
      <c r="B430" s="1" t="s">
        <v>19</v>
      </c>
      <c r="C430" s="1" t="str">
        <f>IF(OR(Table2[[#This Row],[units]]="litre_(l)", Table2[[#This Row],[units]]="gallon_(gal)", Table2[[#This Row],[units]]="cubic_metre_(m3)"), "water", Table2[[#This Row],[type2]])</f>
        <v>water</v>
      </c>
      <c r="D430" s="1" t="s">
        <v>130</v>
      </c>
      <c r="E430" s="3">
        <v>44932</v>
      </c>
      <c r="F430" s="8">
        <f t="shared" si="12"/>
        <v>45078</v>
      </c>
      <c r="G430" s="1" t="s">
        <v>69</v>
      </c>
      <c r="H430" s="8">
        <f t="shared" si="13"/>
        <v>45107</v>
      </c>
      <c r="I430" s="1">
        <v>16.600000000000001</v>
      </c>
      <c r="J430"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16.600000000000001</v>
      </c>
      <c r="K430" s="4" t="str">
        <f>IF(Table2[[#This Row],[Type]]="electricity", "kilowatt_hour_(kwh)",
IF(Table2[[#This Row],[Type]]="water", "cubic_metre_(m3)",
IF(Table2[[#This Row],[Type]]="heat", "therm_(thm)",
"NA")))</f>
        <v>cubic_metre_(m3)</v>
      </c>
      <c r="L430" s="1" t="s">
        <v>133</v>
      </c>
      <c r="M430" s="10">
        <f>IF(Table2[[#This Row],[Type]]="electricity", Table2[[#This Row],[Quantity_correct]]/6.6667,
IF(Table2[[#This Row],[Type]]="water", Table2[[#This Row],[Quantity_correct]]/3.333,
IF(Table2[[#This Row],[Type]]="heat", Table2[[#This Row],[Quantity_correct]]/0.8333,
"NA")))</f>
        <v>4.9804980498049805</v>
      </c>
      <c r="N430" s="1">
        <v>4.9800000000000004</v>
      </c>
    </row>
    <row r="431" spans="1:14" ht="12.5" hidden="1" x14ac:dyDescent="0.25">
      <c r="A431" s="1" t="s">
        <v>19</v>
      </c>
      <c r="B431" s="1" t="s">
        <v>19</v>
      </c>
      <c r="C431" s="1" t="str">
        <f>IF(OR(Table2[[#This Row],[units]]="litre_(l)", Table2[[#This Row],[units]]="gallon_(gal)", Table2[[#This Row],[units]]="cubic_metre_(m3)"), "water", Table2[[#This Row],[type2]])</f>
        <v>water</v>
      </c>
      <c r="D431" s="1" t="s">
        <v>130</v>
      </c>
      <c r="E431" s="3">
        <v>44933</v>
      </c>
      <c r="F431" s="8">
        <f t="shared" si="12"/>
        <v>45108</v>
      </c>
      <c r="G431" s="1" t="s">
        <v>71</v>
      </c>
      <c r="H431" s="8">
        <f t="shared" si="13"/>
        <v>45138</v>
      </c>
      <c r="I431" s="1">
        <v>8.1</v>
      </c>
      <c r="J431"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8.1</v>
      </c>
      <c r="K431" s="4" t="str">
        <f>IF(Table2[[#This Row],[Type]]="electricity", "kilowatt_hour_(kwh)",
IF(Table2[[#This Row],[Type]]="water", "cubic_metre_(m3)",
IF(Table2[[#This Row],[Type]]="heat", "therm_(thm)",
"NA")))</f>
        <v>cubic_metre_(m3)</v>
      </c>
      <c r="L431" s="1" t="s">
        <v>133</v>
      </c>
      <c r="M431" s="10">
        <f>IF(Table2[[#This Row],[Type]]="electricity", Table2[[#This Row],[Quantity_correct]]/6.6667,
IF(Table2[[#This Row],[Type]]="water", Table2[[#This Row],[Quantity_correct]]/3.333,
IF(Table2[[#This Row],[Type]]="heat", Table2[[#This Row],[Quantity_correct]]/0.8333,
"NA")))</f>
        <v>2.4302430243024302</v>
      </c>
      <c r="N431" s="1">
        <v>2.4300000000000002</v>
      </c>
    </row>
    <row r="432" spans="1:14" ht="12.5" hidden="1" x14ac:dyDescent="0.25">
      <c r="A432" s="1" t="s">
        <v>19</v>
      </c>
      <c r="B432" s="1" t="s">
        <v>19</v>
      </c>
      <c r="C432" s="1" t="str">
        <f>IF(OR(Table2[[#This Row],[units]]="litre_(l)", Table2[[#This Row],[units]]="gallon_(gal)", Table2[[#This Row],[units]]="cubic_metre_(m3)"), "water", Table2[[#This Row],[type2]])</f>
        <v>water</v>
      </c>
      <c r="D432" s="1" t="s">
        <v>130</v>
      </c>
      <c r="E432" s="3">
        <v>44934</v>
      </c>
      <c r="F432" s="8">
        <f t="shared" si="12"/>
        <v>45139</v>
      </c>
      <c r="G432" s="1" t="s">
        <v>72</v>
      </c>
      <c r="H432" s="8">
        <f t="shared" si="13"/>
        <v>45169</v>
      </c>
      <c r="I432" s="1">
        <v>13.8</v>
      </c>
      <c r="J432"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13.8</v>
      </c>
      <c r="K432" s="4" t="str">
        <f>IF(Table2[[#This Row],[Type]]="electricity", "kilowatt_hour_(kwh)",
IF(Table2[[#This Row],[Type]]="water", "cubic_metre_(m3)",
IF(Table2[[#This Row],[Type]]="heat", "therm_(thm)",
"NA")))</f>
        <v>cubic_metre_(m3)</v>
      </c>
      <c r="L432" s="1" t="s">
        <v>133</v>
      </c>
      <c r="M432" s="10">
        <f>IF(Table2[[#This Row],[Type]]="electricity", Table2[[#This Row],[Quantity_correct]]/6.6667,
IF(Table2[[#This Row],[Type]]="water", Table2[[#This Row],[Quantity_correct]]/3.333,
IF(Table2[[#This Row],[Type]]="heat", Table2[[#This Row],[Quantity_correct]]/0.8333,
"NA")))</f>
        <v>4.1404140414041404</v>
      </c>
      <c r="N432" s="1">
        <v>4.1399999999999997</v>
      </c>
    </row>
    <row r="433" spans="1:14" ht="12.5" hidden="1" x14ac:dyDescent="0.25">
      <c r="A433" s="1" t="s">
        <v>19</v>
      </c>
      <c r="B433" s="1" t="s">
        <v>19</v>
      </c>
      <c r="C433" s="1" t="str">
        <f>IF(OR(Table2[[#This Row],[units]]="litre_(l)", Table2[[#This Row],[units]]="gallon_(gal)", Table2[[#This Row],[units]]="cubic_metre_(m3)"), "water", Table2[[#This Row],[type2]])</f>
        <v>water</v>
      </c>
      <c r="D433" s="1" t="s">
        <v>130</v>
      </c>
      <c r="E433" s="3">
        <v>44935</v>
      </c>
      <c r="F433" s="8">
        <f t="shared" si="12"/>
        <v>45170</v>
      </c>
      <c r="G433" s="1" t="s">
        <v>67</v>
      </c>
      <c r="H433" s="8">
        <f t="shared" si="13"/>
        <v>45199</v>
      </c>
      <c r="I433" s="1">
        <v>13</v>
      </c>
      <c r="J433"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13</v>
      </c>
      <c r="K433" s="4" t="str">
        <f>IF(Table2[[#This Row],[Type]]="electricity", "kilowatt_hour_(kwh)",
IF(Table2[[#This Row],[Type]]="water", "cubic_metre_(m3)",
IF(Table2[[#This Row],[Type]]="heat", "therm_(thm)",
"NA")))</f>
        <v>cubic_metre_(m3)</v>
      </c>
      <c r="L433" s="1" t="s">
        <v>133</v>
      </c>
      <c r="M433" s="10">
        <f>IF(Table2[[#This Row],[Type]]="electricity", Table2[[#This Row],[Quantity_correct]]/6.6667,
IF(Table2[[#This Row],[Type]]="water", Table2[[#This Row],[Quantity_correct]]/3.333,
IF(Table2[[#This Row],[Type]]="heat", Table2[[#This Row],[Quantity_correct]]/0.8333,
"NA")))</f>
        <v>3.9003900390039004</v>
      </c>
      <c r="N433" s="1">
        <v>3.9</v>
      </c>
    </row>
    <row r="434" spans="1:14" ht="12.5" hidden="1" x14ac:dyDescent="0.25">
      <c r="A434" s="1" t="s">
        <v>19</v>
      </c>
      <c r="B434" s="1" t="s">
        <v>19</v>
      </c>
      <c r="C434" s="1" t="str">
        <f>IF(OR(Table2[[#This Row],[units]]="litre_(l)", Table2[[#This Row],[units]]="gallon_(gal)", Table2[[#This Row],[units]]="cubic_metre_(m3)"), "water", Table2[[#This Row],[type2]])</f>
        <v>water</v>
      </c>
      <c r="D434" s="1" t="s">
        <v>130</v>
      </c>
      <c r="E434" s="3">
        <v>44936</v>
      </c>
      <c r="F434" s="8">
        <f t="shared" si="12"/>
        <v>45200</v>
      </c>
      <c r="G434" s="1" t="s">
        <v>75</v>
      </c>
      <c r="H434" s="8">
        <f t="shared" si="13"/>
        <v>45230</v>
      </c>
      <c r="I434" s="1">
        <v>16.2</v>
      </c>
      <c r="J434"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16.2</v>
      </c>
      <c r="K434" s="4" t="str">
        <f>IF(Table2[[#This Row],[Type]]="electricity", "kilowatt_hour_(kwh)",
IF(Table2[[#This Row],[Type]]="water", "cubic_metre_(m3)",
IF(Table2[[#This Row],[Type]]="heat", "therm_(thm)",
"NA")))</f>
        <v>cubic_metre_(m3)</v>
      </c>
      <c r="L434" s="1" t="s">
        <v>133</v>
      </c>
      <c r="M434" s="10">
        <f>IF(Table2[[#This Row],[Type]]="electricity", Table2[[#This Row],[Quantity_correct]]/6.6667,
IF(Table2[[#This Row],[Type]]="water", Table2[[#This Row],[Quantity_correct]]/3.333,
IF(Table2[[#This Row],[Type]]="heat", Table2[[#This Row],[Quantity_correct]]/0.8333,
"NA")))</f>
        <v>4.8604860486048604</v>
      </c>
      <c r="N434" s="1">
        <v>4.8600000000000003</v>
      </c>
    </row>
    <row r="435" spans="1:14" ht="12.5" hidden="1" x14ac:dyDescent="0.25">
      <c r="A435" s="1" t="s">
        <v>19</v>
      </c>
      <c r="B435" s="1" t="s">
        <v>19</v>
      </c>
      <c r="C435" s="1" t="str">
        <f>IF(OR(Table2[[#This Row],[units]]="litre_(l)", Table2[[#This Row],[units]]="gallon_(gal)", Table2[[#This Row],[units]]="cubic_metre_(m3)"), "water", Table2[[#This Row],[type2]])</f>
        <v>water</v>
      </c>
      <c r="D435" s="1" t="s">
        <v>130</v>
      </c>
      <c r="E435" s="3">
        <v>44937</v>
      </c>
      <c r="F435" s="8">
        <f t="shared" si="12"/>
        <v>45231</v>
      </c>
      <c r="G435" s="1" t="s">
        <v>56</v>
      </c>
      <c r="H435" s="8">
        <f t="shared" si="13"/>
        <v>45260</v>
      </c>
      <c r="I435" s="1">
        <v>15.7</v>
      </c>
      <c r="J435"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15.7</v>
      </c>
      <c r="K435" s="4" t="str">
        <f>IF(Table2[[#This Row],[Type]]="electricity", "kilowatt_hour_(kwh)",
IF(Table2[[#This Row],[Type]]="water", "cubic_metre_(m3)",
IF(Table2[[#This Row],[Type]]="heat", "therm_(thm)",
"NA")))</f>
        <v>cubic_metre_(m3)</v>
      </c>
      <c r="L435" s="1" t="s">
        <v>133</v>
      </c>
      <c r="M435" s="10">
        <f>IF(Table2[[#This Row],[Type]]="electricity", Table2[[#This Row],[Quantity_correct]]/6.6667,
IF(Table2[[#This Row],[Type]]="water", Table2[[#This Row],[Quantity_correct]]/3.333,
IF(Table2[[#This Row],[Type]]="heat", Table2[[#This Row],[Quantity_correct]]/0.8333,
"NA")))</f>
        <v>4.7104710471047104</v>
      </c>
      <c r="N435" s="1">
        <v>4.71</v>
      </c>
    </row>
    <row r="436" spans="1:14" ht="12.5" hidden="1" x14ac:dyDescent="0.25">
      <c r="A436" s="1" t="s">
        <v>19</v>
      </c>
      <c r="B436" s="1" t="s">
        <v>19</v>
      </c>
      <c r="C436" s="1" t="str">
        <f>IF(OR(Table2[[#This Row],[units]]="litre_(l)", Table2[[#This Row],[units]]="gallon_(gal)", Table2[[#This Row],[units]]="cubic_metre_(m3)"), "water", Table2[[#This Row],[type2]])</f>
        <v>water</v>
      </c>
      <c r="D436" s="1" t="s">
        <v>130</v>
      </c>
      <c r="E436" s="3">
        <v>44938</v>
      </c>
      <c r="F436" s="8">
        <f t="shared" si="12"/>
        <v>45261</v>
      </c>
      <c r="G436" s="1" t="s">
        <v>45</v>
      </c>
      <c r="H436" s="8">
        <f t="shared" si="13"/>
        <v>45291</v>
      </c>
      <c r="I436" s="1">
        <v>11.2</v>
      </c>
      <c r="J436" s="4">
        <f>IF(AND(Table2[[#This Row],[Type]]="heat", Table2[[#This Row],[units]]="kilowatt_hour_(kwh)"), Table2[[#This Row],[quantity]]/29.3071,
IF(AND(Table2[[#This Row],[Type]]="heat", Table2[[#This Row],[units]]="metric_tonne_(t)"), Table2[[#This Row],[quantity]]*525.12,
IF(AND(Table2[[#This Row],[Type]]="water", Table2[[#This Row],[units]]="litre_(l)"), Table2[[#This Row],[quantity]]*0.001,
IF(AND(Table2[[#This Row],[Type]]="water", Table2[[#This Row],[units]]="gallon_(gal)"), Table2[[#This Row],[quantity]]*0.00378541, Table2[[#This Row],[quantity]]))))</f>
        <v>11.2</v>
      </c>
      <c r="K436" s="4" t="str">
        <f>IF(Table2[[#This Row],[Type]]="electricity", "kilowatt_hour_(kwh)",
IF(Table2[[#This Row],[Type]]="water", "cubic_metre_(m3)",
IF(Table2[[#This Row],[Type]]="heat", "therm_(thm)",
"NA")))</f>
        <v>cubic_metre_(m3)</v>
      </c>
      <c r="L436" s="1" t="s">
        <v>133</v>
      </c>
      <c r="M436" s="10">
        <f>IF(Table2[[#This Row],[Type]]="electricity", Table2[[#This Row],[Quantity_correct]]/6.6667,
IF(Table2[[#This Row],[Type]]="water", Table2[[#This Row],[Quantity_correct]]/3.333,
IF(Table2[[#This Row],[Type]]="heat", Table2[[#This Row],[Quantity_correct]]/0.8333,
"NA")))</f>
        <v>3.3603360336033599</v>
      </c>
      <c r="N436" s="1">
        <v>3.36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714-7F52-4679-BFBE-95976266DF19}">
  <dimension ref="A1:M558"/>
  <sheetViews>
    <sheetView zoomScaleNormal="115" workbookViewId="0">
      <pane ySplit="1" topLeftCell="A7" activePane="bottomLeft" state="frozen"/>
      <selection pane="bottomLeft" activeCell="G564" sqref="G564"/>
    </sheetView>
  </sheetViews>
  <sheetFormatPr defaultRowHeight="12.5" x14ac:dyDescent="0.25"/>
  <cols>
    <col min="1" max="1" width="16.26953125" customWidth="1"/>
    <col min="2" max="3" width="12.6328125"/>
    <col min="4" max="4" width="12.6328125" style="6" customWidth="1"/>
    <col min="5" max="5" width="12.6328125" style="6"/>
    <col min="6" max="6" width="23.453125" style="11" customWidth="1"/>
    <col min="7" max="7" width="20.90625" customWidth="1"/>
    <col min="8" max="8" width="12.6328125" style="11"/>
    <col min="9" max="9" width="45.81640625" customWidth="1"/>
    <col min="10" max="10" width="28.90625" customWidth="1"/>
    <col min="11" max="11" width="18.7265625" customWidth="1"/>
    <col min="12" max="12" width="14.7265625" customWidth="1"/>
    <col min="13" max="13" width="24" customWidth="1"/>
  </cols>
  <sheetData>
    <row r="1" spans="1:13" s="22" customFormat="1" ht="13" x14ac:dyDescent="0.3">
      <c r="A1" s="48" t="s">
        <v>30</v>
      </c>
      <c r="B1" s="48" t="s">
        <v>31</v>
      </c>
      <c r="C1" s="48" t="s">
        <v>226</v>
      </c>
      <c r="D1" s="49" t="s">
        <v>224</v>
      </c>
      <c r="E1" s="49" t="s">
        <v>225</v>
      </c>
      <c r="F1" s="50" t="s">
        <v>229</v>
      </c>
      <c r="G1" s="48" t="s">
        <v>231</v>
      </c>
      <c r="H1" s="50" t="s">
        <v>230</v>
      </c>
      <c r="I1" s="50" t="s">
        <v>271</v>
      </c>
      <c r="J1" s="51" t="s">
        <v>272</v>
      </c>
      <c r="K1" s="51" t="s">
        <v>273</v>
      </c>
      <c r="L1" s="51" t="s">
        <v>278</v>
      </c>
      <c r="M1" s="51" t="s">
        <v>279</v>
      </c>
    </row>
    <row r="2" spans="1:13" hidden="1" x14ac:dyDescent="0.25">
      <c r="A2" s="12" t="s">
        <v>8</v>
      </c>
      <c r="B2" s="12" t="s">
        <v>80</v>
      </c>
      <c r="C2" s="12" t="s">
        <v>130</v>
      </c>
      <c r="D2" s="13">
        <v>44446</v>
      </c>
      <c r="E2" s="13">
        <v>44606</v>
      </c>
      <c r="F2" s="14">
        <v>5</v>
      </c>
      <c r="G2" s="15" t="s">
        <v>133</v>
      </c>
      <c r="H2" s="14">
        <v>1.5001500150015001</v>
      </c>
      <c r="I2" s="12" t="str">
        <f t="shared" ref="I2:I65" si="0">A2&amp;B2&amp;C2&amp;D2&amp;E2</f>
        <v>DCYCLE SAMadridwater4444644606</v>
      </c>
      <c r="J2" s="12">
        <f t="shared" ref="J2:J49" si="1">IF(F2=_xlfn.MAXIFS(F:F, I:I, I2), F2, 0)</f>
        <v>5</v>
      </c>
      <c r="K2" s="12">
        <f>IF(Combinadas!$C118="electricity", Combinadas!$J118/6.6667,
IF(Combinadas!$C118="water", Combinadas!$J118/3.333,
IF(Combinadas!$C118="heat", Combinadas!$J118/0.8333, IF(Combinadas!$C118="waste",Combinadas!$J118/25,
"NA"))))</f>
        <v>2.7002700270027002</v>
      </c>
      <c r="L2" s="12">
        <f>Combinadas!$J118</f>
        <v>9</v>
      </c>
      <c r="M2" s="12">
        <f>IF(Table4[[#This Row],[Type]]="waste", Table4[[#This Row],[Q_Tonnes]]/25, Table4[[#This Row],[CO2_Noduplicates]])</f>
        <v>2.7002700270027002</v>
      </c>
    </row>
    <row r="3" spans="1:13" hidden="1" x14ac:dyDescent="0.25">
      <c r="A3" s="16" t="s">
        <v>8</v>
      </c>
      <c r="B3" s="16" t="s">
        <v>139</v>
      </c>
      <c r="C3" s="16" t="s">
        <v>130</v>
      </c>
      <c r="D3" s="17">
        <v>44508</v>
      </c>
      <c r="E3" s="17">
        <v>44606</v>
      </c>
      <c r="F3" s="18">
        <v>103</v>
      </c>
      <c r="G3" s="19" t="s">
        <v>133</v>
      </c>
      <c r="H3" s="18">
        <v>30.903090309030901</v>
      </c>
      <c r="I3" s="12" t="str">
        <f t="shared" si="0"/>
        <v>DCYCLE SAMadrid (A2)water4450844606</v>
      </c>
      <c r="J3" s="12">
        <f t="shared" si="1"/>
        <v>103</v>
      </c>
      <c r="K3" s="12">
        <f>IF(Combinadas!$C71="electricity", Combinadas!$J71/6.6667,
IF(Combinadas!$C71="water", Combinadas!$J71/3.333,
IF(Combinadas!$C71="heat", Combinadas!$J71/0.8333, IF(Combinadas!$C71="waste",Combinadas!$J71/25,
"NA"))))</f>
        <v>6248.2187589062059</v>
      </c>
      <c r="L3" s="12">
        <f>Combinadas!$J71</f>
        <v>41655</v>
      </c>
      <c r="M3" s="12">
        <f>IF(Table4[[#This Row],[Type]]="waste", Table4[[#This Row],[Q_Tonnes]]/25, Table4[[#This Row],[CO2_Noduplicates]])</f>
        <v>6248.2187589062059</v>
      </c>
    </row>
    <row r="4" spans="1:13" hidden="1" x14ac:dyDescent="0.25">
      <c r="A4" s="16" t="s">
        <v>8</v>
      </c>
      <c r="B4" s="16" t="s">
        <v>80</v>
      </c>
      <c r="C4" s="16" t="s">
        <v>130</v>
      </c>
      <c r="D4" s="17">
        <v>44508</v>
      </c>
      <c r="E4" s="17">
        <v>44606</v>
      </c>
      <c r="F4" s="18">
        <v>71</v>
      </c>
      <c r="G4" s="19" t="s">
        <v>133</v>
      </c>
      <c r="H4" s="18">
        <v>21.3021302130213</v>
      </c>
      <c r="I4" s="12" t="str">
        <f t="shared" si="0"/>
        <v>DCYCLE SAMadridwater4450844606</v>
      </c>
      <c r="J4" s="12">
        <f t="shared" si="1"/>
        <v>0</v>
      </c>
      <c r="K4" s="12">
        <f>IF(Combinadas!$C119="electricity", Combinadas!$J119/6.6667,
IF(Combinadas!$C119="water", Combinadas!$J119/3.333,
IF(Combinadas!$C119="heat", Combinadas!$J119/0.8333, IF(Combinadas!$C119="waste",Combinadas!$J119/25,
"NA"))))</f>
        <v>1762.9411852940736</v>
      </c>
      <c r="L4" s="12">
        <f>Combinadas!$J119</f>
        <v>11753</v>
      </c>
      <c r="M4" s="12">
        <f>IF(Table4[[#This Row],[Type]]="waste", Table4[[#This Row],[Q_Tonnes]]/25, Table4[[#This Row],[CO2_Noduplicates]])</f>
        <v>1762.9411852940736</v>
      </c>
    </row>
    <row r="5" spans="1:13" hidden="1" x14ac:dyDescent="0.25">
      <c r="A5" s="12" t="s">
        <v>8</v>
      </c>
      <c r="B5" s="12" t="s">
        <v>80</v>
      </c>
      <c r="C5" s="12" t="s">
        <v>130</v>
      </c>
      <c r="D5" s="13">
        <v>44508</v>
      </c>
      <c r="E5" s="13">
        <v>44606</v>
      </c>
      <c r="F5" s="14">
        <v>161</v>
      </c>
      <c r="G5" s="15" t="s">
        <v>133</v>
      </c>
      <c r="H5" s="14">
        <v>48.304830483048299</v>
      </c>
      <c r="I5" s="12" t="str">
        <f t="shared" si="0"/>
        <v>DCYCLE SAMadridwater4450844606</v>
      </c>
      <c r="J5" s="12">
        <f t="shared" si="1"/>
        <v>161</v>
      </c>
      <c r="K5" s="12">
        <f>IF(Combinadas!$C120="electricity", Combinadas!$J120/6.6667,
IF(Combinadas!$C120="water", Combinadas!$J120/3.333,
IF(Combinadas!$C120="heat", Combinadas!$J120/0.8333, IF(Combinadas!$C120="waste",Combinadas!$J120/25,
"NA"))))</f>
        <v>4585.627071864641</v>
      </c>
      <c r="L5" s="12">
        <f>Combinadas!$J120</f>
        <v>30571</v>
      </c>
      <c r="M5" s="12">
        <f>IF(Table4[[#This Row],[Type]]="waste", Table4[[#This Row],[Q_Tonnes]]/25, Table4[[#This Row],[CO2_Noduplicates]])</f>
        <v>4585.627071864641</v>
      </c>
    </row>
    <row r="6" spans="1:13" hidden="1" x14ac:dyDescent="0.25">
      <c r="A6" s="12" t="s">
        <v>8</v>
      </c>
      <c r="B6" s="12" t="s">
        <v>160</v>
      </c>
      <c r="C6" s="12" t="s">
        <v>128</v>
      </c>
      <c r="D6" s="13">
        <v>44561</v>
      </c>
      <c r="E6" s="13">
        <v>44926</v>
      </c>
      <c r="F6" s="14">
        <v>39186</v>
      </c>
      <c r="G6" s="15" t="s">
        <v>129</v>
      </c>
      <c r="H6" s="14">
        <v>5877.8706106469472</v>
      </c>
      <c r="I6" s="12" t="str">
        <f t="shared" si="0"/>
        <v>DCYCLE SATajonarelectricity4456144926</v>
      </c>
      <c r="J6" s="12">
        <f t="shared" si="1"/>
        <v>39186</v>
      </c>
      <c r="K6" s="12">
        <f>IF(Combinadas!$C142="electricity", Combinadas!$J142/6.6667,
IF(Combinadas!$C142="water", Combinadas!$J142/3.333,
IF(Combinadas!$C142="heat", Combinadas!$J142/0.8333, IF(Combinadas!$C142="waste",Combinadas!$J142/25,
"NA"))))</f>
        <v>6809.6659516702421</v>
      </c>
      <c r="L6" s="12">
        <f>Combinadas!$J142</f>
        <v>45398</v>
      </c>
      <c r="M6" s="12">
        <f>IF(Table4[[#This Row],[Type]]="waste", Table4[[#This Row],[Q_Tonnes]]/25, Table4[[#This Row],[CO2_Noduplicates]])</f>
        <v>6809.6659516702421</v>
      </c>
    </row>
    <row r="7" spans="1:13" x14ac:dyDescent="0.25">
      <c r="A7" s="12" t="s">
        <v>8</v>
      </c>
      <c r="B7" s="12" t="s">
        <v>127</v>
      </c>
      <c r="C7" s="12" t="s">
        <v>128</v>
      </c>
      <c r="D7" s="13">
        <v>44562</v>
      </c>
      <c r="E7" s="13">
        <v>44926</v>
      </c>
      <c r="F7" s="14">
        <v>114258</v>
      </c>
      <c r="G7" s="15" t="s">
        <v>129</v>
      </c>
      <c r="H7" s="14">
        <v>17138.614306928466</v>
      </c>
      <c r="I7" s="46" t="str">
        <f t="shared" si="0"/>
        <v>DCYCLE SABCNelectricity4456244926</v>
      </c>
      <c r="J7" s="46">
        <f t="shared" si="1"/>
        <v>114258</v>
      </c>
      <c r="K7" s="12">
        <f>IF(Combinadas!$C2="electricity", Combinadas!$J2/6.6667,
IF(Combinadas!$C2="water", Combinadas!$J2/3.333,
IF(Combinadas!$C2="heat", Combinadas!$J2/0.8333, IF(Combinadas!$C2="waste",Combinadas!$J2/25,
"NA"))))</f>
        <v>1.5001500150015001</v>
      </c>
      <c r="L7" s="12">
        <f>Combinadas!$J2</f>
        <v>5</v>
      </c>
      <c r="M7" s="12">
        <f>IF(Table4[[#This Row],[Type]]="waste", Table4[[#This Row],[Q_Tonnes]]/25, Table4[[#This Row],[CO2_Noduplicates]])</f>
        <v>1.5001500150015001</v>
      </c>
    </row>
    <row r="8" spans="1:13" x14ac:dyDescent="0.25">
      <c r="A8" s="16" t="s">
        <v>8</v>
      </c>
      <c r="B8" s="16" t="s">
        <v>139</v>
      </c>
      <c r="C8" s="16" t="s">
        <v>140</v>
      </c>
      <c r="D8" s="17">
        <v>44562</v>
      </c>
      <c r="E8" s="17">
        <v>44592</v>
      </c>
      <c r="F8" s="18">
        <v>1102.3267399367389</v>
      </c>
      <c r="G8" s="19" t="s">
        <v>211</v>
      </c>
      <c r="H8" s="18">
        <v>1322.8450017241555</v>
      </c>
      <c r="I8" s="12" t="str">
        <f t="shared" si="0"/>
        <v>DCYCLE SAMadrid (A2)heat4456244592</v>
      </c>
      <c r="J8" s="12">
        <f t="shared" si="1"/>
        <v>1102.3267399367389</v>
      </c>
      <c r="K8" s="12">
        <f>IF(Combinadas!$C47="electricity", Combinadas!$J47/6.6667,
IF(Combinadas!$C47="water", Combinadas!$J47/3.333,
IF(Combinadas!$C47="heat", Combinadas!$J47/0.8333, IF(Combinadas!$C47="waste",Combinadas!$J47/25,
"NA"))))</f>
        <v>898.97550512247437</v>
      </c>
      <c r="L8" s="12">
        <f>Combinadas!$J47</f>
        <v>5993.2</v>
      </c>
      <c r="M8" s="12">
        <f>IF(Table4[[#This Row],[Type]]="waste", Table4[[#This Row],[Q_Tonnes]]/25, Table4[[#This Row],[CO2_Noduplicates]])</f>
        <v>898.97550512247437</v>
      </c>
    </row>
    <row r="9" spans="1:13" x14ac:dyDescent="0.25">
      <c r="A9" s="16" t="s">
        <v>8</v>
      </c>
      <c r="B9" s="16" t="s">
        <v>80</v>
      </c>
      <c r="C9" s="16" t="s">
        <v>128</v>
      </c>
      <c r="D9" s="17">
        <v>44562</v>
      </c>
      <c r="E9" s="17">
        <v>44926</v>
      </c>
      <c r="F9" s="18">
        <v>910440</v>
      </c>
      <c r="G9" s="19" t="s">
        <v>129</v>
      </c>
      <c r="H9" s="18">
        <v>136565.31717341414</v>
      </c>
      <c r="I9" s="12" t="str">
        <f t="shared" si="0"/>
        <v>DCYCLE SAMadridelectricity4456244926</v>
      </c>
      <c r="J9" s="12">
        <f t="shared" si="1"/>
        <v>910440</v>
      </c>
      <c r="K9" s="12">
        <f>IF(Combinadas!$C79="electricity", Combinadas!$J79/6.6667,
IF(Combinadas!$C79="water", Combinadas!$J79/3.333,
IF(Combinadas!$C79="heat", Combinadas!$J79/0.8333, IF(Combinadas!$C79="waste",Combinadas!$J79/25,
"NA"))))</f>
        <v>83.2</v>
      </c>
      <c r="L9" s="12">
        <f>Combinadas!$J79</f>
        <v>2080</v>
      </c>
      <c r="M9" s="12">
        <f>IF(Table4[[#This Row],[Type]]="waste", Table4[[#This Row],[Q_Tonnes]]/25, Table4[[#This Row],[CO2_Noduplicates]])</f>
        <v>83.2</v>
      </c>
    </row>
    <row r="10" spans="1:13" x14ac:dyDescent="0.25">
      <c r="A10" s="12" t="s">
        <v>8</v>
      </c>
      <c r="B10" s="12" t="s">
        <v>80</v>
      </c>
      <c r="C10" s="12" t="s">
        <v>130</v>
      </c>
      <c r="D10" s="13">
        <v>44562</v>
      </c>
      <c r="E10" s="13">
        <v>44926</v>
      </c>
      <c r="F10" s="14">
        <v>59.81</v>
      </c>
      <c r="G10" s="15" t="s">
        <v>133</v>
      </c>
      <c r="H10" s="14">
        <v>17.944794479447946</v>
      </c>
      <c r="I10" s="12" t="str">
        <f t="shared" si="0"/>
        <v>DCYCLE SAMadridwater4456244926</v>
      </c>
      <c r="J10" s="12">
        <f t="shared" si="1"/>
        <v>59.81</v>
      </c>
      <c r="K10" s="12">
        <f>IF(Combinadas!$C112="electricity", Combinadas!$J112/6.6667,
IF(Combinadas!$C112="water", Combinadas!$J112/3.333,
IF(Combinadas!$C112="heat", Combinadas!$J112/0.8333, IF(Combinadas!$C112="waste",Combinadas!$J112/25,
"NA"))))</f>
        <v>0</v>
      </c>
      <c r="L10" s="12">
        <f>Combinadas!$J112</f>
        <v>0</v>
      </c>
      <c r="M10" s="12">
        <f>IF(Table4[[#This Row],[Type]]="waste", Table4[[#This Row],[Q_Tonnes]]/25, Table4[[#This Row],[CO2_Noduplicates]])</f>
        <v>0</v>
      </c>
    </row>
    <row r="11" spans="1:13" x14ac:dyDescent="0.25">
      <c r="A11" s="16" t="s">
        <v>8</v>
      </c>
      <c r="B11" s="16" t="s">
        <v>160</v>
      </c>
      <c r="C11" s="16" t="s">
        <v>130</v>
      </c>
      <c r="D11" s="17">
        <v>44562</v>
      </c>
      <c r="E11" s="17">
        <v>44926</v>
      </c>
      <c r="F11" s="18">
        <v>5.76</v>
      </c>
      <c r="G11" s="19" t="s">
        <v>133</v>
      </c>
      <c r="H11" s="18">
        <v>1.7281728172817281</v>
      </c>
      <c r="I11" s="12" t="str">
        <f t="shared" si="0"/>
        <v>DCYCLE SATajonarwater4456244926</v>
      </c>
      <c r="J11" s="12">
        <f t="shared" si="1"/>
        <v>5.76</v>
      </c>
      <c r="K11" s="12">
        <f>IF(Combinadas!$C155="electricity", Combinadas!$J155/6.6667,
IF(Combinadas!$C155="water", Combinadas!$J155/3.333,
IF(Combinadas!$C155="heat", Combinadas!$J155/0.8333, IF(Combinadas!$C155="waste",Combinadas!$J155/25,
"NA"))))</f>
        <v>4233.278833605832</v>
      </c>
      <c r="L11" s="12">
        <f>Combinadas!$J155</f>
        <v>28222</v>
      </c>
      <c r="M11" s="12">
        <f>IF(Table4[[#This Row],[Type]]="waste", Table4[[#This Row],[Q_Tonnes]]/25, Table4[[#This Row],[CO2_Noduplicates]])</f>
        <v>4233.278833605832</v>
      </c>
    </row>
    <row r="12" spans="1:13" x14ac:dyDescent="0.25">
      <c r="A12" s="12" t="s">
        <v>8</v>
      </c>
      <c r="B12" s="12" t="s">
        <v>139</v>
      </c>
      <c r="C12" s="12" t="s">
        <v>140</v>
      </c>
      <c r="D12" s="13">
        <v>44593</v>
      </c>
      <c r="E12" s="13">
        <v>44620</v>
      </c>
      <c r="F12" s="14">
        <v>997.77869526497</v>
      </c>
      <c r="G12" s="15" t="s">
        <v>211</v>
      </c>
      <c r="H12" s="14">
        <v>1197.3823296111484</v>
      </c>
      <c r="I12" s="12" t="str">
        <f t="shared" si="0"/>
        <v>DCYCLE SAMadrid (A2)heat4459344620</v>
      </c>
      <c r="J12" s="12">
        <f t="shared" si="1"/>
        <v>997.77869526497</v>
      </c>
      <c r="K12" s="12">
        <f>IF(Combinadas!$C48="electricity", Combinadas!$J48/6.6667,
IF(Combinadas!$C48="water", Combinadas!$J48/3.333,
IF(Combinadas!$C48="heat", Combinadas!$J48/0.8333, IF(Combinadas!$C48="waste",Combinadas!$J48/25,
"NA"))))</f>
        <v>1477.2983957222832</v>
      </c>
      <c r="L12" s="12">
        <f>Combinadas!$J48</f>
        <v>1231.0327531553787</v>
      </c>
      <c r="M12" s="12">
        <f>IF(Table4[[#This Row],[Type]]="waste", Table4[[#This Row],[Q_Tonnes]]/25, Table4[[#This Row],[CO2_Noduplicates]])</f>
        <v>1477.2983957222832</v>
      </c>
    </row>
    <row r="13" spans="1:13" x14ac:dyDescent="0.25">
      <c r="A13" s="12" t="s">
        <v>8</v>
      </c>
      <c r="B13" s="12" t="s">
        <v>139</v>
      </c>
      <c r="C13" s="12" t="s">
        <v>128</v>
      </c>
      <c r="D13" s="13">
        <v>44601</v>
      </c>
      <c r="E13" s="13">
        <v>44936</v>
      </c>
      <c r="F13" s="14">
        <v>498790</v>
      </c>
      <c r="G13" s="15" t="s">
        <v>129</v>
      </c>
      <c r="H13" s="14">
        <v>74818.125909370458</v>
      </c>
      <c r="I13" s="12" t="str">
        <f t="shared" si="0"/>
        <v>DCYCLE SAMadrid (A2)electricity4460144936</v>
      </c>
      <c r="J13" s="12">
        <f t="shared" si="1"/>
        <v>498790</v>
      </c>
      <c r="K13" s="12">
        <f>IF(Combinadas!$C22="electricity", Combinadas!$J22/6.6667,
IF(Combinadas!$C22="water", Combinadas!$J22/3.333,
IF(Combinadas!$C22="heat", Combinadas!$J22/0.8333, IF(Combinadas!$C22="waste",Combinadas!$J22/25,
"NA"))))</f>
        <v>55.5055505550555</v>
      </c>
      <c r="L13" s="12">
        <f>Combinadas!$J22</f>
        <v>185</v>
      </c>
      <c r="M13" s="12">
        <f>IF(Table4[[#This Row],[Type]]="waste", Table4[[#This Row],[Q_Tonnes]]/25, Table4[[#This Row],[CO2_Noduplicates]])</f>
        <v>55.5055505550555</v>
      </c>
    </row>
    <row r="14" spans="1:13" x14ac:dyDescent="0.25">
      <c r="A14" s="12" t="s">
        <v>8</v>
      </c>
      <c r="B14" s="12" t="s">
        <v>139</v>
      </c>
      <c r="C14" s="12" t="s">
        <v>130</v>
      </c>
      <c r="D14" s="13">
        <v>44606</v>
      </c>
      <c r="E14" s="13">
        <v>44685</v>
      </c>
      <c r="F14" s="14">
        <v>93</v>
      </c>
      <c r="G14" s="15" t="s">
        <v>133</v>
      </c>
      <c r="H14" s="14">
        <v>27.902790279027901</v>
      </c>
      <c r="I14" s="12" t="str">
        <f t="shared" si="0"/>
        <v>DCYCLE SAMadrid (A2)water4460644685</v>
      </c>
      <c r="J14" s="12">
        <f t="shared" si="1"/>
        <v>93</v>
      </c>
      <c r="K14" s="12">
        <f>IF(Combinadas!$C72="electricity", Combinadas!$J72/6.6667,
IF(Combinadas!$C72="water", Combinadas!$J72/3.333,
IF(Combinadas!$C72="heat", Combinadas!$J72/0.8333, IF(Combinadas!$C72="waste",Combinadas!$J72/25,
"NA"))))</f>
        <v>0</v>
      </c>
      <c r="L14" s="12">
        <f>Combinadas!$J72</f>
        <v>0</v>
      </c>
      <c r="M14" s="12">
        <f>IF(Table4[[#This Row],[Type]]="waste", Table4[[#This Row],[Q_Tonnes]]/25, Table4[[#This Row],[CO2_Noduplicates]])</f>
        <v>0</v>
      </c>
    </row>
    <row r="15" spans="1:13" x14ac:dyDescent="0.25">
      <c r="A15" s="16" t="s">
        <v>8</v>
      </c>
      <c r="B15" s="16" t="s">
        <v>80</v>
      </c>
      <c r="C15" s="16" t="s">
        <v>130</v>
      </c>
      <c r="D15" s="17">
        <v>44606</v>
      </c>
      <c r="E15" s="17">
        <v>44685</v>
      </c>
      <c r="F15" s="18">
        <v>64</v>
      </c>
      <c r="G15" s="19" t="s">
        <v>133</v>
      </c>
      <c r="H15" s="18">
        <v>19.201920192019202</v>
      </c>
      <c r="I15" s="12" t="str">
        <f t="shared" si="0"/>
        <v>DCYCLE SAMadridwater4460644685</v>
      </c>
      <c r="J15" s="12">
        <f t="shared" si="1"/>
        <v>0</v>
      </c>
      <c r="K15" s="12">
        <f>IF(Combinadas!$C121="electricity", Combinadas!$J121/6.6667,
IF(Combinadas!$C121="water", Combinadas!$J121/3.333,
IF(Combinadas!$C121="heat", Combinadas!$J121/0.8333, IF(Combinadas!$C121="waste",Combinadas!$J121/25,
"NA"))))</f>
        <v>0</v>
      </c>
      <c r="L15" s="12">
        <f>Combinadas!$J121</f>
        <v>0</v>
      </c>
      <c r="M15" s="12">
        <f>IF(Table4[[#This Row],[Type]]="waste", Table4[[#This Row],[Q_Tonnes]]/25, Table4[[#This Row],[CO2_Noduplicates]])</f>
        <v>0</v>
      </c>
    </row>
    <row r="16" spans="1:13" x14ac:dyDescent="0.25">
      <c r="A16" s="12" t="s">
        <v>8</v>
      </c>
      <c r="B16" s="12" t="s">
        <v>80</v>
      </c>
      <c r="C16" s="12" t="s">
        <v>130</v>
      </c>
      <c r="D16" s="13">
        <v>44606</v>
      </c>
      <c r="E16" s="13">
        <v>44685</v>
      </c>
      <c r="F16" s="14">
        <v>67</v>
      </c>
      <c r="G16" s="15" t="s">
        <v>133</v>
      </c>
      <c r="H16" s="14">
        <v>20.1020102010201</v>
      </c>
      <c r="I16" s="12" t="str">
        <f t="shared" si="0"/>
        <v>DCYCLE SAMadridwater4460644685</v>
      </c>
      <c r="J16" s="12">
        <f t="shared" si="1"/>
        <v>0</v>
      </c>
      <c r="K16" s="12">
        <f>IF(Combinadas!$C122="electricity", Combinadas!$J122/6.6667,
IF(Combinadas!$C122="water", Combinadas!$J122/3.333,
IF(Combinadas!$C122="heat", Combinadas!$J122/0.8333, IF(Combinadas!$C122="waste",Combinadas!$J122/25,
"NA"))))</f>
        <v>9662.3516882415588</v>
      </c>
      <c r="L16" s="12">
        <f>Combinadas!$J122</f>
        <v>64416</v>
      </c>
      <c r="M16" s="12">
        <f>IF(Table4[[#This Row],[Type]]="waste", Table4[[#This Row],[Q_Tonnes]]/25, Table4[[#This Row],[CO2_Noduplicates]])</f>
        <v>9662.3516882415588</v>
      </c>
    </row>
    <row r="17" spans="1:13" x14ac:dyDescent="0.25">
      <c r="A17" s="16" t="s">
        <v>8</v>
      </c>
      <c r="B17" s="16" t="s">
        <v>80</v>
      </c>
      <c r="C17" s="16" t="s">
        <v>130</v>
      </c>
      <c r="D17" s="17">
        <v>44606</v>
      </c>
      <c r="E17" s="17">
        <v>44685</v>
      </c>
      <c r="F17" s="18">
        <v>209</v>
      </c>
      <c r="G17" s="19" t="s">
        <v>133</v>
      </c>
      <c r="H17" s="18">
        <v>62.7062706270627</v>
      </c>
      <c r="I17" s="12" t="str">
        <f t="shared" si="0"/>
        <v>DCYCLE SAMadridwater4460644685</v>
      </c>
      <c r="J17" s="12">
        <f t="shared" si="1"/>
        <v>209</v>
      </c>
      <c r="K17" s="12">
        <f>IF(Combinadas!$C123="electricity", Combinadas!$J123/6.6667,
IF(Combinadas!$C123="water", Combinadas!$J123/3.333,
IF(Combinadas!$C123="heat", Combinadas!$J123/0.8333, IF(Combinadas!$C123="waste",Combinadas!$J123/25,
"NA"))))</f>
        <v>391.79804100979499</v>
      </c>
      <c r="L17" s="12">
        <f>Combinadas!$J123</f>
        <v>2612</v>
      </c>
      <c r="M17" s="12">
        <f>IF(Table4[[#This Row],[Type]]="waste", Table4[[#This Row],[Q_Tonnes]]/25, Table4[[#This Row],[CO2_Noduplicates]])</f>
        <v>391.79804100979499</v>
      </c>
    </row>
    <row r="18" spans="1:13" x14ac:dyDescent="0.25">
      <c r="A18" s="12" t="s">
        <v>8</v>
      </c>
      <c r="B18" s="12" t="s">
        <v>80</v>
      </c>
      <c r="C18" s="12" t="s">
        <v>130</v>
      </c>
      <c r="D18" s="13">
        <v>44606</v>
      </c>
      <c r="E18" s="13">
        <v>44778</v>
      </c>
      <c r="F18" s="14">
        <v>9</v>
      </c>
      <c r="G18" s="15" t="s">
        <v>133</v>
      </c>
      <c r="H18" s="14">
        <v>2.7002700270027002</v>
      </c>
      <c r="I18" s="12" t="str">
        <f t="shared" si="0"/>
        <v>DCYCLE SAMadridwater4460644778</v>
      </c>
      <c r="J18" s="12">
        <f t="shared" si="1"/>
        <v>9</v>
      </c>
      <c r="K18" s="12">
        <f>IF(Combinadas!$C124="electricity", Combinadas!$J124/6.6667,
IF(Combinadas!$C124="water", Combinadas!$J124/3.333,
IF(Combinadas!$C124="heat", Combinadas!$J124/0.8333, IF(Combinadas!$C124="waste",Combinadas!$J124/25,
"NA"))))</f>
        <v>2277.3186134069333</v>
      </c>
      <c r="L18" s="12">
        <f>Combinadas!$J124</f>
        <v>15182.2</v>
      </c>
      <c r="M18" s="12">
        <f>IF(Table4[[#This Row],[Type]]="waste", Table4[[#This Row],[Q_Tonnes]]/25, Table4[[#This Row],[CO2_Noduplicates]])</f>
        <v>2277.3186134069333</v>
      </c>
    </row>
    <row r="19" spans="1:13" x14ac:dyDescent="0.25">
      <c r="A19" s="16" t="s">
        <v>8</v>
      </c>
      <c r="B19" s="16" t="s">
        <v>139</v>
      </c>
      <c r="C19" s="16" t="s">
        <v>140</v>
      </c>
      <c r="D19" s="17">
        <v>44621</v>
      </c>
      <c r="E19" s="17">
        <v>44651</v>
      </c>
      <c r="F19" s="18">
        <v>977.71529765824664</v>
      </c>
      <c r="G19" s="19" t="s">
        <v>211</v>
      </c>
      <c r="H19" s="18">
        <v>1173.305289401472</v>
      </c>
      <c r="I19" s="12" t="str">
        <f t="shared" si="0"/>
        <v>DCYCLE SAMadrid (A2)heat4462144651</v>
      </c>
      <c r="J19" s="12">
        <f t="shared" si="1"/>
        <v>977.71529765824664</v>
      </c>
      <c r="K19" s="12">
        <f>IF(Combinadas!$C49="electricity", Combinadas!$J49/6.6667,
IF(Combinadas!$C49="water", Combinadas!$J49/3.333,
IF(Combinadas!$C49="heat", Combinadas!$J49/0.8333, IF(Combinadas!$C49="waste",Combinadas!$J49/25,
"NA"))))</f>
        <v>1.9711971197119711</v>
      </c>
      <c r="L19" s="12">
        <f>Combinadas!$J49</f>
        <v>6.57</v>
      </c>
      <c r="M19" s="12">
        <f>IF(Table4[[#This Row],[Type]]="waste", Table4[[#This Row],[Q_Tonnes]]/25, Table4[[#This Row],[CO2_Noduplicates]])</f>
        <v>1.9711971197119711</v>
      </c>
    </row>
    <row r="20" spans="1:13" x14ac:dyDescent="0.25">
      <c r="A20" s="12" t="s">
        <v>8</v>
      </c>
      <c r="B20" s="12" t="s">
        <v>139</v>
      </c>
      <c r="C20" s="12" t="s">
        <v>140</v>
      </c>
      <c r="D20" s="13">
        <v>44652</v>
      </c>
      <c r="E20" s="13">
        <v>44681</v>
      </c>
      <c r="F20" s="14">
        <v>516.25715270361115</v>
      </c>
      <c r="G20" s="15" t="s">
        <v>211</v>
      </c>
      <c r="H20" s="14">
        <v>619.53336457891646</v>
      </c>
      <c r="I20" s="12" t="str">
        <f t="shared" si="0"/>
        <v>DCYCLE SAMadrid (A2)heat4465244681</v>
      </c>
      <c r="J20" s="12">
        <f t="shared" si="1"/>
        <v>516.25715270361115</v>
      </c>
      <c r="K20" s="12">
        <f>IF(Combinadas!$C50="electricity", Combinadas!$J50/6.6667,
IF(Combinadas!$C50="water", Combinadas!$J50/3.333,
IF(Combinadas!$C50="heat", Combinadas!$J50/0.8333, IF(Combinadas!$C50="waste",Combinadas!$J50/25,
"NA"))))</f>
        <v>117.6</v>
      </c>
      <c r="L20" s="12">
        <f>Combinadas!$J50</f>
        <v>2940</v>
      </c>
      <c r="M20" s="12">
        <f>IF(Table4[[#This Row],[Type]]="waste", Table4[[#This Row],[Q_Tonnes]]/25, Table4[[#This Row],[CO2_Noduplicates]])</f>
        <v>117.6</v>
      </c>
    </row>
    <row r="21" spans="1:13" x14ac:dyDescent="0.25">
      <c r="A21" s="16" t="s">
        <v>8</v>
      </c>
      <c r="B21" s="16" t="s">
        <v>139</v>
      </c>
      <c r="C21" s="16" t="s">
        <v>140</v>
      </c>
      <c r="D21" s="17">
        <v>44682</v>
      </c>
      <c r="E21" s="17">
        <v>44712</v>
      </c>
      <c r="F21" s="18">
        <v>59.576007179147716</v>
      </c>
      <c r="G21" s="19" t="s">
        <v>211</v>
      </c>
      <c r="H21" s="18">
        <v>71.494068377712367</v>
      </c>
      <c r="I21" s="12" t="str">
        <f t="shared" si="0"/>
        <v>DCYCLE SAMadrid (A2)heat4468244712</v>
      </c>
      <c r="J21" s="12">
        <f t="shared" si="1"/>
        <v>59.576007179147716</v>
      </c>
      <c r="K21" s="12">
        <f>IF(Combinadas!$C51="electricity", Combinadas!$J51/6.6667,
IF(Combinadas!$C51="water", Combinadas!$J51/3.333,
IF(Combinadas!$C51="heat", Combinadas!$J51/0.8333, IF(Combinadas!$C51="waste",Combinadas!$J51/25,
"NA"))))</f>
        <v>124</v>
      </c>
      <c r="L21" s="12">
        <f>Combinadas!$J51</f>
        <v>3100</v>
      </c>
      <c r="M21" s="12">
        <f>IF(Table4[[#This Row],[Type]]="waste", Table4[[#This Row],[Q_Tonnes]]/25, Table4[[#This Row],[CO2_Noduplicates]])</f>
        <v>124</v>
      </c>
    </row>
    <row r="22" spans="1:13" x14ac:dyDescent="0.25">
      <c r="A22" s="16" t="s">
        <v>8</v>
      </c>
      <c r="B22" s="16" t="s">
        <v>139</v>
      </c>
      <c r="C22" s="16" t="s">
        <v>130</v>
      </c>
      <c r="D22" s="17">
        <v>44685</v>
      </c>
      <c r="E22" s="17">
        <v>44778</v>
      </c>
      <c r="F22" s="18">
        <v>185</v>
      </c>
      <c r="G22" s="19" t="s">
        <v>133</v>
      </c>
      <c r="H22" s="18">
        <v>55.5055505550555</v>
      </c>
      <c r="I22" s="12" t="str">
        <f t="shared" si="0"/>
        <v>DCYCLE SAMadrid (A2)water4468544778</v>
      </c>
      <c r="J22" s="12">
        <f t="shared" si="1"/>
        <v>185</v>
      </c>
      <c r="K22" s="12">
        <f>IF(Combinadas!$C73="electricity", Combinadas!$J73/6.6667,
IF(Combinadas!$C73="water", Combinadas!$J73/3.333,
IF(Combinadas!$C73="heat", Combinadas!$J73/0.8333, IF(Combinadas!$C73="waste",Combinadas!$J73/25,
"NA"))))</f>
        <v>11565.392173039136</v>
      </c>
      <c r="L22" s="12">
        <f>Combinadas!$J73</f>
        <v>77103</v>
      </c>
      <c r="M22" s="12">
        <f>IF(Table4[[#This Row],[Type]]="waste", Table4[[#This Row],[Q_Tonnes]]/25, Table4[[#This Row],[CO2_Noduplicates]])</f>
        <v>11565.392173039136</v>
      </c>
    </row>
    <row r="23" spans="1:13" x14ac:dyDescent="0.25">
      <c r="A23" s="16" t="s">
        <v>8</v>
      </c>
      <c r="B23" s="16" t="s">
        <v>80</v>
      </c>
      <c r="C23" s="16" t="s">
        <v>130</v>
      </c>
      <c r="D23" s="17">
        <v>44685</v>
      </c>
      <c r="E23" s="17">
        <v>44778</v>
      </c>
      <c r="F23" s="18">
        <v>49</v>
      </c>
      <c r="G23" s="19" t="s">
        <v>133</v>
      </c>
      <c r="H23" s="18">
        <v>14.701470147014701</v>
      </c>
      <c r="I23" s="12" t="str">
        <f t="shared" si="0"/>
        <v>DCYCLE SAMadridwater4468544778</v>
      </c>
      <c r="J23" s="12">
        <f t="shared" si="1"/>
        <v>0</v>
      </c>
      <c r="K23" s="12">
        <f>IF(Combinadas!$C125="electricity", Combinadas!$J125/6.6667,
IF(Combinadas!$C125="water", Combinadas!$J125/3.333,
IF(Combinadas!$C125="heat", Combinadas!$J125/0.8333, IF(Combinadas!$C125="waste",Combinadas!$J125/25,
"NA"))))</f>
        <v>0</v>
      </c>
      <c r="L23" s="12">
        <f>Combinadas!$J125</f>
        <v>0</v>
      </c>
      <c r="M23" s="12">
        <f>IF(Table4[[#This Row],[Type]]="waste", Table4[[#This Row],[Q_Tonnes]]/25, Table4[[#This Row],[CO2_Noduplicates]])</f>
        <v>0</v>
      </c>
    </row>
    <row r="24" spans="1:13" x14ac:dyDescent="0.25">
      <c r="A24" s="12" t="s">
        <v>8</v>
      </c>
      <c r="B24" s="12" t="s">
        <v>80</v>
      </c>
      <c r="C24" s="12" t="s">
        <v>130</v>
      </c>
      <c r="D24" s="13">
        <v>44685</v>
      </c>
      <c r="E24" s="13">
        <v>44778</v>
      </c>
      <c r="F24" s="14">
        <v>367</v>
      </c>
      <c r="G24" s="15" t="s">
        <v>133</v>
      </c>
      <c r="H24" s="14">
        <v>110.11101110111011</v>
      </c>
      <c r="I24" s="12" t="str">
        <f t="shared" si="0"/>
        <v>DCYCLE SAMadridwater4468544778</v>
      </c>
      <c r="J24" s="12">
        <f t="shared" si="1"/>
        <v>367</v>
      </c>
      <c r="K24" s="12">
        <f>IF(Combinadas!$C126="electricity", Combinadas!$J126/6.6667,
IF(Combinadas!$C126="water", Combinadas!$J126/3.333,
IF(Combinadas!$C126="heat", Combinadas!$J126/0.8333, IF(Combinadas!$C126="waste",Combinadas!$J126/25,
"NA"))))</f>
        <v>2846.3002684986577</v>
      </c>
      <c r="L24" s="12">
        <f>Combinadas!$J126</f>
        <v>18975.43</v>
      </c>
      <c r="M24" s="12">
        <f>IF(Table4[[#This Row],[Type]]="waste", Table4[[#This Row],[Q_Tonnes]]/25, Table4[[#This Row],[CO2_Noduplicates]])</f>
        <v>2846.3002684986577</v>
      </c>
    </row>
    <row r="25" spans="1:13" x14ac:dyDescent="0.25">
      <c r="A25" s="12" t="s">
        <v>8</v>
      </c>
      <c r="B25" s="12" t="s">
        <v>139</v>
      </c>
      <c r="C25" s="12" t="s">
        <v>140</v>
      </c>
      <c r="D25" s="13">
        <v>44713</v>
      </c>
      <c r="E25" s="13">
        <v>44742</v>
      </c>
      <c r="F25" s="14">
        <v>0</v>
      </c>
      <c r="G25" s="15" t="s">
        <v>211</v>
      </c>
      <c r="H25" s="14">
        <v>0</v>
      </c>
      <c r="I25" s="12" t="str">
        <f t="shared" si="0"/>
        <v>DCYCLE SAMadrid (A2)heat4471344742</v>
      </c>
      <c r="J25" s="12">
        <f t="shared" si="1"/>
        <v>0</v>
      </c>
      <c r="K25" s="12">
        <f>IF(Combinadas!$C52="electricity", Combinadas!$J52/6.6667,
IF(Combinadas!$C52="water", Combinadas!$J52/3.333,
IF(Combinadas!$C52="heat", Combinadas!$J52/0.8333, IF(Combinadas!$C52="waste",Combinadas!$J52/25,
"NA"))))</f>
        <v>137.6</v>
      </c>
      <c r="L25" s="12">
        <f>Combinadas!$J52</f>
        <v>3440</v>
      </c>
      <c r="M25" s="12">
        <f>IF(Table4[[#This Row],[Type]]="waste", Table4[[#This Row],[Q_Tonnes]]/25, Table4[[#This Row],[CO2_Noduplicates]])</f>
        <v>137.6</v>
      </c>
    </row>
    <row r="26" spans="1:13" x14ac:dyDescent="0.25">
      <c r="A26" s="16" t="s">
        <v>8</v>
      </c>
      <c r="B26" s="16" t="s">
        <v>139</v>
      </c>
      <c r="C26" s="16" t="s">
        <v>140</v>
      </c>
      <c r="D26" s="17">
        <v>44743</v>
      </c>
      <c r="E26" s="17">
        <v>44773</v>
      </c>
      <c r="F26" s="18">
        <v>0</v>
      </c>
      <c r="G26" s="19" t="s">
        <v>211</v>
      </c>
      <c r="H26" s="18">
        <v>0</v>
      </c>
      <c r="I26" s="12" t="str">
        <f t="shared" si="0"/>
        <v>DCYCLE SAMadrid (A2)heat4474344773</v>
      </c>
      <c r="J26" s="12">
        <f t="shared" si="1"/>
        <v>0</v>
      </c>
      <c r="K26" s="12">
        <f>IF(Combinadas!$C53="electricity", Combinadas!$J53/6.6667,
IF(Combinadas!$C53="water", Combinadas!$J53/3.333,
IF(Combinadas!$C53="heat", Combinadas!$J53/0.8333, IF(Combinadas!$C53="waste",Combinadas!$J53/25,
"NA"))))</f>
        <v>207.2</v>
      </c>
      <c r="L26" s="12">
        <f>Combinadas!$J53</f>
        <v>5180</v>
      </c>
      <c r="M26" s="12">
        <f>IF(Table4[[#This Row],[Type]]="waste", Table4[[#This Row],[Q_Tonnes]]/25, Table4[[#This Row],[CO2_Noduplicates]])</f>
        <v>207.2</v>
      </c>
    </row>
    <row r="27" spans="1:13" x14ac:dyDescent="0.25">
      <c r="A27" s="12" t="s">
        <v>8</v>
      </c>
      <c r="B27" s="12" t="s">
        <v>139</v>
      </c>
      <c r="C27" s="12" t="s">
        <v>140</v>
      </c>
      <c r="D27" s="13">
        <v>44774</v>
      </c>
      <c r="E27" s="13">
        <v>44804</v>
      </c>
      <c r="F27" s="14">
        <v>0</v>
      </c>
      <c r="G27" s="15" t="s">
        <v>211</v>
      </c>
      <c r="H27" s="14">
        <v>0</v>
      </c>
      <c r="I27" s="12" t="str">
        <f t="shared" si="0"/>
        <v>DCYCLE SAMadrid (A2)heat4477444804</v>
      </c>
      <c r="J27" s="12">
        <f t="shared" si="1"/>
        <v>0</v>
      </c>
      <c r="K27" s="12">
        <f>IF(Combinadas!$C54="electricity", Combinadas!$J54/6.6667,
IF(Combinadas!$C54="water", Combinadas!$J54/3.333,
IF(Combinadas!$C54="heat", Combinadas!$J54/0.8333, IF(Combinadas!$C54="waste",Combinadas!$J54/25,
"NA"))))</f>
        <v>4.5004500450045004</v>
      </c>
      <c r="L27" s="12">
        <f>Combinadas!$J54</f>
        <v>15</v>
      </c>
      <c r="M27" s="12">
        <f>IF(Table4[[#This Row],[Type]]="waste", Table4[[#This Row],[Q_Tonnes]]/25, Table4[[#This Row],[CO2_Noduplicates]])</f>
        <v>4.5004500450045004</v>
      </c>
    </row>
    <row r="28" spans="1:13" x14ac:dyDescent="0.25">
      <c r="A28" s="12" t="s">
        <v>8</v>
      </c>
      <c r="B28" s="12" t="s">
        <v>139</v>
      </c>
      <c r="C28" s="12" t="s">
        <v>130</v>
      </c>
      <c r="D28" s="13">
        <v>44778</v>
      </c>
      <c r="E28" s="13">
        <v>44874</v>
      </c>
      <c r="F28" s="14">
        <v>91</v>
      </c>
      <c r="G28" s="15" t="s">
        <v>133</v>
      </c>
      <c r="H28" s="14">
        <v>27.302730273027301</v>
      </c>
      <c r="I28" s="12" t="str">
        <f t="shared" si="0"/>
        <v>DCYCLE SAMadrid (A2)water4477844874</v>
      </c>
      <c r="J28" s="12">
        <f t="shared" si="1"/>
        <v>91</v>
      </c>
      <c r="K28" s="12">
        <f>IF(Combinadas!$C74="electricity", Combinadas!$J74/6.6667,
IF(Combinadas!$C74="water", Combinadas!$J74/3.333,
IF(Combinadas!$C74="heat", Combinadas!$J74/0.8333, IF(Combinadas!$C74="waste",Combinadas!$J74/25,
"NA"))))</f>
        <v>573.29713351433247</v>
      </c>
      <c r="L28" s="12">
        <f>Combinadas!$J74</f>
        <v>3822</v>
      </c>
      <c r="M28" s="12">
        <f>IF(Table4[[#This Row],[Type]]="waste", Table4[[#This Row],[Q_Tonnes]]/25, Table4[[#This Row],[CO2_Noduplicates]])</f>
        <v>573.29713351433247</v>
      </c>
    </row>
    <row r="29" spans="1:13" x14ac:dyDescent="0.25">
      <c r="A29" s="16" t="s">
        <v>8</v>
      </c>
      <c r="B29" s="16" t="s">
        <v>80</v>
      </c>
      <c r="C29" s="16" t="s">
        <v>130</v>
      </c>
      <c r="D29" s="17">
        <v>44778</v>
      </c>
      <c r="E29" s="17">
        <v>44874</v>
      </c>
      <c r="F29" s="18">
        <v>4</v>
      </c>
      <c r="G29" s="19" t="s">
        <v>133</v>
      </c>
      <c r="H29" s="18">
        <v>1.2001200120012001</v>
      </c>
      <c r="I29" s="12" t="str">
        <f t="shared" si="0"/>
        <v>DCYCLE SAMadridwater4477844874</v>
      </c>
      <c r="J29" s="12">
        <f t="shared" si="1"/>
        <v>0</v>
      </c>
      <c r="K29" s="12">
        <f>IF(Combinadas!$C127="electricity", Combinadas!$J127/6.6667,
IF(Combinadas!$C127="water", Combinadas!$J127/3.333,
IF(Combinadas!$C127="heat", Combinadas!$J127/0.8333, IF(Combinadas!$C127="waste",Combinadas!$J127/25,
"NA"))))</f>
        <v>0.76</v>
      </c>
      <c r="L29" s="12">
        <f>Combinadas!$J127</f>
        <v>19</v>
      </c>
      <c r="M29" s="12">
        <f>IF(Table4[[#This Row],[Type]]="waste", Table4[[#This Row],[Q_Tonnes]]/25, Table4[[#This Row],[CO2_Noduplicates]])</f>
        <v>0.76</v>
      </c>
    </row>
    <row r="30" spans="1:13" x14ac:dyDescent="0.25">
      <c r="A30" s="12" t="s">
        <v>8</v>
      </c>
      <c r="B30" s="12" t="s">
        <v>80</v>
      </c>
      <c r="C30" s="12" t="s">
        <v>130</v>
      </c>
      <c r="D30" s="13">
        <v>44778</v>
      </c>
      <c r="E30" s="13">
        <v>44874</v>
      </c>
      <c r="F30" s="14">
        <v>77</v>
      </c>
      <c r="G30" s="15" t="s">
        <v>133</v>
      </c>
      <c r="H30" s="14">
        <v>23.1023102310231</v>
      </c>
      <c r="I30" s="12" t="str">
        <f t="shared" si="0"/>
        <v>DCYCLE SAMadridwater4477844874</v>
      </c>
      <c r="J30" s="12">
        <f t="shared" si="1"/>
        <v>0</v>
      </c>
      <c r="K30" s="12">
        <f>IF(Combinadas!$C128="electricity", Combinadas!$J128/6.6667,
IF(Combinadas!$C128="water", Combinadas!$J128/3.333,
IF(Combinadas!$C128="heat", Combinadas!$J128/0.8333, IF(Combinadas!$C128="waste",Combinadas!$J128/25,
"NA"))))</f>
        <v>2.6</v>
      </c>
      <c r="L30" s="12">
        <f>Combinadas!$J128</f>
        <v>65</v>
      </c>
      <c r="M30" s="12">
        <f>IF(Table4[[#This Row],[Type]]="waste", Table4[[#This Row],[Q_Tonnes]]/25, Table4[[#This Row],[CO2_Noduplicates]])</f>
        <v>2.6</v>
      </c>
    </row>
    <row r="31" spans="1:13" x14ac:dyDescent="0.25">
      <c r="A31" s="16" t="s">
        <v>8</v>
      </c>
      <c r="B31" s="16" t="s">
        <v>80</v>
      </c>
      <c r="C31" s="16" t="s">
        <v>130</v>
      </c>
      <c r="D31" s="17">
        <v>44778</v>
      </c>
      <c r="E31" s="17">
        <v>44874</v>
      </c>
      <c r="F31" s="18">
        <v>239</v>
      </c>
      <c r="G31" s="19" t="s">
        <v>133</v>
      </c>
      <c r="H31" s="18">
        <v>71.707170717071705</v>
      </c>
      <c r="I31" s="12" t="str">
        <f t="shared" si="0"/>
        <v>DCYCLE SAMadridwater4477844874</v>
      </c>
      <c r="J31" s="12">
        <f t="shared" si="1"/>
        <v>239</v>
      </c>
      <c r="K31" s="12">
        <f>IF(Combinadas!$C129="electricity", Combinadas!$J129/6.6667,
IF(Combinadas!$C129="water", Combinadas!$J129/3.333,
IF(Combinadas!$C129="heat", Combinadas!$J129/0.8333, IF(Combinadas!$C129="waste",Combinadas!$J129/25,
"NA"))))</f>
        <v>5.6</v>
      </c>
      <c r="L31" s="12">
        <f>Combinadas!$J129</f>
        <v>140</v>
      </c>
      <c r="M31" s="12">
        <f>IF(Table4[[#This Row],[Type]]="waste", Table4[[#This Row],[Q_Tonnes]]/25, Table4[[#This Row],[CO2_Noduplicates]])</f>
        <v>5.6</v>
      </c>
    </row>
    <row r="32" spans="1:13" x14ac:dyDescent="0.25">
      <c r="A32" s="16" t="s">
        <v>8</v>
      </c>
      <c r="B32" s="16" t="s">
        <v>139</v>
      </c>
      <c r="C32" s="16" t="s">
        <v>140</v>
      </c>
      <c r="D32" s="17">
        <v>44805</v>
      </c>
      <c r="E32" s="17">
        <v>44834</v>
      </c>
      <c r="F32" s="18">
        <v>0</v>
      </c>
      <c r="G32" s="19" t="s">
        <v>211</v>
      </c>
      <c r="H32" s="18">
        <v>0</v>
      </c>
      <c r="I32" s="12" t="str">
        <f t="shared" si="0"/>
        <v>DCYCLE SAMadrid (A2)heat4480544834</v>
      </c>
      <c r="J32" s="12">
        <f t="shared" si="1"/>
        <v>0</v>
      </c>
      <c r="K32" s="12">
        <f>IF(Combinadas!$C55="electricity", Combinadas!$J55/6.6667,
IF(Combinadas!$C55="water", Combinadas!$J55/3.333,
IF(Combinadas!$C55="heat", Combinadas!$J55/0.8333, IF(Combinadas!$C55="waste",Combinadas!$J55/25,
"NA"))))</f>
        <v>1692.5915370423149</v>
      </c>
      <c r="L32" s="12">
        <f>Combinadas!$J55</f>
        <v>11284</v>
      </c>
      <c r="M32" s="12">
        <f>IF(Table4[[#This Row],[Type]]="waste", Table4[[#This Row],[Q_Tonnes]]/25, Table4[[#This Row],[CO2_Noduplicates]])</f>
        <v>1692.5915370423149</v>
      </c>
    </row>
    <row r="33" spans="1:13" x14ac:dyDescent="0.25">
      <c r="A33" s="12" t="s">
        <v>8</v>
      </c>
      <c r="B33" s="12" t="s">
        <v>139</v>
      </c>
      <c r="C33" s="12" t="s">
        <v>140</v>
      </c>
      <c r="D33" s="13">
        <v>44835</v>
      </c>
      <c r="E33" s="13">
        <v>44865</v>
      </c>
      <c r="F33" s="14">
        <v>0</v>
      </c>
      <c r="G33" s="15" t="s">
        <v>211</v>
      </c>
      <c r="H33" s="14">
        <v>0</v>
      </c>
      <c r="I33" s="12" t="str">
        <f t="shared" si="0"/>
        <v>DCYCLE SAMadrid (A2)heat4483544865</v>
      </c>
      <c r="J33" s="12">
        <f t="shared" si="1"/>
        <v>0</v>
      </c>
      <c r="K33" s="12">
        <f>IF(Combinadas!$C56="electricity", Combinadas!$J56/6.6667,
IF(Combinadas!$C56="water", Combinadas!$J56/3.333,
IF(Combinadas!$C56="heat", Combinadas!$J56/0.8333, IF(Combinadas!$C56="waste",Combinadas!$J56/25,
"NA"))))</f>
        <v>7122.5643871780649</v>
      </c>
      <c r="L33" s="12">
        <f>Combinadas!$J56</f>
        <v>47484</v>
      </c>
      <c r="M33" s="12">
        <f>IF(Table4[[#This Row],[Type]]="waste", Table4[[#This Row],[Q_Tonnes]]/25, Table4[[#This Row],[CO2_Noduplicates]])</f>
        <v>7122.5643871780649</v>
      </c>
    </row>
    <row r="34" spans="1:13" x14ac:dyDescent="0.25">
      <c r="A34" s="16" t="s">
        <v>8</v>
      </c>
      <c r="B34" s="16" t="s">
        <v>127</v>
      </c>
      <c r="C34" s="16" t="s">
        <v>130</v>
      </c>
      <c r="D34" s="17">
        <v>44862</v>
      </c>
      <c r="E34" s="17">
        <v>44925</v>
      </c>
      <c r="F34" s="18">
        <v>12</v>
      </c>
      <c r="G34" s="19" t="s">
        <v>133</v>
      </c>
      <c r="H34" s="18">
        <v>3.6003600360036003</v>
      </c>
      <c r="I34" s="12" t="str">
        <f t="shared" si="0"/>
        <v>DCYCLE SABCNwater4486244925</v>
      </c>
      <c r="J34" s="12">
        <f t="shared" si="1"/>
        <v>12</v>
      </c>
      <c r="K34" s="12">
        <f>IF(Combinadas!$C15="electricity", Combinadas!$J15/6.6667,
IF(Combinadas!$C15="water", Combinadas!$J15/3.333,
IF(Combinadas!$C15="heat", Combinadas!$J15/0.8333, IF(Combinadas!$C15="waste",Combinadas!$J15/25,
"NA"))))</f>
        <v>0</v>
      </c>
      <c r="L34" s="12">
        <f>Combinadas!$J15</f>
        <v>0</v>
      </c>
      <c r="M34" s="12">
        <f>IF(Table4[[#This Row],[Type]]="waste", Table4[[#This Row],[Q_Tonnes]]/25, Table4[[#This Row],[CO2_Noduplicates]])</f>
        <v>0</v>
      </c>
    </row>
    <row r="35" spans="1:13" x14ac:dyDescent="0.25">
      <c r="A35" s="16" t="s">
        <v>8</v>
      </c>
      <c r="B35" s="16" t="s">
        <v>139</v>
      </c>
      <c r="C35" s="16" t="s">
        <v>140</v>
      </c>
      <c r="D35" s="17">
        <v>44866</v>
      </c>
      <c r="E35" s="17">
        <v>44895</v>
      </c>
      <c r="F35" s="18">
        <v>433.17148404311587</v>
      </c>
      <c r="G35" s="19" t="s">
        <v>211</v>
      </c>
      <c r="H35" s="18">
        <v>519.82657391469559</v>
      </c>
      <c r="I35" s="12" t="str">
        <f t="shared" si="0"/>
        <v>DCYCLE SAMadrid (A2)heat4486644895</v>
      </c>
      <c r="J35" s="12">
        <f t="shared" si="1"/>
        <v>433.17148404311587</v>
      </c>
      <c r="K35" s="12">
        <f>IF(Combinadas!$C57="electricity", Combinadas!$J57/6.6667,
IF(Combinadas!$C57="water", Combinadas!$J57/3.333,
IF(Combinadas!$C57="heat", Combinadas!$J57/0.8333, IF(Combinadas!$C57="waste",Combinadas!$J57/25,
"NA"))))</f>
        <v>0</v>
      </c>
      <c r="L35" s="12">
        <f>Combinadas!$J57</f>
        <v>0</v>
      </c>
      <c r="M35" s="12">
        <f>IF(Table4[[#This Row],[Type]]="waste", Table4[[#This Row],[Q_Tonnes]]/25, Table4[[#This Row],[CO2_Noduplicates]])</f>
        <v>0</v>
      </c>
    </row>
    <row r="36" spans="1:13" x14ac:dyDescent="0.25">
      <c r="A36" s="16" t="s">
        <v>8</v>
      </c>
      <c r="B36" s="16" t="s">
        <v>139</v>
      </c>
      <c r="C36" s="16" t="s">
        <v>130</v>
      </c>
      <c r="D36" s="17">
        <v>44874</v>
      </c>
      <c r="E36" s="17">
        <v>44964</v>
      </c>
      <c r="F36" s="18">
        <v>104</v>
      </c>
      <c r="G36" s="19" t="s">
        <v>133</v>
      </c>
      <c r="H36" s="18">
        <v>31.203120312031203</v>
      </c>
      <c r="I36" s="12" t="str">
        <f t="shared" si="0"/>
        <v>DCYCLE SAMadrid (A2)water4487444964</v>
      </c>
      <c r="J36" s="12">
        <f t="shared" si="1"/>
        <v>104</v>
      </c>
      <c r="K36" s="12">
        <f>IF(Combinadas!$C75="electricity", Combinadas!$J75/6.6667,
IF(Combinadas!$C75="water", Combinadas!$J75/3.333,
IF(Combinadas!$C75="heat", Combinadas!$J75/0.8333, IF(Combinadas!$C75="waste",Combinadas!$J75/25,
"NA"))))</f>
        <v>4.8004800480048004</v>
      </c>
      <c r="L36" s="12">
        <f>Combinadas!$J75</f>
        <v>16</v>
      </c>
      <c r="M36" s="12">
        <f>IF(Table4[[#This Row],[Type]]="waste", Table4[[#This Row],[Q_Tonnes]]/25, Table4[[#This Row],[CO2_Noduplicates]])</f>
        <v>4.8004800480048004</v>
      </c>
    </row>
    <row r="37" spans="1:13" x14ac:dyDescent="0.25">
      <c r="A37" s="12" t="s">
        <v>8</v>
      </c>
      <c r="B37" s="12" t="s">
        <v>80</v>
      </c>
      <c r="C37" s="12" t="s">
        <v>130</v>
      </c>
      <c r="D37" s="13">
        <v>44874</v>
      </c>
      <c r="E37" s="13">
        <v>44964</v>
      </c>
      <c r="F37" s="14">
        <v>33</v>
      </c>
      <c r="G37" s="15" t="s">
        <v>133</v>
      </c>
      <c r="H37" s="14">
        <v>9.9009900990099009</v>
      </c>
      <c r="I37" s="12" t="str">
        <f t="shared" si="0"/>
        <v>DCYCLE SAMadridwater4487444964</v>
      </c>
      <c r="J37" s="12">
        <f t="shared" si="1"/>
        <v>0</v>
      </c>
      <c r="K37" s="12">
        <f>IF(Combinadas!$C130="electricity", Combinadas!$J130/6.6667,
IF(Combinadas!$C130="water", Combinadas!$J130/3.333,
IF(Combinadas!$C130="heat", Combinadas!$J130/0.8333, IF(Combinadas!$C130="waste",Combinadas!$J130/25,
"NA"))))</f>
        <v>6</v>
      </c>
      <c r="L37" s="12">
        <f>Combinadas!$J130</f>
        <v>150</v>
      </c>
      <c r="M37" s="12">
        <f>IF(Table4[[#This Row],[Type]]="waste", Table4[[#This Row],[Q_Tonnes]]/25, Table4[[#This Row],[CO2_Noduplicates]])</f>
        <v>6</v>
      </c>
    </row>
    <row r="38" spans="1:13" x14ac:dyDescent="0.25">
      <c r="A38" s="16" t="s">
        <v>8</v>
      </c>
      <c r="B38" s="16" t="s">
        <v>80</v>
      </c>
      <c r="C38" s="16" t="s">
        <v>130</v>
      </c>
      <c r="D38" s="17">
        <v>44874</v>
      </c>
      <c r="E38" s="17">
        <v>44964</v>
      </c>
      <c r="F38" s="18">
        <v>67</v>
      </c>
      <c r="G38" s="19" t="s">
        <v>133</v>
      </c>
      <c r="H38" s="18">
        <v>20.1020102010201</v>
      </c>
      <c r="I38" s="12" t="str">
        <f t="shared" si="0"/>
        <v>DCYCLE SAMadridwater4487444964</v>
      </c>
      <c r="J38" s="12">
        <f t="shared" si="1"/>
        <v>0</v>
      </c>
      <c r="K38" s="12">
        <f>IF(Combinadas!$C131="electricity", Combinadas!$J131/6.6667,
IF(Combinadas!$C131="water", Combinadas!$J131/3.333,
IF(Combinadas!$C131="heat", Combinadas!$J131/0.8333, IF(Combinadas!$C131="waste",Combinadas!$J131/25,
"NA"))))</f>
        <v>6.6</v>
      </c>
      <c r="L38" s="12">
        <f>Combinadas!$J131</f>
        <v>165</v>
      </c>
      <c r="M38" s="12">
        <f>IF(Table4[[#This Row],[Type]]="waste", Table4[[#This Row],[Q_Tonnes]]/25, Table4[[#This Row],[CO2_Noduplicates]])</f>
        <v>6.6</v>
      </c>
    </row>
    <row r="39" spans="1:13" x14ac:dyDescent="0.25">
      <c r="A39" s="12" t="s">
        <v>8</v>
      </c>
      <c r="B39" s="12" t="s">
        <v>80</v>
      </c>
      <c r="C39" s="12" t="s">
        <v>130</v>
      </c>
      <c r="D39" s="13">
        <v>44874</v>
      </c>
      <c r="E39" s="13">
        <v>44964</v>
      </c>
      <c r="F39" s="14">
        <v>248</v>
      </c>
      <c r="G39" s="15" t="s">
        <v>133</v>
      </c>
      <c r="H39" s="14">
        <v>74.407440744074407</v>
      </c>
      <c r="I39" s="12" t="str">
        <f t="shared" si="0"/>
        <v>DCYCLE SAMadridwater4487444964</v>
      </c>
      <c r="J39" s="12">
        <f t="shared" si="1"/>
        <v>248</v>
      </c>
      <c r="K39" s="12">
        <f>IF(Combinadas!$C132="electricity", Combinadas!$J132/6.6667,
IF(Combinadas!$C132="water", Combinadas!$J132/3.333,
IF(Combinadas!$C132="heat", Combinadas!$J132/0.8333, IF(Combinadas!$C132="waste",Combinadas!$J132/25,
"NA"))))</f>
        <v>8</v>
      </c>
      <c r="L39" s="12">
        <f>Combinadas!$J132</f>
        <v>200</v>
      </c>
      <c r="M39" s="12">
        <f>IF(Table4[[#This Row],[Type]]="waste", Table4[[#This Row],[Q_Tonnes]]/25, Table4[[#This Row],[CO2_Noduplicates]])</f>
        <v>8</v>
      </c>
    </row>
    <row r="40" spans="1:13" x14ac:dyDescent="0.25">
      <c r="A40" s="12" t="s">
        <v>8</v>
      </c>
      <c r="B40" s="12" t="s">
        <v>139</v>
      </c>
      <c r="C40" s="12" t="s">
        <v>140</v>
      </c>
      <c r="D40" s="13">
        <v>44896</v>
      </c>
      <c r="E40" s="13">
        <v>44926</v>
      </c>
      <c r="F40" s="14">
        <v>644.69019452624116</v>
      </c>
      <c r="G40" s="15" t="s">
        <v>211</v>
      </c>
      <c r="H40" s="14">
        <v>773.65917979868129</v>
      </c>
      <c r="I40" s="12" t="str">
        <f t="shared" si="0"/>
        <v>DCYCLE SAMadrid (A2)heat4489644926</v>
      </c>
      <c r="J40" s="12">
        <f t="shared" si="1"/>
        <v>644.69019452624116</v>
      </c>
      <c r="K40" s="12">
        <f>IF(Combinadas!$C58="electricity", Combinadas!$J58/6.6667,
IF(Combinadas!$C58="water", Combinadas!$J58/3.333,
IF(Combinadas!$C58="heat", Combinadas!$J58/0.8333, IF(Combinadas!$C58="waste",Combinadas!$J58/25,
"NA"))))</f>
        <v>11971.140144299279</v>
      </c>
      <c r="L40" s="12">
        <f>Combinadas!$J58</f>
        <v>79808</v>
      </c>
      <c r="M40" s="12">
        <f>IF(Table4[[#This Row],[Type]]="waste", Table4[[#This Row],[Q_Tonnes]]/25, Table4[[#This Row],[CO2_Noduplicates]])</f>
        <v>11971.140144299279</v>
      </c>
    </row>
    <row r="41" spans="1:13" x14ac:dyDescent="0.25">
      <c r="A41" s="12" t="s">
        <v>8</v>
      </c>
      <c r="B41" s="12" t="s">
        <v>127</v>
      </c>
      <c r="C41" s="12" t="s">
        <v>130</v>
      </c>
      <c r="D41" s="13">
        <v>44925</v>
      </c>
      <c r="E41" s="13">
        <v>44986</v>
      </c>
      <c r="F41" s="14">
        <v>15</v>
      </c>
      <c r="G41" s="15" t="s">
        <v>133</v>
      </c>
      <c r="H41" s="14">
        <v>4.5004500450045004</v>
      </c>
      <c r="I41" s="12" t="str">
        <f t="shared" si="0"/>
        <v>DCYCLE SABCNwater4492544986</v>
      </c>
      <c r="J41" s="12">
        <f t="shared" si="1"/>
        <v>15</v>
      </c>
      <c r="K41" s="12">
        <f>IF(Combinadas!$C16="electricity", Combinadas!$J16/6.6667,
IF(Combinadas!$C16="water", Combinadas!$J16/3.333,
IF(Combinadas!$C16="heat", Combinadas!$J16/0.8333, IF(Combinadas!$C16="waste",Combinadas!$J16/25,
"NA"))))</f>
        <v>0</v>
      </c>
      <c r="L41" s="12">
        <f>Combinadas!$J16</f>
        <v>0</v>
      </c>
      <c r="M41" s="12">
        <f>IF(Table4[[#This Row],[Type]]="waste", Table4[[#This Row],[Q_Tonnes]]/25, Table4[[#This Row],[CO2_Noduplicates]])</f>
        <v>0</v>
      </c>
    </row>
    <row r="42" spans="1:13" x14ac:dyDescent="0.25">
      <c r="A42" s="16" t="s">
        <v>8</v>
      </c>
      <c r="B42" s="16" t="s">
        <v>127</v>
      </c>
      <c r="C42" s="16" t="s">
        <v>128</v>
      </c>
      <c r="D42" s="17">
        <v>44926</v>
      </c>
      <c r="E42" s="17">
        <v>44957</v>
      </c>
      <c r="F42" s="18">
        <v>12013</v>
      </c>
      <c r="G42" s="19" t="s">
        <v>129</v>
      </c>
      <c r="H42" s="18">
        <v>1801.9409902950486</v>
      </c>
      <c r="I42" s="12" t="str">
        <f t="shared" si="0"/>
        <v>DCYCLE SABCNelectricity4492644957</v>
      </c>
      <c r="J42" s="12">
        <f t="shared" si="1"/>
        <v>12013</v>
      </c>
      <c r="K42" s="12">
        <f>IF(Combinadas!$C3="electricity", Combinadas!$J3/6.6667,
IF(Combinadas!$C3="water", Combinadas!$J3/3.333,
IF(Combinadas!$C3="heat", Combinadas!$J3/0.8333, IF(Combinadas!$C3="waste",Combinadas!$J3/25,
"NA"))))</f>
        <v>30.903090309030901</v>
      </c>
      <c r="L42" s="12">
        <f>Combinadas!$J3</f>
        <v>103</v>
      </c>
      <c r="M42" s="12">
        <f>IF(Table4[[#This Row],[Type]]="waste", Table4[[#This Row],[Q_Tonnes]]/25, Table4[[#This Row],[CO2_Noduplicates]])</f>
        <v>30.903090309030901</v>
      </c>
    </row>
    <row r="43" spans="1:13" x14ac:dyDescent="0.25">
      <c r="A43" s="16" t="s">
        <v>8</v>
      </c>
      <c r="B43" s="16" t="s">
        <v>139</v>
      </c>
      <c r="C43" s="16" t="s">
        <v>128</v>
      </c>
      <c r="D43" s="17">
        <v>44926</v>
      </c>
      <c r="E43" s="17">
        <v>44957</v>
      </c>
      <c r="F43" s="18">
        <v>53797</v>
      </c>
      <c r="G43" s="19" t="s">
        <v>129</v>
      </c>
      <c r="H43" s="18">
        <v>8069.5096524517385</v>
      </c>
      <c r="I43" s="12" t="str">
        <f t="shared" si="0"/>
        <v>DCYCLE SAMadrid (A2)electricity4492644957</v>
      </c>
      <c r="J43" s="12">
        <f t="shared" si="1"/>
        <v>53797</v>
      </c>
      <c r="K43" s="12">
        <f>IF(Combinadas!$C23="electricity", Combinadas!$J23/6.6667,
IF(Combinadas!$C23="water", Combinadas!$J23/3.333,
IF(Combinadas!$C23="heat", Combinadas!$J23/0.8333, IF(Combinadas!$C23="waste",Combinadas!$J23/25,
"NA"))))</f>
        <v>0</v>
      </c>
      <c r="L43" s="12">
        <f>Combinadas!$J23</f>
        <v>0</v>
      </c>
      <c r="M43" s="12">
        <f>IF(Table4[[#This Row],[Type]]="waste", Table4[[#This Row],[Q_Tonnes]]/25, Table4[[#This Row],[CO2_Noduplicates]])</f>
        <v>0</v>
      </c>
    </row>
    <row r="44" spans="1:13" x14ac:dyDescent="0.25">
      <c r="A44" s="12" t="s">
        <v>8</v>
      </c>
      <c r="B44" s="12" t="s">
        <v>80</v>
      </c>
      <c r="C44" s="12" t="s">
        <v>128</v>
      </c>
      <c r="D44" s="13">
        <v>44926</v>
      </c>
      <c r="E44" s="13">
        <v>44957</v>
      </c>
      <c r="F44" s="14">
        <v>2646</v>
      </c>
      <c r="G44" s="15" t="s">
        <v>129</v>
      </c>
      <c r="H44" s="14">
        <v>396.89801550992246</v>
      </c>
      <c r="I44" s="12" t="str">
        <f t="shared" si="0"/>
        <v>DCYCLE SAMadridelectricity4492644957</v>
      </c>
      <c r="J44" s="12">
        <f t="shared" si="1"/>
        <v>0</v>
      </c>
      <c r="K44" s="12">
        <f>IF(Combinadas!$C80="electricity", Combinadas!$J80/6.6667,
IF(Combinadas!$C80="water", Combinadas!$J80/3.333,
IF(Combinadas!$C80="heat", Combinadas!$J80/0.8333, IF(Combinadas!$C80="waste",Combinadas!$J80/25,
"NA"))))</f>
        <v>88</v>
      </c>
      <c r="L44" s="12">
        <f>Combinadas!$J80</f>
        <v>2200</v>
      </c>
      <c r="M44" s="12">
        <f>IF(Table4[[#This Row],[Type]]="waste", Table4[[#This Row],[Q_Tonnes]]/25, Table4[[#This Row],[CO2_Noduplicates]])</f>
        <v>88</v>
      </c>
    </row>
    <row r="45" spans="1:13" x14ac:dyDescent="0.25">
      <c r="A45" s="16" t="s">
        <v>8</v>
      </c>
      <c r="B45" s="16" t="s">
        <v>80</v>
      </c>
      <c r="C45" s="16" t="s">
        <v>128</v>
      </c>
      <c r="D45" s="17">
        <v>44926</v>
      </c>
      <c r="E45" s="17">
        <v>44957</v>
      </c>
      <c r="F45" s="18">
        <v>85283</v>
      </c>
      <c r="G45" s="19" t="s">
        <v>129</v>
      </c>
      <c r="H45" s="18">
        <v>12792.38603806981</v>
      </c>
      <c r="I45" s="12" t="str">
        <f t="shared" si="0"/>
        <v>DCYCLE SAMadridelectricity4492644957</v>
      </c>
      <c r="J45" s="12">
        <f t="shared" si="1"/>
        <v>85283</v>
      </c>
      <c r="K45" s="12">
        <f>IF(Combinadas!$C81="electricity", Combinadas!$J81/6.6667,
IF(Combinadas!$C81="water", Combinadas!$J81/3.333,
IF(Combinadas!$C81="heat", Combinadas!$J81/0.8333, IF(Combinadas!$C81="waste",Combinadas!$J81/25,
"NA"))))</f>
        <v>252</v>
      </c>
      <c r="L45" s="12">
        <f>Combinadas!$J81</f>
        <v>6300</v>
      </c>
      <c r="M45" s="12">
        <f>IF(Table4[[#This Row],[Type]]="waste", Table4[[#This Row],[Q_Tonnes]]/25, Table4[[#This Row],[CO2_Noduplicates]])</f>
        <v>252</v>
      </c>
    </row>
    <row r="46" spans="1:13" x14ac:dyDescent="0.25">
      <c r="A46" s="16" t="s">
        <v>8</v>
      </c>
      <c r="B46" s="16" t="s">
        <v>160</v>
      </c>
      <c r="C46" s="16" t="s">
        <v>128</v>
      </c>
      <c r="D46" s="17">
        <v>44926</v>
      </c>
      <c r="E46" s="17">
        <v>44957</v>
      </c>
      <c r="F46" s="18">
        <v>6088</v>
      </c>
      <c r="G46" s="19" t="s">
        <v>129</v>
      </c>
      <c r="H46" s="18">
        <v>913.19543402282989</v>
      </c>
      <c r="I46" s="12" t="str">
        <f t="shared" si="0"/>
        <v>DCYCLE SATajonarelectricity4492644957</v>
      </c>
      <c r="J46" s="12">
        <f t="shared" si="1"/>
        <v>6088</v>
      </c>
      <c r="K46" s="12">
        <f>IF(Combinadas!$C143="electricity", Combinadas!$J143/6.6667,
IF(Combinadas!$C143="water", Combinadas!$J143/3.333,
IF(Combinadas!$C143="heat", Combinadas!$J143/0.8333, IF(Combinadas!$C143="waste",Combinadas!$J143/25,
"NA"))))</f>
        <v>265.49867250663749</v>
      </c>
      <c r="L46" s="12">
        <f>Combinadas!$J143</f>
        <v>1770</v>
      </c>
      <c r="M46" s="12">
        <f>IF(Table4[[#This Row],[Type]]="waste", Table4[[#This Row],[Q_Tonnes]]/25, Table4[[#This Row],[CO2_Noduplicates]])</f>
        <v>265.49867250663749</v>
      </c>
    </row>
    <row r="47" spans="1:13" x14ac:dyDescent="0.25">
      <c r="A47" s="12" t="s">
        <v>8</v>
      </c>
      <c r="B47" s="12" t="s">
        <v>139</v>
      </c>
      <c r="C47" s="12" t="s">
        <v>128</v>
      </c>
      <c r="D47" s="13">
        <v>44927</v>
      </c>
      <c r="E47" s="13">
        <v>44957</v>
      </c>
      <c r="F47" s="14">
        <v>5993.2</v>
      </c>
      <c r="G47" s="20" t="s">
        <v>129</v>
      </c>
      <c r="H47" s="14">
        <v>898.97550512247437</v>
      </c>
      <c r="I47" s="12" t="str">
        <f t="shared" si="0"/>
        <v>DCYCLE SAMadrid (A2)electricity4492744957</v>
      </c>
      <c r="J47" s="12">
        <f t="shared" si="1"/>
        <v>5993.2</v>
      </c>
      <c r="K47" s="12">
        <f>IF(Combinadas!$C24="electricity", Combinadas!$J24/6.6667,
IF(Combinadas!$C24="water", Combinadas!$J24/3.333,
IF(Combinadas!$C24="heat", Combinadas!$J24/0.8333, IF(Combinadas!$C24="waste",Combinadas!$J24/25,
"NA"))))</f>
        <v>110.11101110111011</v>
      </c>
      <c r="L47" s="12">
        <f>Combinadas!$J24</f>
        <v>367</v>
      </c>
      <c r="M47" s="12">
        <f>IF(Table4[[#This Row],[Type]]="waste", Table4[[#This Row],[Q_Tonnes]]/25, Table4[[#This Row],[CO2_Noduplicates]])</f>
        <v>110.11101110111011</v>
      </c>
    </row>
    <row r="48" spans="1:13" x14ac:dyDescent="0.25">
      <c r="A48" s="16" t="s">
        <v>8</v>
      </c>
      <c r="B48" s="16" t="s">
        <v>139</v>
      </c>
      <c r="C48" s="16" t="s">
        <v>140</v>
      </c>
      <c r="D48" s="17">
        <v>44927</v>
      </c>
      <c r="E48" s="17">
        <v>44957</v>
      </c>
      <c r="F48" s="18">
        <v>1231.0327531553787</v>
      </c>
      <c r="G48" s="19" t="s">
        <v>211</v>
      </c>
      <c r="H48" s="18">
        <v>1477.2983957222832</v>
      </c>
      <c r="I48" s="12" t="str">
        <f t="shared" si="0"/>
        <v>DCYCLE SAMadrid (A2)heat4492744957</v>
      </c>
      <c r="J48" s="12">
        <f t="shared" si="1"/>
        <v>1231.0327531553787</v>
      </c>
      <c r="K48" s="12">
        <f>IF(Combinadas!$C59="electricity", Combinadas!$J59/6.6667,
IF(Combinadas!$C59="water", Combinadas!$J59/3.333,
IF(Combinadas!$C59="heat", Combinadas!$J59/0.8333, IF(Combinadas!$C59="waste",Combinadas!$J59/25,
"NA"))))</f>
        <v>772.49613751931247</v>
      </c>
      <c r="L48" s="12">
        <f>Combinadas!$J59</f>
        <v>5150</v>
      </c>
      <c r="M48" s="12">
        <f>IF(Table4[[#This Row],[Type]]="waste", Table4[[#This Row],[Q_Tonnes]]/25, Table4[[#This Row],[CO2_Noduplicates]])</f>
        <v>772.49613751931247</v>
      </c>
    </row>
    <row r="49" spans="1:13" x14ac:dyDescent="0.25">
      <c r="A49" s="12" t="s">
        <v>8</v>
      </c>
      <c r="B49" s="12" t="s">
        <v>160</v>
      </c>
      <c r="C49" s="12" t="s">
        <v>130</v>
      </c>
      <c r="D49" s="13">
        <v>44927</v>
      </c>
      <c r="E49" s="13">
        <v>45291</v>
      </c>
      <c r="F49" s="14">
        <v>6.57</v>
      </c>
      <c r="G49" s="15" t="s">
        <v>133</v>
      </c>
      <c r="H49" s="14">
        <v>1.9711971197119711</v>
      </c>
      <c r="I49" s="12" t="str">
        <f t="shared" si="0"/>
        <v>DCYCLE SATajonarwater4492745291</v>
      </c>
      <c r="J49" s="12">
        <f t="shared" si="1"/>
        <v>6.57</v>
      </c>
      <c r="K49" s="12">
        <f>IF(Combinadas!$C156="electricity", Combinadas!$J156/6.6667,
IF(Combinadas!$C156="water", Combinadas!$J156/3.333,
IF(Combinadas!$C156="heat", Combinadas!$J156/0.8333, IF(Combinadas!$C156="waste",Combinadas!$J156/25,
"NA"))))</f>
        <v>0</v>
      </c>
      <c r="L49" s="12">
        <f>Combinadas!$J156</f>
        <v>0</v>
      </c>
      <c r="M49" s="12">
        <f>IF(Table4[[#This Row],[Type]]="waste", Table4[[#This Row],[Q_Tonnes]]/25, Table4[[#This Row],[CO2_Noduplicates]])</f>
        <v>0</v>
      </c>
    </row>
    <row r="50" spans="1:13" x14ac:dyDescent="0.25">
      <c r="A50" s="12" t="s">
        <v>8</v>
      </c>
      <c r="B50" s="12" t="s">
        <v>80</v>
      </c>
      <c r="C50" s="16" t="s">
        <v>237</v>
      </c>
      <c r="D50" s="17">
        <v>44927</v>
      </c>
      <c r="E50" s="17">
        <v>44957</v>
      </c>
      <c r="F50" s="14">
        <v>2940</v>
      </c>
      <c r="G50" s="19" t="s">
        <v>232</v>
      </c>
      <c r="H50" s="14">
        <v>117.6</v>
      </c>
      <c r="I50" s="12" t="str">
        <f t="shared" si="0"/>
        <v>DCYCLE SAMadridwaste4492744957</v>
      </c>
      <c r="J50" s="12">
        <f>data_waste!L74</f>
        <v>2940</v>
      </c>
      <c r="K50" s="12">
        <f>IF(Combinadas!$C509="electricity", Combinadas!$J509/6.6667,
IF(Combinadas!$C509="water", Combinadas!$J509/3.333,
IF(Combinadas!$C509="heat", Combinadas!$J509/0.8333, IF(Combinadas!$C509="waste",Combinadas!$J509/25,
"NA"))))</f>
        <v>463.44207668897394</v>
      </c>
      <c r="L50" s="12">
        <f>data_waste!M74</f>
        <v>2940000</v>
      </c>
      <c r="M50" s="12">
        <f>IF(Table4[[#This Row],[Type]]="waste", Table4[[#This Row],[Q_Tonnes]]/25, Table4[[#This Row],[CO2_Noduplicates]])</f>
        <v>117600</v>
      </c>
    </row>
    <row r="51" spans="1:13" x14ac:dyDescent="0.25">
      <c r="A51" s="12" t="s">
        <v>8</v>
      </c>
      <c r="B51" s="12" t="s">
        <v>80</v>
      </c>
      <c r="C51" s="16" t="s">
        <v>237</v>
      </c>
      <c r="D51" s="13">
        <v>44927</v>
      </c>
      <c r="E51" s="13">
        <v>44957</v>
      </c>
      <c r="F51" s="14">
        <v>3100</v>
      </c>
      <c r="G51" s="15" t="s">
        <v>232</v>
      </c>
      <c r="H51" s="14">
        <v>124</v>
      </c>
      <c r="I51" s="12" t="str">
        <f t="shared" si="0"/>
        <v>DCYCLE SAMadridwaste4492744957</v>
      </c>
      <c r="J51" s="12">
        <f>data_waste!L77</f>
        <v>3100</v>
      </c>
      <c r="K51" s="12">
        <f>IF(Combinadas!$C512="electricity", Combinadas!$J512/6.6667,
IF(Combinadas!$C512="water", Combinadas!$J512/3.333,
IF(Combinadas!$C512="heat", Combinadas!$J512/0.8333, IF(Combinadas!$C512="waste",Combinadas!$J512/25,
"NA"))))</f>
        <v>8332.9083354583236</v>
      </c>
      <c r="L51" s="12">
        <f>data_waste!M77</f>
        <v>3100000</v>
      </c>
      <c r="M51" s="12">
        <f>IF(Table4[[#This Row],[Type]]="waste", Table4[[#This Row],[Q_Tonnes]]/25, Table4[[#This Row],[CO2_Noduplicates]])</f>
        <v>124000</v>
      </c>
    </row>
    <row r="52" spans="1:13" x14ac:dyDescent="0.25">
      <c r="A52" s="12" t="s">
        <v>8</v>
      </c>
      <c r="B52" s="12" t="s">
        <v>80</v>
      </c>
      <c r="C52" s="16" t="s">
        <v>237</v>
      </c>
      <c r="D52" s="13">
        <v>44927</v>
      </c>
      <c r="E52" s="13">
        <v>44957</v>
      </c>
      <c r="F52" s="14">
        <v>3440</v>
      </c>
      <c r="G52" s="15" t="s">
        <v>232</v>
      </c>
      <c r="H52" s="14">
        <v>137.6</v>
      </c>
      <c r="I52" s="12" t="str">
        <f t="shared" si="0"/>
        <v>DCYCLE SAMadridwaste4492744957</v>
      </c>
      <c r="J52" s="12">
        <f>data_waste!L79</f>
        <v>3440</v>
      </c>
      <c r="K52" s="12">
        <f>IF(Combinadas!$C514="electricity", Combinadas!$J514/6.6667,
IF(Combinadas!$C514="water", Combinadas!$J514/3.333,
IF(Combinadas!$C514="heat", Combinadas!$J514/0.8333, IF(Combinadas!$C514="waste",Combinadas!$J514/25,
"NA"))))</f>
        <v>1.8</v>
      </c>
      <c r="L52" s="12">
        <f>data_waste!M79</f>
        <v>3440000</v>
      </c>
      <c r="M52" s="12">
        <f>IF(Table4[[#This Row],[Type]]="waste", Table4[[#This Row],[Q_Tonnes]]/25, Table4[[#This Row],[CO2_Noduplicates]])</f>
        <v>137600</v>
      </c>
    </row>
    <row r="53" spans="1:13" x14ac:dyDescent="0.25">
      <c r="A53" s="12" t="s">
        <v>8</v>
      </c>
      <c r="B53" s="12" t="s">
        <v>80</v>
      </c>
      <c r="C53" s="16" t="s">
        <v>237</v>
      </c>
      <c r="D53" s="13">
        <v>44927</v>
      </c>
      <c r="E53" s="13">
        <v>44957</v>
      </c>
      <c r="F53" s="14">
        <v>5180</v>
      </c>
      <c r="G53" s="15" t="s">
        <v>232</v>
      </c>
      <c r="H53" s="14">
        <v>207.2</v>
      </c>
      <c r="I53" s="12" t="str">
        <f t="shared" si="0"/>
        <v>DCYCLE SAMadridwaste4492744957</v>
      </c>
      <c r="J53" s="12">
        <f>data_waste!L83</f>
        <v>5180</v>
      </c>
      <c r="K53" s="12">
        <f>IF(Combinadas!$C518="electricity", Combinadas!$J518/6.6667,
IF(Combinadas!$C518="water", Combinadas!$J518/3.333,
IF(Combinadas!$C518="heat", Combinadas!$J518/0.8333, IF(Combinadas!$C518="waste",Combinadas!$J518/25,
"NA"))))</f>
        <v>7.8</v>
      </c>
      <c r="L53" s="12">
        <f>data_waste!M83</f>
        <v>5180000</v>
      </c>
      <c r="M53" s="12">
        <f>IF(Table4[[#This Row],[Type]]="waste", Table4[[#This Row],[Q_Tonnes]]/25, Table4[[#This Row],[CO2_Noduplicates]])</f>
        <v>207200</v>
      </c>
    </row>
    <row r="54" spans="1:13" x14ac:dyDescent="0.25">
      <c r="A54" s="16" t="s">
        <v>8</v>
      </c>
      <c r="B54" s="16" t="s">
        <v>80</v>
      </c>
      <c r="C54" s="16" t="s">
        <v>130</v>
      </c>
      <c r="D54" s="17">
        <v>44943</v>
      </c>
      <c r="E54" s="17">
        <v>44965</v>
      </c>
      <c r="F54" s="18">
        <v>15</v>
      </c>
      <c r="G54" s="19" t="s">
        <v>133</v>
      </c>
      <c r="H54" s="18">
        <v>4.5004500450045004</v>
      </c>
      <c r="I54" s="12" t="str">
        <f t="shared" si="0"/>
        <v>DCYCLE SAMadridwater4494344965</v>
      </c>
      <c r="J54" s="12">
        <f t="shared" ref="J54:J61" si="2">IF(F54=_xlfn.MAXIFS(F:F, I:I, I54), F54, 0)</f>
        <v>15</v>
      </c>
      <c r="K54" s="12">
        <f>IF(Combinadas!$C113="electricity", Combinadas!$J113/6.6667,
IF(Combinadas!$C113="water", Combinadas!$J113/3.333,
IF(Combinadas!$C113="heat", Combinadas!$J113/0.8333, IF(Combinadas!$C113="waste",Combinadas!$J113/25,
"NA"))))</f>
        <v>2984.6085769571155</v>
      </c>
      <c r="L54" s="12">
        <f>Combinadas!$J113</f>
        <v>19897.490000000002</v>
      </c>
      <c r="M54" s="12">
        <f>IF(Table4[[#This Row],[Type]]="waste", Table4[[#This Row],[Q_Tonnes]]/25, Table4[[#This Row],[CO2_Noduplicates]])</f>
        <v>2984.6085769571155</v>
      </c>
    </row>
    <row r="55" spans="1:13" x14ac:dyDescent="0.25">
      <c r="A55" s="12" t="s">
        <v>8</v>
      </c>
      <c r="B55" s="12" t="s">
        <v>127</v>
      </c>
      <c r="C55" s="12" t="s">
        <v>128</v>
      </c>
      <c r="D55" s="13">
        <v>44957</v>
      </c>
      <c r="E55" s="13">
        <v>44985</v>
      </c>
      <c r="F55" s="14">
        <v>11284</v>
      </c>
      <c r="G55" s="15" t="s">
        <v>129</v>
      </c>
      <c r="H55" s="14">
        <v>1692.5915370423149</v>
      </c>
      <c r="I55" s="12" t="str">
        <f t="shared" si="0"/>
        <v>DCYCLE SABCNelectricity4495744985</v>
      </c>
      <c r="J55" s="12">
        <f t="shared" si="2"/>
        <v>11284</v>
      </c>
      <c r="K55" s="12">
        <f>IF(Combinadas!$C4="electricity", Combinadas!$J4/6.6667,
IF(Combinadas!$C4="water", Combinadas!$J4/3.333,
IF(Combinadas!$C4="heat", Combinadas!$J4/0.8333, IF(Combinadas!$C4="waste",Combinadas!$J4/25,
"NA"))))</f>
        <v>0</v>
      </c>
      <c r="L55" s="12">
        <f>Combinadas!$J4</f>
        <v>0</v>
      </c>
      <c r="M55" s="12">
        <f>IF(Table4[[#This Row],[Type]]="waste", Table4[[#This Row],[Q_Tonnes]]/25, Table4[[#This Row],[CO2_Noduplicates]])</f>
        <v>0</v>
      </c>
    </row>
    <row r="56" spans="1:13" x14ac:dyDescent="0.25">
      <c r="A56" s="16" t="s">
        <v>8</v>
      </c>
      <c r="B56" s="16" t="s">
        <v>139</v>
      </c>
      <c r="C56" s="16" t="s">
        <v>128</v>
      </c>
      <c r="D56" s="17">
        <v>44957</v>
      </c>
      <c r="E56" s="17">
        <v>44985</v>
      </c>
      <c r="F56" s="18">
        <v>47484</v>
      </c>
      <c r="G56" s="19" t="s">
        <v>129</v>
      </c>
      <c r="H56" s="18">
        <v>7122.5643871780649</v>
      </c>
      <c r="I56" s="12" t="str">
        <f t="shared" si="0"/>
        <v>DCYCLE SAMadrid (A2)electricity4495744985</v>
      </c>
      <c r="J56" s="12">
        <f t="shared" si="2"/>
        <v>47484</v>
      </c>
      <c r="K56" s="12">
        <f>IF(Combinadas!$C25="electricity", Combinadas!$J25/6.6667,
IF(Combinadas!$C25="water", Combinadas!$J25/3.333,
IF(Combinadas!$C25="heat", Combinadas!$J25/0.8333, IF(Combinadas!$C25="waste",Combinadas!$J25/25,
"NA"))))</f>
        <v>0</v>
      </c>
      <c r="L56" s="12">
        <f>Combinadas!$J25</f>
        <v>0</v>
      </c>
      <c r="M56" s="12">
        <f>IF(Table4[[#This Row],[Type]]="waste", Table4[[#This Row],[Q_Tonnes]]/25, Table4[[#This Row],[CO2_Noduplicates]])</f>
        <v>0</v>
      </c>
    </row>
    <row r="57" spans="1:13" x14ac:dyDescent="0.25">
      <c r="A57" s="12" t="s">
        <v>8</v>
      </c>
      <c r="B57" s="12" t="s">
        <v>80</v>
      </c>
      <c r="C57" s="12" t="s">
        <v>128</v>
      </c>
      <c r="D57" s="13">
        <v>44957</v>
      </c>
      <c r="E57" s="13">
        <v>44985</v>
      </c>
      <c r="F57" s="14">
        <v>2018</v>
      </c>
      <c r="G57" s="15" t="s">
        <v>129</v>
      </c>
      <c r="H57" s="14">
        <v>302.69848650756745</v>
      </c>
      <c r="I57" s="12" t="str">
        <f t="shared" si="0"/>
        <v>DCYCLE SAMadridelectricity4495744985</v>
      </c>
      <c r="J57" s="12">
        <f t="shared" si="2"/>
        <v>0</v>
      </c>
      <c r="K57" s="12">
        <f>IF(Combinadas!$C82="electricity", Combinadas!$J82/6.6667,
IF(Combinadas!$C82="water", Combinadas!$J82/3.333,
IF(Combinadas!$C82="heat", Combinadas!$J82/0.8333, IF(Combinadas!$C82="waste",Combinadas!$J82/25,
"NA"))))</f>
        <v>5.6996699669966997</v>
      </c>
      <c r="L57" s="12">
        <f>Combinadas!$J82</f>
        <v>18.997</v>
      </c>
      <c r="M57" s="12">
        <f>IF(Table4[[#This Row],[Type]]="waste", Table4[[#This Row],[Q_Tonnes]]/25, Table4[[#This Row],[CO2_Noduplicates]])</f>
        <v>5.6996699669966997</v>
      </c>
    </row>
    <row r="58" spans="1:13" x14ac:dyDescent="0.25">
      <c r="A58" s="16" t="s">
        <v>8</v>
      </c>
      <c r="B58" s="16" t="s">
        <v>80</v>
      </c>
      <c r="C58" s="16" t="s">
        <v>128</v>
      </c>
      <c r="D58" s="17">
        <v>44957</v>
      </c>
      <c r="E58" s="17">
        <v>44985</v>
      </c>
      <c r="F58" s="18">
        <v>79808</v>
      </c>
      <c r="G58" s="19" t="s">
        <v>129</v>
      </c>
      <c r="H58" s="18">
        <v>11971.140144299279</v>
      </c>
      <c r="I58" s="12" t="str">
        <f t="shared" si="0"/>
        <v>DCYCLE SAMadridelectricity4495744985</v>
      </c>
      <c r="J58" s="12">
        <f t="shared" si="2"/>
        <v>79808</v>
      </c>
      <c r="K58" s="12">
        <f>IF(Combinadas!$C83="electricity", Combinadas!$J83/6.6667,
IF(Combinadas!$C83="water", Combinadas!$J83/3.333,
IF(Combinadas!$C83="heat", Combinadas!$J83/0.8333, IF(Combinadas!$C83="waste",Combinadas!$J83/25,
"NA"))))</f>
        <v>794.24602876985614</v>
      </c>
      <c r="L58" s="12">
        <f>Combinadas!$J83</f>
        <v>5295</v>
      </c>
      <c r="M58" s="12">
        <f>IF(Table4[[#This Row],[Type]]="waste", Table4[[#This Row],[Q_Tonnes]]/25, Table4[[#This Row],[CO2_Noduplicates]])</f>
        <v>794.24602876985614</v>
      </c>
    </row>
    <row r="59" spans="1:13" x14ac:dyDescent="0.25">
      <c r="A59" s="12" t="s">
        <v>8</v>
      </c>
      <c r="B59" s="12" t="s">
        <v>160</v>
      </c>
      <c r="C59" s="12" t="s">
        <v>128</v>
      </c>
      <c r="D59" s="13">
        <v>44957</v>
      </c>
      <c r="E59" s="13">
        <v>44985</v>
      </c>
      <c r="F59" s="14">
        <v>5150</v>
      </c>
      <c r="G59" s="15" t="s">
        <v>129</v>
      </c>
      <c r="H59" s="14">
        <v>772.49613751931247</v>
      </c>
      <c r="I59" s="12" t="str">
        <f t="shared" si="0"/>
        <v>DCYCLE SATajonarelectricity4495744985</v>
      </c>
      <c r="J59" s="12">
        <f t="shared" si="2"/>
        <v>5150</v>
      </c>
      <c r="K59" s="12">
        <f>IF(Combinadas!$C144="electricity", Combinadas!$J144/6.6667,
IF(Combinadas!$C144="water", Combinadas!$J144/3.333,
IF(Combinadas!$C144="heat", Combinadas!$J144/0.8333, IF(Combinadas!$C144="waste",Combinadas!$J144/25,
"NA"))))</f>
        <v>1739.9913000434999</v>
      </c>
      <c r="L59" s="12">
        <f>Combinadas!$J144</f>
        <v>11600</v>
      </c>
      <c r="M59" s="12">
        <f>IF(Table4[[#This Row],[Type]]="waste", Table4[[#This Row],[Q_Tonnes]]/25, Table4[[#This Row],[CO2_Noduplicates]])</f>
        <v>1739.9913000434999</v>
      </c>
    </row>
    <row r="60" spans="1:13" x14ac:dyDescent="0.25">
      <c r="A60" s="12" t="s">
        <v>8</v>
      </c>
      <c r="B60" s="12" t="s">
        <v>139</v>
      </c>
      <c r="C60" s="12" t="s">
        <v>128</v>
      </c>
      <c r="D60" s="13">
        <v>44958</v>
      </c>
      <c r="E60" s="13">
        <v>44985</v>
      </c>
      <c r="F60" s="14">
        <v>6786.6</v>
      </c>
      <c r="G60" s="20" t="s">
        <v>129</v>
      </c>
      <c r="H60" s="14">
        <v>1017.9849100754498</v>
      </c>
      <c r="I60" s="12" t="str">
        <f t="shared" si="0"/>
        <v>DCYCLE SAMadrid (A2)electricity4495844985</v>
      </c>
      <c r="J60" s="12">
        <f t="shared" si="2"/>
        <v>6786.6</v>
      </c>
      <c r="K60" s="12">
        <f>IF(Combinadas!$C26="electricity", Combinadas!$J26/6.6667,
IF(Combinadas!$C26="water", Combinadas!$J26/3.333,
IF(Combinadas!$C26="heat", Combinadas!$J26/0.8333, IF(Combinadas!$C26="waste",Combinadas!$J26/25,
"NA"))))</f>
        <v>0</v>
      </c>
      <c r="L60" s="12">
        <f>Combinadas!$J26</f>
        <v>0</v>
      </c>
      <c r="M60" s="12">
        <f>IF(Table4[[#This Row],[Type]]="waste", Table4[[#This Row],[Q_Tonnes]]/25, Table4[[#This Row],[CO2_Noduplicates]])</f>
        <v>0</v>
      </c>
    </row>
    <row r="61" spans="1:13" x14ac:dyDescent="0.25">
      <c r="A61" s="12" t="s">
        <v>8</v>
      </c>
      <c r="B61" s="12" t="s">
        <v>139</v>
      </c>
      <c r="C61" s="12" t="s">
        <v>140</v>
      </c>
      <c r="D61" s="13">
        <v>44958</v>
      </c>
      <c r="E61" s="13">
        <v>44985</v>
      </c>
      <c r="F61" s="14">
        <v>1008.4928225583562</v>
      </c>
      <c r="G61" s="15" t="s">
        <v>211</v>
      </c>
      <c r="H61" s="14">
        <v>1210.2397966618939</v>
      </c>
      <c r="I61" s="12" t="str">
        <f t="shared" si="0"/>
        <v>DCYCLE SAMadrid (A2)heat4495844985</v>
      </c>
      <c r="J61" s="12">
        <f t="shared" si="2"/>
        <v>1008.4928225583562</v>
      </c>
      <c r="K61" s="12">
        <f>IF(Combinadas!$C60="electricity", Combinadas!$J60/6.6667,
IF(Combinadas!$C60="water", Combinadas!$J60/3.333,
IF(Combinadas!$C60="heat", Combinadas!$J60/0.8333, IF(Combinadas!$C60="waste",Combinadas!$J60/25,
"NA"))))</f>
        <v>1017.9849100754498</v>
      </c>
      <c r="L61" s="12">
        <f>Combinadas!$J60</f>
        <v>6786.6</v>
      </c>
      <c r="M61" s="12">
        <f>IF(Table4[[#This Row],[Type]]="waste", Table4[[#This Row],[Q_Tonnes]]/25, Table4[[#This Row],[CO2_Noduplicates]])</f>
        <v>1017.9849100754498</v>
      </c>
    </row>
    <row r="62" spans="1:13" x14ac:dyDescent="0.25">
      <c r="A62" s="12" t="s">
        <v>8</v>
      </c>
      <c r="B62" s="12" t="s">
        <v>80</v>
      </c>
      <c r="C62" s="16" t="s">
        <v>237</v>
      </c>
      <c r="D62" s="13">
        <v>44958</v>
      </c>
      <c r="E62" s="13">
        <v>44985</v>
      </c>
      <c r="F62" s="14">
        <v>2100</v>
      </c>
      <c r="G62" s="15" t="s">
        <v>232</v>
      </c>
      <c r="H62" s="14">
        <v>84</v>
      </c>
      <c r="I62" s="12" t="str">
        <f t="shared" si="0"/>
        <v>DCYCLE SAMadridwaste4495844985</v>
      </c>
      <c r="J62" s="12">
        <f>data_waste!L65</f>
        <v>2100</v>
      </c>
      <c r="K62" s="12">
        <f>IF(Combinadas!$C500="electricity", Combinadas!$J500/6.6667,
IF(Combinadas!$C500="water", Combinadas!$J500/3.333,
IF(Combinadas!$C500="heat", Combinadas!$J500/0.8333, IF(Combinadas!$C500="waste",Combinadas!$J500/25,
"NA"))))</f>
        <v>73.599999999999994</v>
      </c>
      <c r="L62" s="12">
        <f>data_waste!M65</f>
        <v>2100000</v>
      </c>
      <c r="M62" s="12">
        <f>IF(Table4[[#This Row],[Type]]="waste", Table4[[#This Row],[Q_Tonnes]]/25, Table4[[#This Row],[CO2_Noduplicates]])</f>
        <v>84000</v>
      </c>
    </row>
    <row r="63" spans="1:13" x14ac:dyDescent="0.25">
      <c r="A63" s="12" t="s">
        <v>8</v>
      </c>
      <c r="B63" s="12" t="s">
        <v>80</v>
      </c>
      <c r="C63" s="16" t="s">
        <v>237</v>
      </c>
      <c r="D63" s="17">
        <v>44958</v>
      </c>
      <c r="E63" s="17">
        <v>44985</v>
      </c>
      <c r="F63" s="14">
        <v>2100</v>
      </c>
      <c r="G63" s="19" t="s">
        <v>232</v>
      </c>
      <c r="H63" s="14">
        <v>84</v>
      </c>
      <c r="I63" s="12" t="str">
        <f t="shared" si="0"/>
        <v>DCYCLE SAMadridwaste4495844985</v>
      </c>
      <c r="J63" s="12">
        <f>data_waste!L66</f>
        <v>2100</v>
      </c>
      <c r="K63" s="12">
        <f>IF(Combinadas!$C501="electricity", Combinadas!$J501/6.6667,
IF(Combinadas!$C501="water", Combinadas!$J501/3.333,
IF(Combinadas!$C501="heat", Combinadas!$J501/0.8333, IF(Combinadas!$C501="waste",Combinadas!$J501/25,
"NA"))))</f>
        <v>128</v>
      </c>
      <c r="L63" s="12">
        <f>data_waste!M66</f>
        <v>2100000</v>
      </c>
      <c r="M63" s="12">
        <f>IF(Table4[[#This Row],[Type]]="waste", Table4[[#This Row],[Q_Tonnes]]/25, Table4[[#This Row],[CO2_Noduplicates]])</f>
        <v>84000</v>
      </c>
    </row>
    <row r="64" spans="1:13" x14ac:dyDescent="0.25">
      <c r="A64" s="12" t="s">
        <v>8</v>
      </c>
      <c r="B64" s="12" t="s">
        <v>80</v>
      </c>
      <c r="C64" s="16" t="s">
        <v>237</v>
      </c>
      <c r="D64" s="13">
        <v>44958</v>
      </c>
      <c r="E64" s="13">
        <v>44985</v>
      </c>
      <c r="F64" s="14">
        <v>2860</v>
      </c>
      <c r="G64" s="15" t="s">
        <v>232</v>
      </c>
      <c r="H64" s="14">
        <v>114.4</v>
      </c>
      <c r="I64" s="12" t="str">
        <f t="shared" si="0"/>
        <v>DCYCLE SAMadridwaste4495844985</v>
      </c>
      <c r="J64" s="12">
        <f>data_waste!L73</f>
        <v>2860</v>
      </c>
      <c r="K64" s="12">
        <f>IF(Combinadas!$C508="electricity", Combinadas!$J508/6.6667,
IF(Combinadas!$C508="water", Combinadas!$J508/3.333,
IF(Combinadas!$C508="heat", Combinadas!$J508/0.8333, IF(Combinadas!$C508="waste",Combinadas!$J508/25,
"NA"))))</f>
        <v>5097.7245113774434</v>
      </c>
      <c r="L64" s="12">
        <f>data_waste!M73</f>
        <v>2860000</v>
      </c>
      <c r="M64" s="12">
        <f>IF(Table4[[#This Row],[Type]]="waste", Table4[[#This Row],[Q_Tonnes]]/25, Table4[[#This Row],[CO2_Noduplicates]])</f>
        <v>114400</v>
      </c>
    </row>
    <row r="65" spans="1:13" x14ac:dyDescent="0.25">
      <c r="A65" s="12" t="s">
        <v>8</v>
      </c>
      <c r="B65" s="12" t="s">
        <v>139</v>
      </c>
      <c r="C65" s="12" t="s">
        <v>130</v>
      </c>
      <c r="D65" s="13">
        <v>44964</v>
      </c>
      <c r="E65" s="13">
        <v>45050</v>
      </c>
      <c r="F65" s="14">
        <v>117</v>
      </c>
      <c r="G65" s="15" t="s">
        <v>133</v>
      </c>
      <c r="H65" s="14">
        <v>35.103510351035105</v>
      </c>
      <c r="I65" s="12" t="str">
        <f t="shared" si="0"/>
        <v>DCYCLE SAMadrid (A2)water4496445050</v>
      </c>
      <c r="J65" s="12">
        <f t="shared" ref="J65:J77" si="3">IF(F65=_xlfn.MAXIFS(F:F, I:I, I65), F65, 0)</f>
        <v>117</v>
      </c>
      <c r="K65" s="12">
        <f>IF(Combinadas!$C76="electricity", Combinadas!$J76/6.6667,
IF(Combinadas!$C76="water", Combinadas!$J76/3.333,
IF(Combinadas!$C76="heat", Combinadas!$J76/0.8333, IF(Combinadas!$C76="waste",Combinadas!$J76/25,
"NA"))))</f>
        <v>1673.1966340168301</v>
      </c>
      <c r="L65" s="12">
        <f>Combinadas!$J76</f>
        <v>11154.7</v>
      </c>
      <c r="M65" s="12">
        <f>IF(Table4[[#This Row],[Type]]="waste", Table4[[#This Row],[Q_Tonnes]]/25, Table4[[#This Row],[CO2_Noduplicates]])</f>
        <v>1673.1966340168301</v>
      </c>
    </row>
    <row r="66" spans="1:13" x14ac:dyDescent="0.25">
      <c r="A66" s="16" t="s">
        <v>8</v>
      </c>
      <c r="B66" s="16" t="s">
        <v>80</v>
      </c>
      <c r="C66" s="16" t="s">
        <v>130</v>
      </c>
      <c r="D66" s="17">
        <v>44964</v>
      </c>
      <c r="E66" s="17">
        <v>45050</v>
      </c>
      <c r="F66" s="18">
        <v>42</v>
      </c>
      <c r="G66" s="19" t="s">
        <v>133</v>
      </c>
      <c r="H66" s="18">
        <v>12.601260126012601</v>
      </c>
      <c r="I66" s="12" t="str">
        <f t="shared" ref="I66:I129" si="4">A66&amp;B66&amp;C66&amp;D66&amp;E66</f>
        <v>DCYCLE SAMadridwater4496445050</v>
      </c>
      <c r="J66" s="12">
        <f t="shared" si="3"/>
        <v>0</v>
      </c>
      <c r="K66" s="12">
        <f>IF(Combinadas!$C133="electricity", Combinadas!$J133/6.6667,
IF(Combinadas!$C133="water", Combinadas!$J133/3.333,
IF(Combinadas!$C133="heat", Combinadas!$J133/0.8333, IF(Combinadas!$C133="waste",Combinadas!$J133/25,
"NA"))))</f>
        <v>22.4</v>
      </c>
      <c r="L66" s="12">
        <f>Combinadas!$J133</f>
        <v>560</v>
      </c>
      <c r="M66" s="12">
        <f>IF(Table4[[#This Row],[Type]]="waste", Table4[[#This Row],[Q_Tonnes]]/25, Table4[[#This Row],[CO2_Noduplicates]])</f>
        <v>22.4</v>
      </c>
    </row>
    <row r="67" spans="1:13" x14ac:dyDescent="0.25">
      <c r="A67" s="12" t="s">
        <v>8</v>
      </c>
      <c r="B67" s="12" t="s">
        <v>80</v>
      </c>
      <c r="C67" s="12" t="s">
        <v>130</v>
      </c>
      <c r="D67" s="13">
        <v>44964</v>
      </c>
      <c r="E67" s="13">
        <v>45050</v>
      </c>
      <c r="F67" s="14">
        <v>50</v>
      </c>
      <c r="G67" s="15" t="s">
        <v>133</v>
      </c>
      <c r="H67" s="14">
        <v>15.001500150015001</v>
      </c>
      <c r="I67" s="12" t="str">
        <f t="shared" si="4"/>
        <v>DCYCLE SAMadridwater4496445050</v>
      </c>
      <c r="J67" s="12">
        <f t="shared" si="3"/>
        <v>0</v>
      </c>
      <c r="K67" s="12">
        <f>IF(Combinadas!$C134="electricity", Combinadas!$J134/6.6667,
IF(Combinadas!$C134="water", Combinadas!$J134/3.333,
IF(Combinadas!$C134="heat", Combinadas!$J134/0.8333, IF(Combinadas!$C134="waste",Combinadas!$J134/25,
"NA"))))</f>
        <v>73.599999999999994</v>
      </c>
      <c r="L67" s="12">
        <f>Combinadas!$J134</f>
        <v>1840</v>
      </c>
      <c r="M67" s="12">
        <f>IF(Table4[[#This Row],[Type]]="waste", Table4[[#This Row],[Q_Tonnes]]/25, Table4[[#This Row],[CO2_Noduplicates]])</f>
        <v>73.599999999999994</v>
      </c>
    </row>
    <row r="68" spans="1:13" x14ac:dyDescent="0.25">
      <c r="A68" s="16" t="s">
        <v>8</v>
      </c>
      <c r="B68" s="16" t="s">
        <v>80</v>
      </c>
      <c r="C68" s="16" t="s">
        <v>130</v>
      </c>
      <c r="D68" s="17">
        <v>44964</v>
      </c>
      <c r="E68" s="17">
        <v>45050</v>
      </c>
      <c r="F68" s="18">
        <v>264</v>
      </c>
      <c r="G68" s="19" t="s">
        <v>133</v>
      </c>
      <c r="H68" s="18">
        <v>79.207920792079207</v>
      </c>
      <c r="I68" s="12" t="str">
        <f t="shared" si="4"/>
        <v>DCYCLE SAMadridwater4496445050</v>
      </c>
      <c r="J68" s="12">
        <f t="shared" si="3"/>
        <v>264</v>
      </c>
      <c r="K68" s="12">
        <f>IF(Combinadas!$C135="electricity", Combinadas!$J135/6.6667,
IF(Combinadas!$C135="water", Combinadas!$J135/3.333,
IF(Combinadas!$C135="heat", Combinadas!$J135/0.8333, IF(Combinadas!$C135="waste",Combinadas!$J135/25,
"NA"))))</f>
        <v>78</v>
      </c>
      <c r="L68" s="12">
        <f>Combinadas!$J135</f>
        <v>1950</v>
      </c>
      <c r="M68" s="12">
        <f>IF(Table4[[#This Row],[Type]]="waste", Table4[[#This Row],[Q_Tonnes]]/25, Table4[[#This Row],[CO2_Noduplicates]])</f>
        <v>78</v>
      </c>
    </row>
    <row r="69" spans="1:13" x14ac:dyDescent="0.25">
      <c r="A69" s="12" t="s">
        <v>8</v>
      </c>
      <c r="B69" s="12" t="s">
        <v>80</v>
      </c>
      <c r="C69" s="12" t="s">
        <v>130</v>
      </c>
      <c r="D69" s="13">
        <v>44965</v>
      </c>
      <c r="E69" s="13">
        <v>44992</v>
      </c>
      <c r="F69" s="14">
        <v>18.995000000000001</v>
      </c>
      <c r="G69" s="15" t="s">
        <v>133</v>
      </c>
      <c r="H69" s="14">
        <v>5.6990699069906992</v>
      </c>
      <c r="I69" s="12" t="str">
        <f t="shared" si="4"/>
        <v>DCYCLE SAMadridwater4496544992</v>
      </c>
      <c r="J69" s="12">
        <f t="shared" si="3"/>
        <v>18.995000000000001</v>
      </c>
      <c r="K69" s="12">
        <f>IF(Combinadas!$C114="electricity", Combinadas!$J114/6.6667,
IF(Combinadas!$C114="water", Combinadas!$J114/3.333,
IF(Combinadas!$C114="heat", Combinadas!$J114/0.8333, IF(Combinadas!$C114="waste",Combinadas!$J114/25,
"NA"))))</f>
        <v>80</v>
      </c>
      <c r="L69" s="12">
        <f>Combinadas!$J114</f>
        <v>2000</v>
      </c>
      <c r="M69" s="12">
        <f>IF(Table4[[#This Row],[Type]]="waste", Table4[[#This Row],[Q_Tonnes]]/25, Table4[[#This Row],[CO2_Noduplicates]])</f>
        <v>80</v>
      </c>
    </row>
    <row r="70" spans="1:13" x14ac:dyDescent="0.25">
      <c r="A70" s="16" t="s">
        <v>8</v>
      </c>
      <c r="B70" s="16" t="s">
        <v>127</v>
      </c>
      <c r="C70" s="16" t="s">
        <v>128</v>
      </c>
      <c r="D70" s="17">
        <v>44985</v>
      </c>
      <c r="E70" s="17">
        <v>45016</v>
      </c>
      <c r="F70" s="18">
        <v>7792</v>
      </c>
      <c r="G70" s="19" t="s">
        <v>129</v>
      </c>
      <c r="H70" s="18">
        <v>1168.7941560292199</v>
      </c>
      <c r="I70" s="12" t="str">
        <f t="shared" si="4"/>
        <v>DCYCLE SABCNelectricity4498545016</v>
      </c>
      <c r="J70" s="12">
        <f t="shared" si="3"/>
        <v>7792</v>
      </c>
      <c r="K70" s="12">
        <f>IF(Combinadas!$C5="electricity", Combinadas!$J5/6.6667,
IF(Combinadas!$C5="water", Combinadas!$J5/3.333,
IF(Combinadas!$C5="heat", Combinadas!$J5/0.8333, IF(Combinadas!$C5="waste",Combinadas!$J5/25,
"NA"))))</f>
        <v>48.304830483048299</v>
      </c>
      <c r="L70" s="12">
        <f>Combinadas!$J5</f>
        <v>161</v>
      </c>
      <c r="M70" s="12">
        <f>IF(Table4[[#This Row],[Type]]="waste", Table4[[#This Row],[Q_Tonnes]]/25, Table4[[#This Row],[CO2_Noduplicates]])</f>
        <v>48.304830483048299</v>
      </c>
    </row>
    <row r="71" spans="1:13" x14ac:dyDescent="0.25">
      <c r="A71" s="16" t="s">
        <v>8</v>
      </c>
      <c r="B71" s="16" t="s">
        <v>139</v>
      </c>
      <c r="C71" s="16" t="s">
        <v>128</v>
      </c>
      <c r="D71" s="17">
        <v>44985</v>
      </c>
      <c r="E71" s="17">
        <v>45016</v>
      </c>
      <c r="F71" s="18">
        <v>41655</v>
      </c>
      <c r="G71" s="19" t="s">
        <v>129</v>
      </c>
      <c r="H71" s="18">
        <v>6248.2187589062059</v>
      </c>
      <c r="I71" s="12" t="str">
        <f t="shared" si="4"/>
        <v>DCYCLE SAMadrid (A2)electricity4498545016</v>
      </c>
      <c r="J71" s="12">
        <f t="shared" si="3"/>
        <v>41655</v>
      </c>
      <c r="K71" s="12">
        <f>IF(Combinadas!$C27="electricity", Combinadas!$J27/6.6667,
IF(Combinadas!$C27="water", Combinadas!$J27/3.333,
IF(Combinadas!$C27="heat", Combinadas!$J27/0.8333, IF(Combinadas!$C27="waste",Combinadas!$J27/25,
"NA"))))</f>
        <v>0</v>
      </c>
      <c r="L71" s="12">
        <f>Combinadas!$J27</f>
        <v>0</v>
      </c>
      <c r="M71" s="12">
        <f>IF(Table4[[#This Row],[Type]]="waste", Table4[[#This Row],[Q_Tonnes]]/25, Table4[[#This Row],[CO2_Noduplicates]])</f>
        <v>0</v>
      </c>
    </row>
    <row r="72" spans="1:13" x14ac:dyDescent="0.25">
      <c r="A72" s="12" t="s">
        <v>8</v>
      </c>
      <c r="B72" s="12" t="s">
        <v>80</v>
      </c>
      <c r="C72" s="12" t="s">
        <v>128</v>
      </c>
      <c r="D72" s="13">
        <v>44985</v>
      </c>
      <c r="E72" s="13">
        <v>45016</v>
      </c>
      <c r="F72" s="14">
        <v>2076</v>
      </c>
      <c r="G72" s="15" t="s">
        <v>129</v>
      </c>
      <c r="H72" s="14">
        <v>311.39844300778498</v>
      </c>
      <c r="I72" s="12" t="str">
        <f t="shared" si="4"/>
        <v>DCYCLE SAMadridelectricity4498545016</v>
      </c>
      <c r="J72" s="12">
        <f t="shared" si="3"/>
        <v>0</v>
      </c>
      <c r="K72" s="12">
        <f>IF(Combinadas!$C84="electricity", Combinadas!$J84/6.6667,
IF(Combinadas!$C84="water", Combinadas!$J84/3.333,
IF(Combinadas!$C84="heat", Combinadas!$J84/0.8333, IF(Combinadas!$C84="waste",Combinadas!$J84/25,
"NA"))))</f>
        <v>3527.8323608381961</v>
      </c>
      <c r="L72" s="12">
        <f>Combinadas!$J84</f>
        <v>23519</v>
      </c>
      <c r="M72" s="12">
        <f>IF(Table4[[#This Row],[Type]]="waste", Table4[[#This Row],[Q_Tonnes]]/25, Table4[[#This Row],[CO2_Noduplicates]])</f>
        <v>3527.8323608381961</v>
      </c>
    </row>
    <row r="73" spans="1:13" x14ac:dyDescent="0.25">
      <c r="A73" s="16" t="s">
        <v>8</v>
      </c>
      <c r="B73" s="16" t="s">
        <v>80</v>
      </c>
      <c r="C73" s="16" t="s">
        <v>128</v>
      </c>
      <c r="D73" s="17">
        <v>44985</v>
      </c>
      <c r="E73" s="17">
        <v>45016</v>
      </c>
      <c r="F73" s="18">
        <v>77103</v>
      </c>
      <c r="G73" s="19" t="s">
        <v>129</v>
      </c>
      <c r="H73" s="18">
        <v>11565.392173039136</v>
      </c>
      <c r="I73" s="12" t="str">
        <f t="shared" si="4"/>
        <v>DCYCLE SAMadridelectricity4498545016</v>
      </c>
      <c r="J73" s="12">
        <f t="shared" si="3"/>
        <v>77103</v>
      </c>
      <c r="K73" s="12">
        <f>IF(Combinadas!$C85="electricity", Combinadas!$J85/6.6667,
IF(Combinadas!$C85="water", Combinadas!$J85/3.333,
IF(Combinadas!$C85="heat", Combinadas!$J85/0.8333, IF(Combinadas!$C85="waste",Combinadas!$J85/25,
"NA"))))</f>
        <v>0</v>
      </c>
      <c r="L73" s="12">
        <f>Combinadas!$J85</f>
        <v>0</v>
      </c>
      <c r="M73" s="12">
        <f>IF(Table4[[#This Row],[Type]]="waste", Table4[[#This Row],[Q_Tonnes]]/25, Table4[[#This Row],[CO2_Noduplicates]])</f>
        <v>0</v>
      </c>
    </row>
    <row r="74" spans="1:13" x14ac:dyDescent="0.25">
      <c r="A74" s="16" t="s">
        <v>8</v>
      </c>
      <c r="B74" s="16" t="s">
        <v>160</v>
      </c>
      <c r="C74" s="16" t="s">
        <v>128</v>
      </c>
      <c r="D74" s="17">
        <v>44985</v>
      </c>
      <c r="E74" s="17">
        <v>45016</v>
      </c>
      <c r="F74" s="18">
        <v>3822</v>
      </c>
      <c r="G74" s="19" t="s">
        <v>129</v>
      </c>
      <c r="H74" s="18">
        <v>573.29713351433247</v>
      </c>
      <c r="I74" s="12" t="str">
        <f t="shared" si="4"/>
        <v>DCYCLE SATajonarelectricity4498545016</v>
      </c>
      <c r="J74" s="12">
        <f t="shared" si="3"/>
        <v>3822</v>
      </c>
      <c r="K74" s="12">
        <f>IF(Combinadas!$C145="electricity", Combinadas!$J145/6.6667,
IF(Combinadas!$C145="water", Combinadas!$J145/3.333,
IF(Combinadas!$C145="heat", Combinadas!$J145/0.8333, IF(Combinadas!$C145="waste",Combinadas!$J145/25,
"NA"))))</f>
        <v>1340.558297208514</v>
      </c>
      <c r="L74" s="12">
        <f>Combinadas!$J145</f>
        <v>8937.1</v>
      </c>
      <c r="M74" s="12">
        <f>IF(Table4[[#This Row],[Type]]="waste", Table4[[#This Row],[Q_Tonnes]]/25, Table4[[#This Row],[CO2_Noduplicates]])</f>
        <v>1340.558297208514</v>
      </c>
    </row>
    <row r="75" spans="1:13" x14ac:dyDescent="0.25">
      <c r="A75" s="16" t="s">
        <v>8</v>
      </c>
      <c r="B75" s="16" t="s">
        <v>127</v>
      </c>
      <c r="C75" s="16" t="s">
        <v>130</v>
      </c>
      <c r="D75" s="17">
        <v>44986</v>
      </c>
      <c r="E75" s="17">
        <v>45043</v>
      </c>
      <c r="F75" s="18">
        <v>16</v>
      </c>
      <c r="G75" s="19" t="s">
        <v>133</v>
      </c>
      <c r="H75" s="18">
        <v>4.8004800480048004</v>
      </c>
      <c r="I75" s="12" t="str">
        <f t="shared" si="4"/>
        <v>DCYCLE SABCNwater4498645043</v>
      </c>
      <c r="J75" s="12">
        <f t="shared" si="3"/>
        <v>16</v>
      </c>
      <c r="K75" s="12">
        <f>IF(Combinadas!$C17="electricity", Combinadas!$J17/6.6667,
IF(Combinadas!$C17="water", Combinadas!$J17/3.333,
IF(Combinadas!$C17="heat", Combinadas!$J17/0.8333, IF(Combinadas!$C17="waste",Combinadas!$J17/25,
"NA"))))</f>
        <v>62.7062706270627</v>
      </c>
      <c r="L75" s="12">
        <f>Combinadas!$J17</f>
        <v>209</v>
      </c>
      <c r="M75" s="12">
        <f>IF(Table4[[#This Row],[Type]]="waste", Table4[[#This Row],[Q_Tonnes]]/25, Table4[[#This Row],[CO2_Noduplicates]])</f>
        <v>62.7062706270627</v>
      </c>
    </row>
    <row r="76" spans="1:13" x14ac:dyDescent="0.25">
      <c r="A76" s="12" t="s">
        <v>8</v>
      </c>
      <c r="B76" s="12" t="s">
        <v>139</v>
      </c>
      <c r="C76" s="12" t="s">
        <v>128</v>
      </c>
      <c r="D76" s="13">
        <v>44986</v>
      </c>
      <c r="E76" s="13">
        <v>45016</v>
      </c>
      <c r="F76" s="14">
        <v>11154.7</v>
      </c>
      <c r="G76" s="20" t="s">
        <v>129</v>
      </c>
      <c r="H76" s="14">
        <v>1673.1966340168301</v>
      </c>
      <c r="I76" s="12" t="str">
        <f t="shared" si="4"/>
        <v>DCYCLE SAMadrid (A2)electricity4498645016</v>
      </c>
      <c r="J76" s="12">
        <f t="shared" si="3"/>
        <v>11154.7</v>
      </c>
      <c r="K76" s="12">
        <f>IF(Combinadas!$C28="electricity", Combinadas!$J28/6.6667,
IF(Combinadas!$C28="water", Combinadas!$J28/3.333,
IF(Combinadas!$C28="heat", Combinadas!$J28/0.8333, IF(Combinadas!$C28="waste",Combinadas!$J28/25,
"NA"))))</f>
        <v>27.302730273027301</v>
      </c>
      <c r="L76" s="12">
        <f>Combinadas!$J28</f>
        <v>91</v>
      </c>
      <c r="M76" s="12">
        <f>IF(Table4[[#This Row],[Type]]="waste", Table4[[#This Row],[Q_Tonnes]]/25, Table4[[#This Row],[CO2_Noduplicates]])</f>
        <v>27.302730273027301</v>
      </c>
    </row>
    <row r="77" spans="1:13" x14ac:dyDescent="0.25">
      <c r="A77" s="16" t="s">
        <v>8</v>
      </c>
      <c r="B77" s="16" t="s">
        <v>139</v>
      </c>
      <c r="C77" s="16" t="s">
        <v>140</v>
      </c>
      <c r="D77" s="17">
        <v>44986</v>
      </c>
      <c r="E77" s="17">
        <v>45016</v>
      </c>
      <c r="F77" s="18">
        <v>497.55861207693704</v>
      </c>
      <c r="G77" s="19" t="s">
        <v>211</v>
      </c>
      <c r="H77" s="18">
        <v>597.09421826105483</v>
      </c>
      <c r="I77" s="12" t="str">
        <f t="shared" si="4"/>
        <v>DCYCLE SAMadrid (A2)heat4498645016</v>
      </c>
      <c r="J77" s="12">
        <f t="shared" si="3"/>
        <v>497.55861207693704</v>
      </c>
      <c r="K77" s="12">
        <f>IF(Combinadas!$C61="electricity", Combinadas!$J61/6.6667,
IF(Combinadas!$C61="water", Combinadas!$J61/3.333,
IF(Combinadas!$C61="heat", Combinadas!$J61/0.8333, IF(Combinadas!$C61="waste",Combinadas!$J61/25,
"NA"))))</f>
        <v>1210.2397966618939</v>
      </c>
      <c r="L77" s="12">
        <f>Combinadas!$J61</f>
        <v>1008.4928225583562</v>
      </c>
      <c r="M77" s="12">
        <f>IF(Table4[[#This Row],[Type]]="waste", Table4[[#This Row],[Q_Tonnes]]/25, Table4[[#This Row],[CO2_Noduplicates]])</f>
        <v>1210.2397966618939</v>
      </c>
    </row>
    <row r="78" spans="1:13" x14ac:dyDescent="0.25">
      <c r="A78" s="12" t="s">
        <v>8</v>
      </c>
      <c r="B78" s="12" t="s">
        <v>80</v>
      </c>
      <c r="C78" s="16" t="s">
        <v>237</v>
      </c>
      <c r="D78" s="13">
        <v>44986</v>
      </c>
      <c r="E78" s="13">
        <v>45016</v>
      </c>
      <c r="F78" s="14">
        <v>1960</v>
      </c>
      <c r="G78" s="15" t="s">
        <v>232</v>
      </c>
      <c r="H78" s="14">
        <v>78.400000000000006</v>
      </c>
      <c r="I78" s="12" t="str">
        <f t="shared" si="4"/>
        <v>DCYCLE SAMadridwaste4498645016</v>
      </c>
      <c r="J78" s="12">
        <f>data_waste!L61</f>
        <v>1960</v>
      </c>
      <c r="K78" s="12">
        <f>IF(Combinadas!$C496="electricity", Combinadas!$J496/6.6667,
IF(Combinadas!$C496="water", Combinadas!$J496/3.333,
IF(Combinadas!$C496="heat", Combinadas!$J496/0.8333, IF(Combinadas!$C496="waste",Combinadas!$J496/25,
"NA"))))</f>
        <v>0</v>
      </c>
      <c r="L78" s="12">
        <f>data_waste!M61</f>
        <v>1960000</v>
      </c>
      <c r="M78" s="12">
        <f>IF(Table4[[#This Row],[Type]]="waste", Table4[[#This Row],[Q_Tonnes]]/25, Table4[[#This Row],[CO2_Noduplicates]])</f>
        <v>78400</v>
      </c>
    </row>
    <row r="79" spans="1:13" x14ac:dyDescent="0.25">
      <c r="A79" s="12" t="s">
        <v>8</v>
      </c>
      <c r="B79" s="12" t="s">
        <v>80</v>
      </c>
      <c r="C79" s="16" t="s">
        <v>237</v>
      </c>
      <c r="D79" s="17">
        <v>44986</v>
      </c>
      <c r="E79" s="17">
        <v>45016</v>
      </c>
      <c r="F79" s="14">
        <v>2080</v>
      </c>
      <c r="G79" s="19" t="s">
        <v>232</v>
      </c>
      <c r="H79" s="14">
        <v>83.2</v>
      </c>
      <c r="I79" s="12" t="str">
        <f t="shared" si="4"/>
        <v>DCYCLE SAMadridwaste4498645016</v>
      </c>
      <c r="J79" s="12">
        <f>data_waste!L64</f>
        <v>2080</v>
      </c>
      <c r="K79" s="12">
        <f>IF(Combinadas!$C499="electricity", Combinadas!$J499/6.6667,
IF(Combinadas!$C499="water", Combinadas!$J499/3.333,
IF(Combinadas!$C499="heat", Combinadas!$J499/0.8333, IF(Combinadas!$C499="waste",Combinadas!$J499/25,
"NA"))))</f>
        <v>481.19309403452985</v>
      </c>
      <c r="L79" s="12">
        <f>data_waste!M64</f>
        <v>2080000</v>
      </c>
      <c r="M79" s="12">
        <f>IF(Table4[[#This Row],[Type]]="waste", Table4[[#This Row],[Q_Tonnes]]/25, Table4[[#This Row],[CO2_Noduplicates]])</f>
        <v>83200</v>
      </c>
    </row>
    <row r="80" spans="1:13" x14ac:dyDescent="0.25">
      <c r="A80" s="12" t="s">
        <v>8</v>
      </c>
      <c r="B80" s="12" t="s">
        <v>80</v>
      </c>
      <c r="C80" s="16" t="s">
        <v>237</v>
      </c>
      <c r="D80" s="17">
        <v>44986</v>
      </c>
      <c r="E80" s="17">
        <v>45016</v>
      </c>
      <c r="F80" s="14">
        <v>2200</v>
      </c>
      <c r="G80" s="19" t="s">
        <v>232</v>
      </c>
      <c r="H80" s="14">
        <v>88</v>
      </c>
      <c r="I80" s="12" t="str">
        <f t="shared" si="4"/>
        <v>DCYCLE SAMadridwaste4498645016</v>
      </c>
      <c r="J80" s="12">
        <f>data_waste!L68</f>
        <v>2200</v>
      </c>
      <c r="K80" s="12">
        <f>IF(Combinadas!$C503="electricity", Combinadas!$J503/6.6667,
IF(Combinadas!$C503="water", Combinadas!$J503/3.333,
IF(Combinadas!$C503="heat", Combinadas!$J503/0.8333, IF(Combinadas!$C503="waste",Combinadas!$J503/25,
"NA"))))</f>
        <v>252.8</v>
      </c>
      <c r="L80" s="12">
        <f>data_waste!M68</f>
        <v>2200000</v>
      </c>
      <c r="M80" s="12">
        <f>IF(Table4[[#This Row],[Type]]="waste", Table4[[#This Row],[Q_Tonnes]]/25, Table4[[#This Row],[CO2_Noduplicates]])</f>
        <v>88000</v>
      </c>
    </row>
    <row r="81" spans="1:13" x14ac:dyDescent="0.25">
      <c r="A81" s="12" t="s">
        <v>8</v>
      </c>
      <c r="B81" s="12" t="s">
        <v>80</v>
      </c>
      <c r="C81" s="16" t="s">
        <v>237</v>
      </c>
      <c r="D81" s="17">
        <v>44986</v>
      </c>
      <c r="E81" s="17">
        <v>45016</v>
      </c>
      <c r="F81" s="14">
        <v>6300</v>
      </c>
      <c r="G81" s="19" t="s">
        <v>232</v>
      </c>
      <c r="H81" s="14">
        <v>252</v>
      </c>
      <c r="I81" s="12" t="str">
        <f t="shared" si="4"/>
        <v>DCYCLE SAMadridwaste4498645016</v>
      </c>
      <c r="J81" s="12">
        <f>data_waste!L86</f>
        <v>6300</v>
      </c>
      <c r="K81" s="12">
        <f>IF(Combinadas!$C521="electricity", Combinadas!$J521/6.6667,
IF(Combinadas!$C521="water", Combinadas!$J521/3.333,
IF(Combinadas!$C521="heat", Combinadas!$J521/0.8333, IF(Combinadas!$C521="waste",Combinadas!$J521/25,
"NA"))))</f>
        <v>38.799999999999997</v>
      </c>
      <c r="L81" s="12">
        <f>data_waste!M86</f>
        <v>6300000</v>
      </c>
      <c r="M81" s="12">
        <f>IF(Table4[[#This Row],[Type]]="waste", Table4[[#This Row],[Q_Tonnes]]/25, Table4[[#This Row],[CO2_Noduplicates]])</f>
        <v>252000</v>
      </c>
    </row>
    <row r="82" spans="1:13" x14ac:dyDescent="0.25">
      <c r="A82" s="16" t="s">
        <v>8</v>
      </c>
      <c r="B82" s="16" t="s">
        <v>80</v>
      </c>
      <c r="C82" s="16" t="s">
        <v>130</v>
      </c>
      <c r="D82" s="17">
        <v>44992</v>
      </c>
      <c r="E82" s="17">
        <v>45201</v>
      </c>
      <c r="F82" s="18">
        <v>18.997</v>
      </c>
      <c r="G82" s="19" t="s">
        <v>133</v>
      </c>
      <c r="H82" s="18">
        <v>5.6996699669966997</v>
      </c>
      <c r="I82" s="12" t="str">
        <f t="shared" si="4"/>
        <v>DCYCLE SAMadridwater4499245201</v>
      </c>
      <c r="J82" s="12">
        <f t="shared" ref="J82:J89" si="5">IF(F82=_xlfn.MAXIFS(F:F, I:I, I82), F82, 0)</f>
        <v>18.997</v>
      </c>
      <c r="K82" s="12">
        <f>IF(Combinadas!$C115="electricity", Combinadas!$J115/6.6667,
IF(Combinadas!$C115="water", Combinadas!$J115/3.333,
IF(Combinadas!$C115="heat", Combinadas!$J115/0.8333, IF(Combinadas!$C115="waste",Combinadas!$J115/25,
"NA"))))</f>
        <v>86</v>
      </c>
      <c r="L82" s="12">
        <f>Combinadas!$J115</f>
        <v>2150</v>
      </c>
      <c r="M82" s="12">
        <f>IF(Table4[[#This Row],[Type]]="waste", Table4[[#This Row],[Q_Tonnes]]/25, Table4[[#This Row],[CO2_Noduplicates]])</f>
        <v>86</v>
      </c>
    </row>
    <row r="83" spans="1:13" x14ac:dyDescent="0.25">
      <c r="A83" s="12" t="s">
        <v>8</v>
      </c>
      <c r="B83" s="12" t="s">
        <v>127</v>
      </c>
      <c r="C83" s="12" t="s">
        <v>128</v>
      </c>
      <c r="D83" s="13">
        <v>45016</v>
      </c>
      <c r="E83" s="13">
        <v>45046</v>
      </c>
      <c r="F83" s="14">
        <v>5295</v>
      </c>
      <c r="G83" s="15" t="s">
        <v>129</v>
      </c>
      <c r="H83" s="14">
        <v>794.24602876985614</v>
      </c>
      <c r="I83" s="12" t="str">
        <f t="shared" si="4"/>
        <v>DCYCLE SABCNelectricity4501645046</v>
      </c>
      <c r="J83" s="12">
        <f t="shared" si="5"/>
        <v>5295</v>
      </c>
      <c r="K83" s="12">
        <f>IF(Combinadas!$C6="electricity", Combinadas!$J6/6.6667,
IF(Combinadas!$C6="water", Combinadas!$J6/3.333,
IF(Combinadas!$C6="heat", Combinadas!$J6/0.8333, IF(Combinadas!$C6="waste",Combinadas!$J6/25,
"NA"))))</f>
        <v>5877.8706106469472</v>
      </c>
      <c r="L83" s="12">
        <f>Combinadas!$J6</f>
        <v>39186</v>
      </c>
      <c r="M83" s="12">
        <f>IF(Table4[[#This Row],[Type]]="waste", Table4[[#This Row],[Q_Tonnes]]/25, Table4[[#This Row],[CO2_Noduplicates]])</f>
        <v>5877.8706106469472</v>
      </c>
    </row>
    <row r="84" spans="1:13" x14ac:dyDescent="0.25">
      <c r="A84" s="16" t="s">
        <v>8</v>
      </c>
      <c r="B84" s="16" t="s">
        <v>139</v>
      </c>
      <c r="C84" s="16" t="s">
        <v>128</v>
      </c>
      <c r="D84" s="17">
        <v>45016</v>
      </c>
      <c r="E84" s="17">
        <v>45046</v>
      </c>
      <c r="F84" s="18">
        <v>23519</v>
      </c>
      <c r="G84" s="19" t="s">
        <v>129</v>
      </c>
      <c r="H84" s="18">
        <v>3527.8323608381961</v>
      </c>
      <c r="I84" s="12" t="str">
        <f t="shared" si="4"/>
        <v>DCYCLE SAMadrid (A2)electricity4501645046</v>
      </c>
      <c r="J84" s="12">
        <f t="shared" si="5"/>
        <v>23519</v>
      </c>
      <c r="K84" s="12">
        <f>IF(Combinadas!$C29="electricity", Combinadas!$J29/6.6667,
IF(Combinadas!$C29="water", Combinadas!$J29/3.333,
IF(Combinadas!$C29="heat", Combinadas!$J29/0.8333, IF(Combinadas!$C29="waste",Combinadas!$J29/25,
"NA"))))</f>
        <v>0</v>
      </c>
      <c r="L84" s="12">
        <f>Combinadas!$J29</f>
        <v>0</v>
      </c>
      <c r="M84" s="12">
        <f>IF(Table4[[#This Row],[Type]]="waste", Table4[[#This Row],[Q_Tonnes]]/25, Table4[[#This Row],[CO2_Noduplicates]])</f>
        <v>0</v>
      </c>
    </row>
    <row r="85" spans="1:13" x14ac:dyDescent="0.25">
      <c r="A85" s="12" t="s">
        <v>8</v>
      </c>
      <c r="B85" s="12" t="s">
        <v>80</v>
      </c>
      <c r="C85" s="12" t="s">
        <v>128</v>
      </c>
      <c r="D85" s="13">
        <v>45016</v>
      </c>
      <c r="E85" s="13">
        <v>45046</v>
      </c>
      <c r="F85" s="14">
        <v>1790</v>
      </c>
      <c r="G85" s="15" t="s">
        <v>129</v>
      </c>
      <c r="H85" s="14">
        <v>268.4986575067125</v>
      </c>
      <c r="I85" s="12" t="str">
        <f t="shared" si="4"/>
        <v>DCYCLE SAMadridelectricity4501645046</v>
      </c>
      <c r="J85" s="12">
        <f t="shared" si="5"/>
        <v>0</v>
      </c>
      <c r="K85" s="12">
        <f>IF(Combinadas!$C86="electricity", Combinadas!$J86/6.6667,
IF(Combinadas!$C86="water", Combinadas!$J86/3.333,
IF(Combinadas!$C86="heat", Combinadas!$J86/0.8333, IF(Combinadas!$C86="waste",Combinadas!$J86/25,
"NA"))))</f>
        <v>9485.9525702371502</v>
      </c>
      <c r="L85" s="12">
        <f>Combinadas!$J86</f>
        <v>63240</v>
      </c>
      <c r="M85" s="12">
        <f>IF(Table4[[#This Row],[Type]]="waste", Table4[[#This Row],[Q_Tonnes]]/25, Table4[[#This Row],[CO2_Noduplicates]])</f>
        <v>9485.9525702371502</v>
      </c>
    </row>
    <row r="86" spans="1:13" x14ac:dyDescent="0.25">
      <c r="A86" s="16" t="s">
        <v>8</v>
      </c>
      <c r="B86" s="16" t="s">
        <v>80</v>
      </c>
      <c r="C86" s="16" t="s">
        <v>128</v>
      </c>
      <c r="D86" s="17">
        <v>45016</v>
      </c>
      <c r="E86" s="17">
        <v>45046</v>
      </c>
      <c r="F86" s="18">
        <v>63240</v>
      </c>
      <c r="G86" s="19" t="s">
        <v>129</v>
      </c>
      <c r="H86" s="18">
        <v>9485.9525702371502</v>
      </c>
      <c r="I86" s="12" t="str">
        <f t="shared" si="4"/>
        <v>DCYCLE SAMadridelectricity4501645046</v>
      </c>
      <c r="J86" s="12">
        <f t="shared" si="5"/>
        <v>63240</v>
      </c>
      <c r="K86" s="12">
        <f>IF(Combinadas!$C87="electricity", Combinadas!$J87/6.6667,
IF(Combinadas!$C87="water", Combinadas!$J87/3.333,
IF(Combinadas!$C87="heat", Combinadas!$J87/0.8333, IF(Combinadas!$C87="waste",Combinadas!$J87/25,
"NA"))))</f>
        <v>389.39805300973495</v>
      </c>
      <c r="L86" s="12">
        <f>Combinadas!$J87</f>
        <v>2596</v>
      </c>
      <c r="M86" s="12">
        <f>IF(Table4[[#This Row],[Type]]="waste", Table4[[#This Row],[Q_Tonnes]]/25, Table4[[#This Row],[CO2_Noduplicates]])</f>
        <v>389.39805300973495</v>
      </c>
    </row>
    <row r="87" spans="1:13" x14ac:dyDescent="0.25">
      <c r="A87" s="12" t="s">
        <v>8</v>
      </c>
      <c r="B87" s="12" t="s">
        <v>160</v>
      </c>
      <c r="C87" s="12" t="s">
        <v>128</v>
      </c>
      <c r="D87" s="13">
        <v>45016</v>
      </c>
      <c r="E87" s="13">
        <v>45046</v>
      </c>
      <c r="F87" s="14">
        <v>2596</v>
      </c>
      <c r="G87" s="15" t="s">
        <v>129</v>
      </c>
      <c r="H87" s="14">
        <v>389.39805300973495</v>
      </c>
      <c r="I87" s="12" t="str">
        <f t="shared" si="4"/>
        <v>DCYCLE SATajonarelectricity4501645046</v>
      </c>
      <c r="J87" s="12">
        <f t="shared" si="5"/>
        <v>2596</v>
      </c>
      <c r="K87" s="12">
        <f>IF(Combinadas!$C146="electricity", Combinadas!$J146/6.6667,
IF(Combinadas!$C146="water", Combinadas!$J146/3.333,
IF(Combinadas!$C146="heat", Combinadas!$J146/0.8333, IF(Combinadas!$C146="waste",Combinadas!$J146/25,
"NA"))))</f>
        <v>0</v>
      </c>
      <c r="L87" s="12">
        <f>Combinadas!$J146</f>
        <v>0</v>
      </c>
      <c r="M87" s="12">
        <f>IF(Table4[[#This Row],[Type]]="waste", Table4[[#This Row],[Q_Tonnes]]/25, Table4[[#This Row],[CO2_Noduplicates]])</f>
        <v>0</v>
      </c>
    </row>
    <row r="88" spans="1:13" x14ac:dyDescent="0.25">
      <c r="A88" s="12" t="s">
        <v>8</v>
      </c>
      <c r="B88" s="12" t="s">
        <v>139</v>
      </c>
      <c r="C88" s="12" t="s">
        <v>128</v>
      </c>
      <c r="D88" s="13">
        <v>45017</v>
      </c>
      <c r="E88" s="13">
        <v>45046</v>
      </c>
      <c r="F88" s="14">
        <v>12068.4</v>
      </c>
      <c r="G88" s="20" t="s">
        <v>129</v>
      </c>
      <c r="H88" s="14">
        <v>1810.2509487452562</v>
      </c>
      <c r="I88" s="12" t="str">
        <f t="shared" si="4"/>
        <v>DCYCLE SAMadrid (A2)electricity4501745046</v>
      </c>
      <c r="J88" s="12">
        <f t="shared" si="5"/>
        <v>12068.4</v>
      </c>
      <c r="K88" s="12">
        <f>IF(Combinadas!$C30="electricity", Combinadas!$J30/6.6667,
IF(Combinadas!$C30="water", Combinadas!$J30/3.333,
IF(Combinadas!$C30="heat", Combinadas!$J30/0.8333, IF(Combinadas!$C30="waste",Combinadas!$J30/25,
"NA"))))</f>
        <v>0</v>
      </c>
      <c r="L88" s="12">
        <f>Combinadas!$J30</f>
        <v>0</v>
      </c>
      <c r="M88" s="12">
        <f>IF(Table4[[#This Row],[Type]]="waste", Table4[[#This Row],[Q_Tonnes]]/25, Table4[[#This Row],[CO2_Noduplicates]])</f>
        <v>0</v>
      </c>
    </row>
    <row r="89" spans="1:13" x14ac:dyDescent="0.25">
      <c r="A89" s="12" t="s">
        <v>8</v>
      </c>
      <c r="B89" s="12" t="s">
        <v>139</v>
      </c>
      <c r="C89" s="12" t="s">
        <v>140</v>
      </c>
      <c r="D89" s="13">
        <v>45017</v>
      </c>
      <c r="E89" s="13">
        <v>45046</v>
      </c>
      <c r="F89" s="14">
        <v>177.29492170839148</v>
      </c>
      <c r="G89" s="15" t="s">
        <v>211</v>
      </c>
      <c r="H89" s="14">
        <v>212.76241654673163</v>
      </c>
      <c r="I89" s="12" t="str">
        <f t="shared" si="4"/>
        <v>DCYCLE SAMadrid (A2)heat4501745046</v>
      </c>
      <c r="J89" s="12">
        <f t="shared" si="5"/>
        <v>177.29492170839148</v>
      </c>
      <c r="K89" s="12">
        <f>IF(Combinadas!$C62="electricity", Combinadas!$J62/6.6667,
IF(Combinadas!$C62="water", Combinadas!$J62/3.333,
IF(Combinadas!$C62="heat", Combinadas!$J62/0.8333, IF(Combinadas!$C62="waste",Combinadas!$J62/25,
"NA"))))</f>
        <v>84</v>
      </c>
      <c r="L89" s="12">
        <f>Combinadas!$J62</f>
        <v>2100</v>
      </c>
      <c r="M89" s="12">
        <f>IF(Table4[[#This Row],[Type]]="waste", Table4[[#This Row],[Q_Tonnes]]/25, Table4[[#This Row],[CO2_Noduplicates]])</f>
        <v>84</v>
      </c>
    </row>
    <row r="90" spans="1:13" x14ac:dyDescent="0.25">
      <c r="A90" s="12" t="s">
        <v>8</v>
      </c>
      <c r="B90" s="12" t="s">
        <v>80</v>
      </c>
      <c r="C90" s="16" t="s">
        <v>237</v>
      </c>
      <c r="D90" s="13">
        <v>45017</v>
      </c>
      <c r="E90" s="13">
        <v>45046</v>
      </c>
      <c r="F90" s="14">
        <v>1220</v>
      </c>
      <c r="G90" s="15" t="s">
        <v>232</v>
      </c>
      <c r="H90" s="14">
        <v>48.8</v>
      </c>
      <c r="I90" s="12" t="str">
        <f t="shared" si="4"/>
        <v>DCYCLE SAMadridwaste4501745046</v>
      </c>
      <c r="J90" s="12">
        <f>data_waste!L55</f>
        <v>1220</v>
      </c>
      <c r="K90" s="12">
        <f>IF(Combinadas!$C490="electricity", Combinadas!$J490/6.6667,
IF(Combinadas!$C490="water", Combinadas!$J490/3.333,
IF(Combinadas!$C490="heat", Combinadas!$J490/0.8333, IF(Combinadas!$C490="waste",Combinadas!$J490/25,
"NA"))))</f>
        <v>316.8</v>
      </c>
      <c r="L90" s="12">
        <f>data_waste!M55</f>
        <v>1220000</v>
      </c>
      <c r="M90" s="12">
        <f>IF(Table4[[#This Row],[Type]]="waste", Table4[[#This Row],[Q_Tonnes]]/25, Table4[[#This Row],[CO2_Noduplicates]])</f>
        <v>48800</v>
      </c>
    </row>
    <row r="91" spans="1:13" x14ac:dyDescent="0.25">
      <c r="A91" s="12" t="s">
        <v>8</v>
      </c>
      <c r="B91" s="12" t="s">
        <v>127</v>
      </c>
      <c r="C91" s="12" t="s">
        <v>130</v>
      </c>
      <c r="D91" s="13">
        <v>45043</v>
      </c>
      <c r="E91" s="13">
        <v>45105</v>
      </c>
      <c r="F91" s="14">
        <v>12</v>
      </c>
      <c r="G91" s="15" t="s">
        <v>133</v>
      </c>
      <c r="H91" s="14">
        <v>3.6003600360036003</v>
      </c>
      <c r="I91" s="12" t="str">
        <f t="shared" si="4"/>
        <v>DCYCLE SABCNwater4504345105</v>
      </c>
      <c r="J91" s="12">
        <f t="shared" ref="J91:J98" si="6">IF(F91=_xlfn.MAXIFS(F:F, I:I, I91), F91, 0)</f>
        <v>12</v>
      </c>
      <c r="K91" s="12">
        <f>IF(Combinadas!$C18="electricity", Combinadas!$J18/6.6667,
IF(Combinadas!$C18="water", Combinadas!$J18/3.333,
IF(Combinadas!$C18="heat", Combinadas!$J18/0.8333, IF(Combinadas!$C18="waste",Combinadas!$J18/25,
"NA"))))</f>
        <v>2.7002700270027002</v>
      </c>
      <c r="L91" s="12">
        <f>Combinadas!$J18</f>
        <v>9</v>
      </c>
      <c r="M91" s="12">
        <f>IF(Table4[[#This Row],[Type]]="waste", Table4[[#This Row],[Q_Tonnes]]/25, Table4[[#This Row],[CO2_Noduplicates]])</f>
        <v>2.7002700270027002</v>
      </c>
    </row>
    <row r="92" spans="1:13" x14ac:dyDescent="0.25">
      <c r="A92" s="16" t="s">
        <v>8</v>
      </c>
      <c r="B92" s="16" t="s">
        <v>127</v>
      </c>
      <c r="C92" s="16" t="s">
        <v>128</v>
      </c>
      <c r="D92" s="17">
        <v>45046</v>
      </c>
      <c r="E92" s="17">
        <v>45077</v>
      </c>
      <c r="F92" s="18">
        <v>6773</v>
      </c>
      <c r="G92" s="19" t="s">
        <v>129</v>
      </c>
      <c r="H92" s="18">
        <v>1015.9449202753987</v>
      </c>
      <c r="I92" s="12" t="str">
        <f t="shared" si="4"/>
        <v>DCYCLE SABCNelectricity4504645077</v>
      </c>
      <c r="J92" s="12">
        <f t="shared" si="6"/>
        <v>6773</v>
      </c>
      <c r="K92" s="12">
        <f>IF(Combinadas!$C7="electricity", Combinadas!$J7/6.6667,
IF(Combinadas!$C7="water", Combinadas!$J7/3.333,
IF(Combinadas!$C7="heat", Combinadas!$J7/0.8333, IF(Combinadas!$C7="waste",Combinadas!$J7/25,
"NA"))))</f>
        <v>17138.614306928466</v>
      </c>
      <c r="L92" s="12">
        <f>Combinadas!$J7</f>
        <v>114258</v>
      </c>
      <c r="M92" s="12">
        <f>IF(Table4[[#This Row],[Type]]="waste", Table4[[#This Row],[Q_Tonnes]]/25, Table4[[#This Row],[CO2_Noduplicates]])</f>
        <v>17138.614306928466</v>
      </c>
    </row>
    <row r="93" spans="1:13" x14ac:dyDescent="0.25">
      <c r="A93" s="16" t="s">
        <v>8</v>
      </c>
      <c r="B93" s="16" t="s">
        <v>139</v>
      </c>
      <c r="C93" s="16" t="s">
        <v>128</v>
      </c>
      <c r="D93" s="17">
        <v>45046</v>
      </c>
      <c r="E93" s="17">
        <v>45077</v>
      </c>
      <c r="F93" s="18">
        <v>24330</v>
      </c>
      <c r="G93" s="19" t="s">
        <v>129</v>
      </c>
      <c r="H93" s="18">
        <v>3649.4817525912372</v>
      </c>
      <c r="I93" s="12" t="str">
        <f t="shared" si="4"/>
        <v>DCYCLE SAMadrid (A2)electricity4504645077</v>
      </c>
      <c r="J93" s="12">
        <f t="shared" si="6"/>
        <v>24330</v>
      </c>
      <c r="K93" s="12">
        <f>IF(Combinadas!$C31="electricity", Combinadas!$J31/6.6667,
IF(Combinadas!$C31="water", Combinadas!$J31/3.333,
IF(Combinadas!$C31="heat", Combinadas!$J31/0.8333, IF(Combinadas!$C31="waste",Combinadas!$J31/25,
"NA"))))</f>
        <v>71.707170717071705</v>
      </c>
      <c r="L93" s="12">
        <f>Combinadas!$J31</f>
        <v>239</v>
      </c>
      <c r="M93" s="12">
        <f>IF(Table4[[#This Row],[Type]]="waste", Table4[[#This Row],[Q_Tonnes]]/25, Table4[[#This Row],[CO2_Noduplicates]])</f>
        <v>71.707170717071705</v>
      </c>
    </row>
    <row r="94" spans="1:13" x14ac:dyDescent="0.25">
      <c r="A94" s="12" t="s">
        <v>8</v>
      </c>
      <c r="B94" s="12" t="s">
        <v>80</v>
      </c>
      <c r="C94" s="12" t="s">
        <v>128</v>
      </c>
      <c r="D94" s="13">
        <v>45046</v>
      </c>
      <c r="E94" s="13">
        <v>45077</v>
      </c>
      <c r="F94" s="14">
        <v>1826</v>
      </c>
      <c r="G94" s="15" t="s">
        <v>129</v>
      </c>
      <c r="H94" s="14">
        <v>273.8986305068475</v>
      </c>
      <c r="I94" s="12" t="str">
        <f t="shared" si="4"/>
        <v>DCYCLE SAMadridelectricity4504645077</v>
      </c>
      <c r="J94" s="12">
        <f t="shared" si="6"/>
        <v>0</v>
      </c>
      <c r="K94" s="12">
        <f>IF(Combinadas!$C88="electricity", Combinadas!$J88/6.6667,
IF(Combinadas!$C88="water", Combinadas!$J88/3.333,
IF(Combinadas!$C88="heat", Combinadas!$J88/0.8333, IF(Combinadas!$C88="waste",Combinadas!$J88/25,
"NA"))))</f>
        <v>1810.2509487452562</v>
      </c>
      <c r="L94" s="12">
        <f>Combinadas!$J88</f>
        <v>12068.4</v>
      </c>
      <c r="M94" s="12">
        <f>IF(Table4[[#This Row],[Type]]="waste", Table4[[#This Row],[Q_Tonnes]]/25, Table4[[#This Row],[CO2_Noduplicates]])</f>
        <v>1810.2509487452562</v>
      </c>
    </row>
    <row r="95" spans="1:13" x14ac:dyDescent="0.25">
      <c r="A95" s="16" t="s">
        <v>8</v>
      </c>
      <c r="B95" s="16" t="s">
        <v>80</v>
      </c>
      <c r="C95" s="16" t="s">
        <v>128</v>
      </c>
      <c r="D95" s="17">
        <v>45046</v>
      </c>
      <c r="E95" s="17">
        <v>45077</v>
      </c>
      <c r="F95" s="18">
        <v>61980</v>
      </c>
      <c r="G95" s="19" t="s">
        <v>129</v>
      </c>
      <c r="H95" s="18">
        <v>9296.9535152324243</v>
      </c>
      <c r="I95" s="12" t="str">
        <f t="shared" si="4"/>
        <v>DCYCLE SAMadridelectricity4504645077</v>
      </c>
      <c r="J95" s="12">
        <f t="shared" si="6"/>
        <v>61980</v>
      </c>
      <c r="K95" s="12">
        <f>IF(Combinadas!$C89="electricity", Combinadas!$J89/6.6667,
IF(Combinadas!$C89="water", Combinadas!$J89/3.333,
IF(Combinadas!$C89="heat", Combinadas!$J89/0.8333, IF(Combinadas!$C89="waste",Combinadas!$J89/25,
"NA"))))</f>
        <v>212.76241654673163</v>
      </c>
      <c r="L95" s="12">
        <f>Combinadas!$J89</f>
        <v>177.29492170839148</v>
      </c>
      <c r="M95" s="12">
        <f>IF(Table4[[#This Row],[Type]]="waste", Table4[[#This Row],[Q_Tonnes]]/25, Table4[[#This Row],[CO2_Noduplicates]])</f>
        <v>212.76241654673163</v>
      </c>
    </row>
    <row r="96" spans="1:13" x14ac:dyDescent="0.25">
      <c r="A96" s="16" t="s">
        <v>8</v>
      </c>
      <c r="B96" s="16" t="s">
        <v>160</v>
      </c>
      <c r="C96" s="16" t="s">
        <v>128</v>
      </c>
      <c r="D96" s="17">
        <v>45046</v>
      </c>
      <c r="E96" s="17">
        <v>45077</v>
      </c>
      <c r="F96" s="18">
        <v>2934</v>
      </c>
      <c r="G96" s="19" t="s">
        <v>129</v>
      </c>
      <c r="H96" s="18">
        <v>440.09779951100245</v>
      </c>
      <c r="I96" s="12" t="str">
        <f t="shared" si="4"/>
        <v>DCYCLE SATajonarelectricity4504645077</v>
      </c>
      <c r="J96" s="12">
        <f t="shared" si="6"/>
        <v>2934</v>
      </c>
      <c r="K96" s="12">
        <f>IF(Combinadas!$C147="electricity", Combinadas!$J147/6.6667,
IF(Combinadas!$C147="water", Combinadas!$J147/3.333,
IF(Combinadas!$C147="heat", Combinadas!$J147/0.8333, IF(Combinadas!$C147="waste",Combinadas!$J147/25,
"NA"))))</f>
        <v>2149.3692531537345</v>
      </c>
      <c r="L96" s="12">
        <f>Combinadas!$J147</f>
        <v>14329.2</v>
      </c>
      <c r="M96" s="12">
        <f>IF(Table4[[#This Row],[Type]]="waste", Table4[[#This Row],[Q_Tonnes]]/25, Table4[[#This Row],[CO2_Noduplicates]])</f>
        <v>2149.3692531537345</v>
      </c>
    </row>
    <row r="97" spans="1:13" x14ac:dyDescent="0.25">
      <c r="A97" s="12" t="s">
        <v>8</v>
      </c>
      <c r="B97" s="12" t="s">
        <v>139</v>
      </c>
      <c r="C97" s="12" t="s">
        <v>128</v>
      </c>
      <c r="D97" s="13">
        <v>45047</v>
      </c>
      <c r="E97" s="13">
        <v>45077</v>
      </c>
      <c r="F97" s="14">
        <v>14379.4</v>
      </c>
      <c r="G97" s="20" t="s">
        <v>129</v>
      </c>
      <c r="H97" s="14">
        <v>2156.8992155039227</v>
      </c>
      <c r="I97" s="12" t="str">
        <f t="shared" si="4"/>
        <v>DCYCLE SAMadrid (A2)electricity4504745077</v>
      </c>
      <c r="J97" s="12">
        <f t="shared" si="6"/>
        <v>14379.4</v>
      </c>
      <c r="K97" s="12">
        <f>IF(Combinadas!$C32="electricity", Combinadas!$J32/6.6667,
IF(Combinadas!$C32="water", Combinadas!$J32/3.333,
IF(Combinadas!$C32="heat", Combinadas!$J32/0.8333, IF(Combinadas!$C32="waste",Combinadas!$J32/25,
"NA"))))</f>
        <v>0</v>
      </c>
      <c r="L97" s="12">
        <f>Combinadas!$J32</f>
        <v>0</v>
      </c>
      <c r="M97" s="12">
        <f>IF(Table4[[#This Row],[Type]]="waste", Table4[[#This Row],[Q_Tonnes]]/25, Table4[[#This Row],[CO2_Noduplicates]])</f>
        <v>0</v>
      </c>
    </row>
    <row r="98" spans="1:13" x14ac:dyDescent="0.25">
      <c r="A98" s="16" t="s">
        <v>8</v>
      </c>
      <c r="B98" s="16" t="s">
        <v>139</v>
      </c>
      <c r="C98" s="16" t="s">
        <v>140</v>
      </c>
      <c r="D98" s="17">
        <v>45047</v>
      </c>
      <c r="E98" s="17">
        <v>45077</v>
      </c>
      <c r="F98" s="18">
        <v>0</v>
      </c>
      <c r="G98" s="19" t="s">
        <v>211</v>
      </c>
      <c r="H98" s="18">
        <v>0</v>
      </c>
      <c r="I98" s="12" t="str">
        <f t="shared" si="4"/>
        <v>DCYCLE SAMadrid (A2)heat4504745077</v>
      </c>
      <c r="J98" s="12">
        <f t="shared" si="6"/>
        <v>0</v>
      </c>
      <c r="K98" s="12">
        <f>IF(Combinadas!$C63="electricity", Combinadas!$J63/6.6667,
IF(Combinadas!$C63="water", Combinadas!$J63/3.333,
IF(Combinadas!$C63="heat", Combinadas!$J63/0.8333, IF(Combinadas!$C63="waste",Combinadas!$J63/25,
"NA"))))</f>
        <v>84</v>
      </c>
      <c r="L98" s="12">
        <f>Combinadas!$J63</f>
        <v>2100</v>
      </c>
      <c r="M98" s="12">
        <f>IF(Table4[[#This Row],[Type]]="waste", Table4[[#This Row],[Q_Tonnes]]/25, Table4[[#This Row],[CO2_Noduplicates]])</f>
        <v>84</v>
      </c>
    </row>
    <row r="99" spans="1:13" x14ac:dyDescent="0.25">
      <c r="A99" s="12" t="s">
        <v>8</v>
      </c>
      <c r="B99" s="12" t="s">
        <v>80</v>
      </c>
      <c r="C99" s="16" t="s">
        <v>237</v>
      </c>
      <c r="D99" s="17">
        <v>45047</v>
      </c>
      <c r="E99" s="17">
        <v>45077</v>
      </c>
      <c r="F99" s="14">
        <v>820</v>
      </c>
      <c r="G99" s="19" t="s">
        <v>232</v>
      </c>
      <c r="H99" s="14">
        <v>32.799999999999997</v>
      </c>
      <c r="I99" s="12" t="str">
        <f t="shared" si="4"/>
        <v>DCYCLE SAMadridwaste4504745077</v>
      </c>
      <c r="J99" s="12">
        <f>data_waste!L52</f>
        <v>820</v>
      </c>
      <c r="K99" s="12">
        <f>IF(Combinadas!$C487="electricity", Combinadas!$J487/6.6667,
IF(Combinadas!$C487="water", Combinadas!$J487/3.333,
IF(Combinadas!$C487="heat", Combinadas!$J487/0.8333, IF(Combinadas!$C487="waste",Combinadas!$J487/25,
"NA"))))</f>
        <v>96</v>
      </c>
      <c r="L99" s="12">
        <f>data_waste!M52</f>
        <v>820000</v>
      </c>
      <c r="M99" s="12">
        <f>IF(Table4[[#This Row],[Type]]="waste", Table4[[#This Row],[Q_Tonnes]]/25, Table4[[#This Row],[CO2_Noduplicates]])</f>
        <v>32800</v>
      </c>
    </row>
    <row r="100" spans="1:13" x14ac:dyDescent="0.25">
      <c r="A100" s="12" t="s">
        <v>8</v>
      </c>
      <c r="B100" s="12" t="s">
        <v>80</v>
      </c>
      <c r="C100" s="16" t="s">
        <v>237</v>
      </c>
      <c r="D100" s="17">
        <v>45047</v>
      </c>
      <c r="E100" s="17">
        <v>45077</v>
      </c>
      <c r="F100" s="14">
        <v>2000</v>
      </c>
      <c r="G100" s="19" t="s">
        <v>232</v>
      </c>
      <c r="H100" s="14">
        <v>80</v>
      </c>
      <c r="I100" s="12" t="str">
        <f t="shared" si="4"/>
        <v>DCYCLE SAMadridwaste4504745077</v>
      </c>
      <c r="J100" s="12">
        <f>data_waste!L62</f>
        <v>2000</v>
      </c>
      <c r="K100" s="12">
        <f>IF(Combinadas!$C497="electricity", Combinadas!$J497/6.6667,
IF(Combinadas!$C497="water", Combinadas!$J497/3.333,
IF(Combinadas!$C497="heat", Combinadas!$J497/0.8333, IF(Combinadas!$C497="waste",Combinadas!$J497/25,
"NA"))))</f>
        <v>0</v>
      </c>
      <c r="L100" s="12">
        <f>data_waste!M62</f>
        <v>2000000</v>
      </c>
      <c r="M100" s="12">
        <f>IF(Table4[[#This Row],[Type]]="waste", Table4[[#This Row],[Q_Tonnes]]/25, Table4[[#This Row],[CO2_Noduplicates]])</f>
        <v>80000</v>
      </c>
    </row>
    <row r="101" spans="1:13" x14ac:dyDescent="0.25">
      <c r="A101" s="12" t="s">
        <v>8</v>
      </c>
      <c r="B101" s="12" t="s">
        <v>80</v>
      </c>
      <c r="C101" s="16" t="s">
        <v>237</v>
      </c>
      <c r="D101" s="13">
        <v>45047</v>
      </c>
      <c r="E101" s="13">
        <v>45077</v>
      </c>
      <c r="F101" s="14">
        <v>2220</v>
      </c>
      <c r="G101" s="15" t="s">
        <v>232</v>
      </c>
      <c r="H101" s="14">
        <v>88.8</v>
      </c>
      <c r="I101" s="12" t="str">
        <f t="shared" si="4"/>
        <v>DCYCLE SAMadridwaste4504745077</v>
      </c>
      <c r="J101" s="12">
        <f>data_waste!L69</f>
        <v>2220</v>
      </c>
      <c r="K101" s="12">
        <f>IF(Combinadas!$C504="electricity", Combinadas!$J504/6.6667,
IF(Combinadas!$C504="water", Combinadas!$J504/3.333,
IF(Combinadas!$C504="heat", Combinadas!$J504/0.8333, IF(Combinadas!$C504="waste",Combinadas!$J504/25,
"NA"))))</f>
        <v>181.31485382388908</v>
      </c>
      <c r="L101" s="12">
        <f>data_waste!M69</f>
        <v>2220000</v>
      </c>
      <c r="M101" s="12">
        <f>IF(Table4[[#This Row],[Type]]="waste", Table4[[#This Row],[Q_Tonnes]]/25, Table4[[#This Row],[CO2_Noduplicates]])</f>
        <v>88800</v>
      </c>
    </row>
    <row r="102" spans="1:13" x14ac:dyDescent="0.25">
      <c r="A102" s="16" t="s">
        <v>8</v>
      </c>
      <c r="B102" s="16" t="s">
        <v>139</v>
      </c>
      <c r="C102" s="16" t="s">
        <v>130</v>
      </c>
      <c r="D102" s="17">
        <v>45050</v>
      </c>
      <c r="E102" s="17">
        <v>45134</v>
      </c>
      <c r="F102" s="18">
        <v>231</v>
      </c>
      <c r="G102" s="19" t="s">
        <v>133</v>
      </c>
      <c r="H102" s="18">
        <v>69.306930693069305</v>
      </c>
      <c r="I102" s="12" t="str">
        <f t="shared" si="4"/>
        <v>DCYCLE SAMadrid (A2)water4505045134</v>
      </c>
      <c r="J102" s="12">
        <f t="shared" ref="J102:J113" si="7">IF(F102=_xlfn.MAXIFS(F:F, I:I, I102), F102, 0)</f>
        <v>231</v>
      </c>
      <c r="K102" s="12">
        <f>IF(Combinadas!$C77="electricity", Combinadas!$J77/6.6667,
IF(Combinadas!$C77="water", Combinadas!$J77/3.333,
IF(Combinadas!$C77="heat", Combinadas!$J77/0.8333, IF(Combinadas!$C77="waste",Combinadas!$J77/25,
"NA"))))</f>
        <v>597.09421826105483</v>
      </c>
      <c r="L102" s="12">
        <f>Combinadas!$J77</f>
        <v>497.55861207693704</v>
      </c>
      <c r="M102" s="12">
        <f>IF(Table4[[#This Row],[Type]]="waste", Table4[[#This Row],[Q_Tonnes]]/25, Table4[[#This Row],[CO2_Noduplicates]])</f>
        <v>597.09421826105483</v>
      </c>
    </row>
    <row r="103" spans="1:13" x14ac:dyDescent="0.25">
      <c r="A103" s="12" t="s">
        <v>8</v>
      </c>
      <c r="B103" s="12" t="s">
        <v>80</v>
      </c>
      <c r="C103" s="12" t="s">
        <v>130</v>
      </c>
      <c r="D103" s="13">
        <v>45050</v>
      </c>
      <c r="E103" s="13">
        <v>45134</v>
      </c>
      <c r="F103" s="14">
        <v>55</v>
      </c>
      <c r="G103" s="15" t="s">
        <v>133</v>
      </c>
      <c r="H103" s="14">
        <v>16.5016501650165</v>
      </c>
      <c r="I103" s="12" t="str">
        <f t="shared" si="4"/>
        <v>DCYCLE SAMadridwater4505045134</v>
      </c>
      <c r="J103" s="12">
        <f t="shared" si="7"/>
        <v>0</v>
      </c>
      <c r="K103" s="12">
        <f>IF(Combinadas!$C136="electricity", Combinadas!$J136/6.6667,
IF(Combinadas!$C136="water", Combinadas!$J136/3.333,
IF(Combinadas!$C136="heat", Combinadas!$J136/0.8333, IF(Combinadas!$C136="waste",Combinadas!$J136/25,
"NA"))))</f>
        <v>213.6</v>
      </c>
      <c r="L103" s="12">
        <f>Combinadas!$J136</f>
        <v>5340</v>
      </c>
      <c r="M103" s="12">
        <f>IF(Table4[[#This Row],[Type]]="waste", Table4[[#This Row],[Q_Tonnes]]/25, Table4[[#This Row],[CO2_Noduplicates]])</f>
        <v>213.6</v>
      </c>
    </row>
    <row r="104" spans="1:13" x14ac:dyDescent="0.25">
      <c r="A104" s="16" t="s">
        <v>8</v>
      </c>
      <c r="B104" s="16" t="s">
        <v>80</v>
      </c>
      <c r="C104" s="16" t="s">
        <v>130</v>
      </c>
      <c r="D104" s="17">
        <v>45050</v>
      </c>
      <c r="E104" s="17">
        <v>45134</v>
      </c>
      <c r="F104" s="18">
        <v>74</v>
      </c>
      <c r="G104" s="19" t="s">
        <v>133</v>
      </c>
      <c r="H104" s="18">
        <v>22.202220222022202</v>
      </c>
      <c r="I104" s="12" t="str">
        <f t="shared" si="4"/>
        <v>DCYCLE SAMadridwater4505045134</v>
      </c>
      <c r="J104" s="12">
        <f t="shared" si="7"/>
        <v>0</v>
      </c>
      <c r="K104" s="12">
        <f>IF(Combinadas!$C137="electricity", Combinadas!$J137/6.6667,
IF(Combinadas!$C137="water", Combinadas!$J137/3.333,
IF(Combinadas!$C137="heat", Combinadas!$J137/0.8333, IF(Combinadas!$C137="waste",Combinadas!$J137/25,
"NA"))))</f>
        <v>7.5007500750075007</v>
      </c>
      <c r="L104" s="12">
        <f>Combinadas!$J137</f>
        <v>25</v>
      </c>
      <c r="M104" s="12">
        <f>IF(Table4[[#This Row],[Type]]="waste", Table4[[#This Row],[Q_Tonnes]]/25, Table4[[#This Row],[CO2_Noduplicates]])</f>
        <v>7.5007500750075007</v>
      </c>
    </row>
    <row r="105" spans="1:13" x14ac:dyDescent="0.25">
      <c r="A105" s="12" t="s">
        <v>8</v>
      </c>
      <c r="B105" s="12" t="s">
        <v>80</v>
      </c>
      <c r="C105" s="12" t="s">
        <v>130</v>
      </c>
      <c r="D105" s="13">
        <v>45050</v>
      </c>
      <c r="E105" s="13">
        <v>45134</v>
      </c>
      <c r="F105" s="14">
        <v>301</v>
      </c>
      <c r="G105" s="15" t="s">
        <v>133</v>
      </c>
      <c r="H105" s="14">
        <v>90.309030903090303</v>
      </c>
      <c r="I105" s="12" t="str">
        <f t="shared" si="4"/>
        <v>DCYCLE SAMadridwater4505045134</v>
      </c>
      <c r="J105" s="12">
        <f t="shared" si="7"/>
        <v>301</v>
      </c>
      <c r="K105" s="12">
        <f>IF(Combinadas!$C138="electricity", Combinadas!$J138/6.6667,
IF(Combinadas!$C138="water", Combinadas!$J138/3.333,
IF(Combinadas!$C138="heat", Combinadas!$J138/0.8333, IF(Combinadas!$C138="waste",Combinadas!$J138/25,
"NA"))))</f>
        <v>0</v>
      </c>
      <c r="L105" s="12">
        <f>Combinadas!$J138</f>
        <v>0</v>
      </c>
      <c r="M105" s="12">
        <f>IF(Table4[[#This Row],[Type]]="waste", Table4[[#This Row],[Q_Tonnes]]/25, Table4[[#This Row],[CO2_Noduplicates]])</f>
        <v>0</v>
      </c>
    </row>
    <row r="106" spans="1:13" x14ac:dyDescent="0.25">
      <c r="A106" s="12" t="s">
        <v>8</v>
      </c>
      <c r="B106" s="12" t="s">
        <v>127</v>
      </c>
      <c r="C106" s="12" t="s">
        <v>128</v>
      </c>
      <c r="D106" s="13">
        <v>45077</v>
      </c>
      <c r="E106" s="13">
        <v>45107</v>
      </c>
      <c r="F106" s="14">
        <v>9555</v>
      </c>
      <c r="G106" s="15" t="s">
        <v>129</v>
      </c>
      <c r="H106" s="14">
        <v>1433.2428337858312</v>
      </c>
      <c r="I106" s="12" t="str">
        <f t="shared" si="4"/>
        <v>DCYCLE SABCNelectricity4507745107</v>
      </c>
      <c r="J106" s="12">
        <f t="shared" si="7"/>
        <v>9555</v>
      </c>
      <c r="K106" s="12">
        <f>IF(Combinadas!$C8="electricity", Combinadas!$J8/6.6667,
IF(Combinadas!$C8="water", Combinadas!$J8/3.333,
IF(Combinadas!$C8="heat", Combinadas!$J8/0.8333, IF(Combinadas!$C8="waste",Combinadas!$J8/25,
"NA"))))</f>
        <v>1322.8450017241555</v>
      </c>
      <c r="L106" s="12">
        <f>Combinadas!$J8</f>
        <v>1102.3267399367389</v>
      </c>
      <c r="M106" s="12">
        <f>IF(Table4[[#This Row],[Type]]="waste", Table4[[#This Row],[Q_Tonnes]]/25, Table4[[#This Row],[CO2_Noduplicates]])</f>
        <v>1322.8450017241555</v>
      </c>
    </row>
    <row r="107" spans="1:13" x14ac:dyDescent="0.25">
      <c r="A107" s="16" t="s">
        <v>8</v>
      </c>
      <c r="B107" s="16" t="s">
        <v>139</v>
      </c>
      <c r="C107" s="16" t="s">
        <v>128</v>
      </c>
      <c r="D107" s="17">
        <v>45077</v>
      </c>
      <c r="E107" s="17">
        <v>45107</v>
      </c>
      <c r="F107" s="18">
        <v>30319</v>
      </c>
      <c r="G107" s="19" t="s">
        <v>129</v>
      </c>
      <c r="H107" s="18">
        <v>4547.8272608636962</v>
      </c>
      <c r="I107" s="12" t="str">
        <f t="shared" si="4"/>
        <v>DCYCLE SAMadrid (A2)electricity4507745107</v>
      </c>
      <c r="J107" s="12">
        <f t="shared" si="7"/>
        <v>30319</v>
      </c>
      <c r="K107" s="12">
        <f>IF(Combinadas!$C33="electricity", Combinadas!$J33/6.6667,
IF(Combinadas!$C33="water", Combinadas!$J33/3.333,
IF(Combinadas!$C33="heat", Combinadas!$J33/0.8333, IF(Combinadas!$C33="waste",Combinadas!$J33/25,
"NA"))))</f>
        <v>0</v>
      </c>
      <c r="L107" s="12">
        <f>Combinadas!$J33</f>
        <v>0</v>
      </c>
      <c r="M107" s="12">
        <f>IF(Table4[[#This Row],[Type]]="waste", Table4[[#This Row],[Q_Tonnes]]/25, Table4[[#This Row],[CO2_Noduplicates]])</f>
        <v>0</v>
      </c>
    </row>
    <row r="108" spans="1:13" x14ac:dyDescent="0.25">
      <c r="A108" s="12" t="s">
        <v>8</v>
      </c>
      <c r="B108" s="12" t="s">
        <v>80</v>
      </c>
      <c r="C108" s="12" t="s">
        <v>128</v>
      </c>
      <c r="D108" s="13">
        <v>45077</v>
      </c>
      <c r="E108" s="13">
        <v>45107</v>
      </c>
      <c r="F108" s="14">
        <v>1912</v>
      </c>
      <c r="G108" s="15" t="s">
        <v>129</v>
      </c>
      <c r="H108" s="14">
        <v>286.79856600717</v>
      </c>
      <c r="I108" s="12" t="str">
        <f t="shared" si="4"/>
        <v>DCYCLE SAMadridelectricity4507745107</v>
      </c>
      <c r="J108" s="12">
        <f t="shared" si="7"/>
        <v>0</v>
      </c>
      <c r="K108" s="12">
        <f>IF(Combinadas!$C90="electricity", Combinadas!$J90/6.6667,
IF(Combinadas!$C90="water", Combinadas!$J90/3.333,
IF(Combinadas!$C90="heat", Combinadas!$J90/0.8333, IF(Combinadas!$C90="waste",Combinadas!$J90/25,
"NA"))))</f>
        <v>48.8</v>
      </c>
      <c r="L108" s="12">
        <f>Combinadas!$J90</f>
        <v>1220</v>
      </c>
      <c r="M108" s="12">
        <f>IF(Table4[[#This Row],[Type]]="waste", Table4[[#This Row],[Q_Tonnes]]/25, Table4[[#This Row],[CO2_Noduplicates]])</f>
        <v>48.8</v>
      </c>
    </row>
    <row r="109" spans="1:13" x14ac:dyDescent="0.25">
      <c r="A109" s="16" t="s">
        <v>8</v>
      </c>
      <c r="B109" s="16" t="s">
        <v>80</v>
      </c>
      <c r="C109" s="16" t="s">
        <v>128</v>
      </c>
      <c r="D109" s="17">
        <v>45077</v>
      </c>
      <c r="E109" s="17">
        <v>45107</v>
      </c>
      <c r="F109" s="18">
        <v>59780</v>
      </c>
      <c r="G109" s="19" t="s">
        <v>129</v>
      </c>
      <c r="H109" s="18">
        <v>8966.9551652241753</v>
      </c>
      <c r="I109" s="12" t="str">
        <f t="shared" si="4"/>
        <v>DCYCLE SAMadridelectricity4507745107</v>
      </c>
      <c r="J109" s="12">
        <f t="shared" si="7"/>
        <v>59780</v>
      </c>
      <c r="K109" s="12">
        <f>IF(Combinadas!$C91="electricity", Combinadas!$J91/6.6667,
IF(Combinadas!$C91="water", Combinadas!$J91/3.333,
IF(Combinadas!$C91="heat", Combinadas!$J91/0.8333, IF(Combinadas!$C91="waste",Combinadas!$J91/25,
"NA"))))</f>
        <v>3.6003600360036003</v>
      </c>
      <c r="L109" s="12">
        <f>Combinadas!$J91</f>
        <v>12</v>
      </c>
      <c r="M109" s="12">
        <f>IF(Table4[[#This Row],[Type]]="waste", Table4[[#This Row],[Q_Tonnes]]/25, Table4[[#This Row],[CO2_Noduplicates]])</f>
        <v>3.6003600360036003</v>
      </c>
    </row>
    <row r="110" spans="1:13" x14ac:dyDescent="0.25">
      <c r="A110" s="12" t="s">
        <v>8</v>
      </c>
      <c r="B110" s="12" t="s">
        <v>160</v>
      </c>
      <c r="C110" s="12" t="s">
        <v>128</v>
      </c>
      <c r="D110" s="13">
        <v>45077</v>
      </c>
      <c r="E110" s="13">
        <v>45107</v>
      </c>
      <c r="F110" s="14">
        <v>3127</v>
      </c>
      <c r="G110" s="15" t="s">
        <v>129</v>
      </c>
      <c r="H110" s="14">
        <v>469.04765476172622</v>
      </c>
      <c r="I110" s="12" t="str">
        <f t="shared" si="4"/>
        <v>DCYCLE SATajonarelectricity4507745107</v>
      </c>
      <c r="J110" s="12">
        <f t="shared" si="7"/>
        <v>3127</v>
      </c>
      <c r="K110" s="12">
        <f>IF(Combinadas!$C148="electricity", Combinadas!$J148/6.6667,
IF(Combinadas!$C148="water", Combinadas!$J148/3.333,
IF(Combinadas!$C148="heat", Combinadas!$J148/0.8333, IF(Combinadas!$C148="waste",Combinadas!$J148/25,
"NA"))))</f>
        <v>361.56719216403923</v>
      </c>
      <c r="L110" s="12">
        <f>Combinadas!$J148</f>
        <v>2410.46</v>
      </c>
      <c r="M110" s="12">
        <f>IF(Table4[[#This Row],[Type]]="waste", Table4[[#This Row],[Q_Tonnes]]/25, Table4[[#This Row],[CO2_Noduplicates]])</f>
        <v>361.56719216403923</v>
      </c>
    </row>
    <row r="111" spans="1:13" x14ac:dyDescent="0.25">
      <c r="A111" s="12" t="s">
        <v>8</v>
      </c>
      <c r="B111" s="12" t="s">
        <v>139</v>
      </c>
      <c r="C111" s="12" t="s">
        <v>128</v>
      </c>
      <c r="D111" s="13">
        <v>45078</v>
      </c>
      <c r="E111" s="13">
        <v>45107</v>
      </c>
      <c r="F111" s="14">
        <v>15420.8</v>
      </c>
      <c r="G111" s="20" t="s">
        <v>129</v>
      </c>
      <c r="H111" s="14">
        <v>2313.1084344578276</v>
      </c>
      <c r="I111" s="12" t="str">
        <f t="shared" si="4"/>
        <v>DCYCLE SAMadrid (A2)electricity4507845107</v>
      </c>
      <c r="J111" s="12">
        <f t="shared" si="7"/>
        <v>15420.8</v>
      </c>
      <c r="K111" s="12">
        <f>IF(Combinadas!$C34="electricity", Combinadas!$J34/6.6667,
IF(Combinadas!$C34="water", Combinadas!$J34/3.333,
IF(Combinadas!$C34="heat", Combinadas!$J34/0.8333, IF(Combinadas!$C34="waste",Combinadas!$J34/25,
"NA"))))</f>
        <v>3.6003600360036003</v>
      </c>
      <c r="L111" s="12">
        <f>Combinadas!$J34</f>
        <v>12</v>
      </c>
      <c r="M111" s="12">
        <f>IF(Table4[[#This Row],[Type]]="waste", Table4[[#This Row],[Q_Tonnes]]/25, Table4[[#This Row],[CO2_Noduplicates]])</f>
        <v>3.6003600360036003</v>
      </c>
    </row>
    <row r="112" spans="1:13" x14ac:dyDescent="0.25">
      <c r="A112" s="12" t="s">
        <v>8</v>
      </c>
      <c r="B112" s="12" t="s">
        <v>139</v>
      </c>
      <c r="C112" s="12" t="s">
        <v>140</v>
      </c>
      <c r="D112" s="13">
        <v>45078</v>
      </c>
      <c r="E112" s="13">
        <v>45107</v>
      </c>
      <c r="F112" s="14">
        <v>0</v>
      </c>
      <c r="G112" s="15" t="s">
        <v>211</v>
      </c>
      <c r="H112" s="14">
        <v>0</v>
      </c>
      <c r="I112" s="12" t="str">
        <f t="shared" si="4"/>
        <v>DCYCLE SAMadrid (A2)heat4507845107</v>
      </c>
      <c r="J112" s="12">
        <f t="shared" si="7"/>
        <v>0</v>
      </c>
      <c r="K112" s="12">
        <f>IF(Combinadas!$C64="electricity", Combinadas!$J64/6.6667,
IF(Combinadas!$C64="water", Combinadas!$J64/3.333,
IF(Combinadas!$C64="heat", Combinadas!$J64/0.8333, IF(Combinadas!$C64="waste",Combinadas!$J64/25,
"NA"))))</f>
        <v>114.4</v>
      </c>
      <c r="L112" s="12">
        <f>Combinadas!$J64</f>
        <v>2860</v>
      </c>
      <c r="M112" s="12">
        <f>IF(Table4[[#This Row],[Type]]="waste", Table4[[#This Row],[Q_Tonnes]]/25, Table4[[#This Row],[CO2_Noduplicates]])</f>
        <v>114.4</v>
      </c>
    </row>
    <row r="113" spans="1:13" x14ac:dyDescent="0.25">
      <c r="A113" s="12" t="s">
        <v>8</v>
      </c>
      <c r="B113" s="12" t="s">
        <v>80</v>
      </c>
      <c r="C113" s="12" t="s">
        <v>128</v>
      </c>
      <c r="D113" s="13">
        <v>45078</v>
      </c>
      <c r="E113" s="13">
        <v>45107</v>
      </c>
      <c r="F113" s="14">
        <v>19897.490000000002</v>
      </c>
      <c r="G113" s="20" t="s">
        <v>129</v>
      </c>
      <c r="H113" s="14">
        <v>2984.6085769571155</v>
      </c>
      <c r="I113" s="12" t="str">
        <f t="shared" si="4"/>
        <v>DCYCLE SAMadridelectricity4507845107</v>
      </c>
      <c r="J113" s="12">
        <f t="shared" si="7"/>
        <v>19897.490000000002</v>
      </c>
      <c r="K113" s="12">
        <f>IF(Combinadas!$C92="electricity", Combinadas!$J92/6.6667,
IF(Combinadas!$C92="water", Combinadas!$J92/3.333,
IF(Combinadas!$C92="heat", Combinadas!$J92/0.8333, IF(Combinadas!$C92="waste",Combinadas!$J92/25,
"NA"))))</f>
        <v>1015.9449202753987</v>
      </c>
      <c r="L113" s="12">
        <f>Combinadas!$J92</f>
        <v>6773</v>
      </c>
      <c r="M113" s="12">
        <f>IF(Table4[[#This Row],[Type]]="waste", Table4[[#This Row],[Q_Tonnes]]/25, Table4[[#This Row],[CO2_Noduplicates]])</f>
        <v>1015.9449202753987</v>
      </c>
    </row>
    <row r="114" spans="1:13" x14ac:dyDescent="0.25">
      <c r="A114" s="12" t="s">
        <v>8</v>
      </c>
      <c r="B114" s="12" t="s">
        <v>80</v>
      </c>
      <c r="C114" s="16" t="s">
        <v>237</v>
      </c>
      <c r="D114" s="13">
        <v>45078</v>
      </c>
      <c r="E114" s="13">
        <v>45107</v>
      </c>
      <c r="F114" s="14">
        <v>2000</v>
      </c>
      <c r="G114" s="15" t="s">
        <v>232</v>
      </c>
      <c r="H114" s="14">
        <v>80</v>
      </c>
      <c r="I114" s="12" t="str">
        <f t="shared" si="4"/>
        <v>DCYCLE SAMadridwaste4507845107</v>
      </c>
      <c r="J114" s="12">
        <f>data_waste!L63</f>
        <v>2000</v>
      </c>
      <c r="K114" s="12">
        <f>IF(Combinadas!$C498="electricity", Combinadas!$J498/6.6667,
IF(Combinadas!$C498="water", Combinadas!$J498/3.333,
IF(Combinadas!$C498="heat", Combinadas!$J498/0.8333, IF(Combinadas!$C498="waste",Combinadas!$J498/25,
"NA"))))</f>
        <v>8988.5550572247139</v>
      </c>
      <c r="L114" s="12">
        <f>data_waste!M63</f>
        <v>2000000</v>
      </c>
      <c r="M114" s="12">
        <f>IF(Table4[[#This Row],[Type]]="waste", Table4[[#This Row],[Q_Tonnes]]/25, Table4[[#This Row],[CO2_Noduplicates]])</f>
        <v>80000</v>
      </c>
    </row>
    <row r="115" spans="1:13" x14ac:dyDescent="0.25">
      <c r="A115" s="12" t="s">
        <v>8</v>
      </c>
      <c r="B115" s="12" t="s">
        <v>80</v>
      </c>
      <c r="C115" s="16" t="s">
        <v>237</v>
      </c>
      <c r="D115" s="13">
        <v>45078</v>
      </c>
      <c r="E115" s="13">
        <v>45107</v>
      </c>
      <c r="F115" s="14">
        <v>2150</v>
      </c>
      <c r="G115" s="15" t="s">
        <v>232</v>
      </c>
      <c r="H115" s="14">
        <v>86</v>
      </c>
      <c r="I115" s="12" t="str">
        <f t="shared" si="4"/>
        <v>DCYCLE SAMadridwaste4507845107</v>
      </c>
      <c r="J115" s="12">
        <f>data_waste!L67</f>
        <v>2150</v>
      </c>
      <c r="K115" s="12">
        <f>IF(Combinadas!$C502="electricity", Combinadas!$J502/6.6667,
IF(Combinadas!$C502="water", Combinadas!$J502/3.333,
IF(Combinadas!$C502="heat", Combinadas!$J502/0.8333, IF(Combinadas!$C502="waste",Combinadas!$J502/25,
"NA"))))</f>
        <v>154.4</v>
      </c>
      <c r="L115" s="12">
        <f>data_waste!M67</f>
        <v>2150000</v>
      </c>
      <c r="M115" s="12">
        <f>IF(Table4[[#This Row],[Type]]="waste", Table4[[#This Row],[Q_Tonnes]]/25, Table4[[#This Row],[CO2_Noduplicates]])</f>
        <v>86000</v>
      </c>
    </row>
    <row r="116" spans="1:13" x14ac:dyDescent="0.25">
      <c r="A116" s="12" t="s">
        <v>8</v>
      </c>
      <c r="B116" s="12" t="s">
        <v>80</v>
      </c>
      <c r="C116" s="16" t="s">
        <v>237</v>
      </c>
      <c r="D116" s="13">
        <v>45078</v>
      </c>
      <c r="E116" s="13">
        <v>45107</v>
      </c>
      <c r="F116" s="14">
        <v>6140</v>
      </c>
      <c r="G116" s="15" t="s">
        <v>232</v>
      </c>
      <c r="H116" s="14">
        <v>245.6</v>
      </c>
      <c r="I116" s="12" t="str">
        <f t="shared" si="4"/>
        <v>DCYCLE SAMadridwaste4507845107</v>
      </c>
      <c r="J116" s="12">
        <f>data_waste!L85</f>
        <v>6140</v>
      </c>
      <c r="K116" s="12">
        <f>IF(Combinadas!$C520="electricity", Combinadas!$J520/6.6667,
IF(Combinadas!$C520="water", Combinadas!$J520/3.333,
IF(Combinadas!$C520="heat", Combinadas!$J520/0.8333, IF(Combinadas!$C520="waste",Combinadas!$J520/25,
"NA"))))</f>
        <v>33.200000000000003</v>
      </c>
      <c r="L116" s="12">
        <f>data_waste!M85</f>
        <v>6140000</v>
      </c>
      <c r="M116" s="12">
        <f>IF(Table4[[#This Row],[Type]]="waste", Table4[[#This Row],[Q_Tonnes]]/25, Table4[[#This Row],[CO2_Noduplicates]])</f>
        <v>245600</v>
      </c>
    </row>
    <row r="117" spans="1:13" x14ac:dyDescent="0.25">
      <c r="A117" s="12" t="s">
        <v>8</v>
      </c>
      <c r="B117" s="12" t="s">
        <v>80</v>
      </c>
      <c r="C117" s="16" t="s">
        <v>237</v>
      </c>
      <c r="D117" s="17">
        <v>45078</v>
      </c>
      <c r="E117" s="17">
        <v>45107</v>
      </c>
      <c r="F117" s="14">
        <v>6400</v>
      </c>
      <c r="G117" s="19" t="s">
        <v>232</v>
      </c>
      <c r="H117" s="14">
        <v>256</v>
      </c>
      <c r="I117" s="12" t="str">
        <f t="shared" si="4"/>
        <v>DCYCLE SAMadridwaste4507845107</v>
      </c>
      <c r="J117" s="12">
        <f>data_waste!L88</f>
        <v>6400</v>
      </c>
      <c r="K117" s="12">
        <f>IF(Combinadas!$C523="electricity", Combinadas!$J523/6.6667,
IF(Combinadas!$C523="water", Combinadas!$J523/3.333,
IF(Combinadas!$C523="heat", Combinadas!$J523/0.8333, IF(Combinadas!$C523="waste",Combinadas!$J523/25,
"NA"))))</f>
        <v>94.4</v>
      </c>
      <c r="L117" s="12">
        <f>data_waste!M88</f>
        <v>6400000</v>
      </c>
      <c r="M117" s="12">
        <f>IF(Table4[[#This Row],[Type]]="waste", Table4[[#This Row],[Q_Tonnes]]/25, Table4[[#This Row],[CO2_Noduplicates]])</f>
        <v>256000</v>
      </c>
    </row>
    <row r="118" spans="1:13" x14ac:dyDescent="0.25">
      <c r="A118" s="16" t="s">
        <v>8</v>
      </c>
      <c r="B118" s="16" t="s">
        <v>127</v>
      </c>
      <c r="C118" s="16" t="s">
        <v>130</v>
      </c>
      <c r="D118" s="17">
        <v>45105</v>
      </c>
      <c r="E118" s="17">
        <v>45167</v>
      </c>
      <c r="F118" s="18">
        <v>9</v>
      </c>
      <c r="G118" s="19" t="s">
        <v>133</v>
      </c>
      <c r="H118" s="18">
        <v>2.7002700270027002</v>
      </c>
      <c r="I118" s="12" t="str">
        <f t="shared" si="4"/>
        <v>DCYCLE SABCNwater4510545167</v>
      </c>
      <c r="J118" s="12">
        <f t="shared" ref="J118:J126" si="8">IF(F118=_xlfn.MAXIFS(F:F, I:I, I118), F118, 0)</f>
        <v>9</v>
      </c>
      <c r="K118" s="12">
        <f>IF(Combinadas!$C19="electricity", Combinadas!$J19/6.6667,
IF(Combinadas!$C19="water", Combinadas!$J19/3.333,
IF(Combinadas!$C19="heat", Combinadas!$J19/0.8333, IF(Combinadas!$C19="waste",Combinadas!$J19/25,
"NA"))))</f>
        <v>1173.305289401472</v>
      </c>
      <c r="L118" s="12">
        <f>Combinadas!$J19</f>
        <v>977.71529765824664</v>
      </c>
      <c r="M118" s="12">
        <f>IF(Table4[[#This Row],[Type]]="waste", Table4[[#This Row],[Q_Tonnes]]/25, Table4[[#This Row],[CO2_Noduplicates]])</f>
        <v>1173.305289401472</v>
      </c>
    </row>
    <row r="119" spans="1:13" x14ac:dyDescent="0.25">
      <c r="A119" s="16" t="s">
        <v>8</v>
      </c>
      <c r="B119" s="16" t="s">
        <v>127</v>
      </c>
      <c r="C119" s="16" t="s">
        <v>128</v>
      </c>
      <c r="D119" s="17">
        <v>45107</v>
      </c>
      <c r="E119" s="17">
        <v>45138</v>
      </c>
      <c r="F119" s="18">
        <v>11753</v>
      </c>
      <c r="G119" s="19" t="s">
        <v>129</v>
      </c>
      <c r="H119" s="18">
        <v>1762.9411852940736</v>
      </c>
      <c r="I119" s="12" t="str">
        <f t="shared" si="4"/>
        <v>DCYCLE SABCNelectricity4510745138</v>
      </c>
      <c r="J119" s="12">
        <f t="shared" si="8"/>
        <v>11753</v>
      </c>
      <c r="K119" s="12">
        <f>IF(Combinadas!$C9="electricity", Combinadas!$J9/6.6667,
IF(Combinadas!$C9="water", Combinadas!$J9/3.333,
IF(Combinadas!$C9="heat", Combinadas!$J9/0.8333, IF(Combinadas!$C9="waste",Combinadas!$J9/25,
"NA"))))</f>
        <v>136565.31717341414</v>
      </c>
      <c r="L119" s="12">
        <f>Combinadas!$J9</f>
        <v>910440</v>
      </c>
      <c r="M119" s="12">
        <f>IF(Table4[[#This Row],[Type]]="waste", Table4[[#This Row],[Q_Tonnes]]/25, Table4[[#This Row],[CO2_Noduplicates]])</f>
        <v>136565.31717341414</v>
      </c>
    </row>
    <row r="120" spans="1:13" x14ac:dyDescent="0.25">
      <c r="A120" s="16" t="s">
        <v>8</v>
      </c>
      <c r="B120" s="16" t="s">
        <v>139</v>
      </c>
      <c r="C120" s="16" t="s">
        <v>128</v>
      </c>
      <c r="D120" s="17">
        <v>45107</v>
      </c>
      <c r="E120" s="17">
        <v>45138</v>
      </c>
      <c r="F120" s="18">
        <v>30571</v>
      </c>
      <c r="G120" s="19" t="s">
        <v>129</v>
      </c>
      <c r="H120" s="18">
        <v>4585.627071864641</v>
      </c>
      <c r="I120" s="12" t="str">
        <f t="shared" si="4"/>
        <v>DCYCLE SAMadrid (A2)electricity4510745138</v>
      </c>
      <c r="J120" s="12">
        <f t="shared" si="8"/>
        <v>30571</v>
      </c>
      <c r="K120" s="12">
        <f>IF(Combinadas!$C35="electricity", Combinadas!$J35/6.6667,
IF(Combinadas!$C35="water", Combinadas!$J35/3.333,
IF(Combinadas!$C35="heat", Combinadas!$J35/0.8333, IF(Combinadas!$C35="waste",Combinadas!$J35/25,
"NA"))))</f>
        <v>519.82657391469559</v>
      </c>
      <c r="L120" s="12">
        <f>Combinadas!$J35</f>
        <v>433.17148404311587</v>
      </c>
      <c r="M120" s="12">
        <f>IF(Table4[[#This Row],[Type]]="waste", Table4[[#This Row],[Q_Tonnes]]/25, Table4[[#This Row],[CO2_Noduplicates]])</f>
        <v>519.82657391469559</v>
      </c>
    </row>
    <row r="121" spans="1:13" x14ac:dyDescent="0.25">
      <c r="A121" s="16" t="s">
        <v>8</v>
      </c>
      <c r="B121" s="16" t="s">
        <v>80</v>
      </c>
      <c r="C121" s="16" t="s">
        <v>128</v>
      </c>
      <c r="D121" s="17">
        <v>45107</v>
      </c>
      <c r="E121" s="17">
        <v>45138</v>
      </c>
      <c r="F121" s="18">
        <v>2598</v>
      </c>
      <c r="G121" s="19" t="s">
        <v>129</v>
      </c>
      <c r="H121" s="18">
        <v>389.69805150974247</v>
      </c>
      <c r="I121" s="12" t="str">
        <f t="shared" si="4"/>
        <v>DCYCLE SAMadridelectricity4510745138</v>
      </c>
      <c r="J121" s="12">
        <f t="shared" si="8"/>
        <v>0</v>
      </c>
      <c r="K121" s="12">
        <f>IF(Combinadas!$C93="electricity", Combinadas!$J93/6.6667,
IF(Combinadas!$C93="water", Combinadas!$J93/3.333,
IF(Combinadas!$C93="heat", Combinadas!$J93/0.8333, IF(Combinadas!$C93="waste",Combinadas!$J93/25,
"NA"))))</f>
        <v>3649.4817525912372</v>
      </c>
      <c r="L121" s="12">
        <f>Combinadas!$J93</f>
        <v>24330</v>
      </c>
      <c r="M121" s="12">
        <f>IF(Table4[[#This Row],[Type]]="waste", Table4[[#This Row],[Q_Tonnes]]/25, Table4[[#This Row],[CO2_Noduplicates]])</f>
        <v>3649.4817525912372</v>
      </c>
    </row>
    <row r="122" spans="1:13" x14ac:dyDescent="0.25">
      <c r="A122" s="12" t="s">
        <v>8</v>
      </c>
      <c r="B122" s="12" t="s">
        <v>80</v>
      </c>
      <c r="C122" s="12" t="s">
        <v>128</v>
      </c>
      <c r="D122" s="13">
        <v>45107</v>
      </c>
      <c r="E122" s="13">
        <v>45138</v>
      </c>
      <c r="F122" s="14">
        <v>64416</v>
      </c>
      <c r="G122" s="15" t="s">
        <v>129</v>
      </c>
      <c r="H122" s="14">
        <v>9662.3516882415588</v>
      </c>
      <c r="I122" s="12" t="str">
        <f t="shared" si="4"/>
        <v>DCYCLE SAMadridelectricity4510745138</v>
      </c>
      <c r="J122" s="12">
        <f t="shared" si="8"/>
        <v>64416</v>
      </c>
      <c r="K122" s="12">
        <f>IF(Combinadas!$C94="electricity", Combinadas!$J94/6.6667,
IF(Combinadas!$C94="water", Combinadas!$J94/3.333,
IF(Combinadas!$C94="heat", Combinadas!$J94/0.8333, IF(Combinadas!$C94="waste",Combinadas!$J94/25,
"NA"))))</f>
        <v>0</v>
      </c>
      <c r="L122" s="12">
        <f>Combinadas!$J94</f>
        <v>0</v>
      </c>
      <c r="M122" s="12">
        <f>IF(Table4[[#This Row],[Type]]="waste", Table4[[#This Row],[Q_Tonnes]]/25, Table4[[#This Row],[CO2_Noduplicates]])</f>
        <v>0</v>
      </c>
    </row>
    <row r="123" spans="1:13" x14ac:dyDescent="0.25">
      <c r="A123" s="16" t="s">
        <v>8</v>
      </c>
      <c r="B123" s="16" t="s">
        <v>160</v>
      </c>
      <c r="C123" s="16" t="s">
        <v>128</v>
      </c>
      <c r="D123" s="17">
        <v>45107</v>
      </c>
      <c r="E123" s="17">
        <v>45138</v>
      </c>
      <c r="F123" s="18">
        <v>2612</v>
      </c>
      <c r="G123" s="19" t="s">
        <v>129</v>
      </c>
      <c r="H123" s="18">
        <v>391.79804100979499</v>
      </c>
      <c r="I123" s="12" t="str">
        <f t="shared" si="4"/>
        <v>DCYCLE SATajonarelectricity4510745138</v>
      </c>
      <c r="J123" s="12">
        <f t="shared" si="8"/>
        <v>2612</v>
      </c>
      <c r="K123" s="12">
        <f>IF(Combinadas!$C149="electricity", Combinadas!$J149/6.6667,
IF(Combinadas!$C149="water", Combinadas!$J149/3.333,
IF(Combinadas!$C149="heat", Combinadas!$J149/0.8333, IF(Combinadas!$C149="waste",Combinadas!$J149/25,
"NA"))))</f>
        <v>97.6</v>
      </c>
      <c r="L123" s="12">
        <f>Combinadas!$J149</f>
        <v>2440</v>
      </c>
      <c r="M123" s="12">
        <f>IF(Table4[[#This Row],[Type]]="waste", Table4[[#This Row],[Q_Tonnes]]/25, Table4[[#This Row],[CO2_Noduplicates]])</f>
        <v>97.6</v>
      </c>
    </row>
    <row r="124" spans="1:13" x14ac:dyDescent="0.25">
      <c r="A124" s="12" t="s">
        <v>8</v>
      </c>
      <c r="B124" s="12" t="s">
        <v>139</v>
      </c>
      <c r="C124" s="12" t="s">
        <v>128</v>
      </c>
      <c r="D124" s="13">
        <v>45108</v>
      </c>
      <c r="E124" s="13">
        <v>45138</v>
      </c>
      <c r="F124" s="14">
        <v>15182.2</v>
      </c>
      <c r="G124" s="20" t="s">
        <v>129</v>
      </c>
      <c r="H124" s="14">
        <v>2277.3186134069333</v>
      </c>
      <c r="I124" s="12" t="str">
        <f t="shared" si="4"/>
        <v>DCYCLE SAMadrid (A2)electricity4510845138</v>
      </c>
      <c r="J124" s="12">
        <f t="shared" si="8"/>
        <v>15182.2</v>
      </c>
      <c r="K124" s="12">
        <f>IF(Combinadas!$C36="electricity", Combinadas!$J36/6.6667,
IF(Combinadas!$C36="water", Combinadas!$J36/3.333,
IF(Combinadas!$C36="heat", Combinadas!$J36/0.8333, IF(Combinadas!$C36="waste",Combinadas!$J36/25,
"NA"))))</f>
        <v>31.203120312031203</v>
      </c>
      <c r="L124" s="12">
        <f>Combinadas!$J36</f>
        <v>104</v>
      </c>
      <c r="M124" s="12">
        <f>IF(Table4[[#This Row],[Type]]="waste", Table4[[#This Row],[Q_Tonnes]]/25, Table4[[#This Row],[CO2_Noduplicates]])</f>
        <v>31.203120312031203</v>
      </c>
    </row>
    <row r="125" spans="1:13" x14ac:dyDescent="0.25">
      <c r="A125" s="16" t="s">
        <v>8</v>
      </c>
      <c r="B125" s="16" t="s">
        <v>139</v>
      </c>
      <c r="C125" s="16" t="s">
        <v>140</v>
      </c>
      <c r="D125" s="17">
        <v>45108</v>
      </c>
      <c r="E125" s="17">
        <v>45138</v>
      </c>
      <c r="F125" s="18">
        <v>0</v>
      </c>
      <c r="G125" s="19" t="s">
        <v>211</v>
      </c>
      <c r="H125" s="18">
        <v>0</v>
      </c>
      <c r="I125" s="12" t="str">
        <f t="shared" si="4"/>
        <v>DCYCLE SAMadrid (A2)heat4510845138</v>
      </c>
      <c r="J125" s="12">
        <f t="shared" si="8"/>
        <v>0</v>
      </c>
      <c r="K125" s="12">
        <f>IF(Combinadas!$C65="electricity", Combinadas!$J65/6.6667,
IF(Combinadas!$C65="water", Combinadas!$J65/3.333,
IF(Combinadas!$C65="heat", Combinadas!$J65/0.8333, IF(Combinadas!$C65="waste",Combinadas!$J65/25,
"NA"))))</f>
        <v>35.103510351035105</v>
      </c>
      <c r="L125" s="12">
        <f>Combinadas!$J65</f>
        <v>117</v>
      </c>
      <c r="M125" s="12">
        <f>IF(Table4[[#This Row],[Type]]="waste", Table4[[#This Row],[Q_Tonnes]]/25, Table4[[#This Row],[CO2_Noduplicates]])</f>
        <v>35.103510351035105</v>
      </c>
    </row>
    <row r="126" spans="1:13" x14ac:dyDescent="0.25">
      <c r="A126" s="16" t="s">
        <v>8</v>
      </c>
      <c r="B126" s="16" t="s">
        <v>80</v>
      </c>
      <c r="C126" s="16" t="s">
        <v>128</v>
      </c>
      <c r="D126" s="17">
        <v>45108</v>
      </c>
      <c r="E126" s="17">
        <v>45138</v>
      </c>
      <c r="F126" s="18">
        <v>18975.43</v>
      </c>
      <c r="G126" s="21" t="s">
        <v>129</v>
      </c>
      <c r="H126" s="18">
        <v>2846.3002684986577</v>
      </c>
      <c r="I126" s="12" t="str">
        <f t="shared" si="4"/>
        <v>DCYCLE SAMadridelectricity4510845138</v>
      </c>
      <c r="J126" s="12">
        <f t="shared" si="8"/>
        <v>18975.43</v>
      </c>
      <c r="K126" s="12">
        <f>IF(Combinadas!$C95="electricity", Combinadas!$J95/6.6667,
IF(Combinadas!$C95="water", Combinadas!$J95/3.333,
IF(Combinadas!$C95="heat", Combinadas!$J95/0.8333, IF(Combinadas!$C95="waste",Combinadas!$J95/25,
"NA"))))</f>
        <v>9296.9535152324243</v>
      </c>
      <c r="L126" s="12">
        <f>Combinadas!$J95</f>
        <v>61980</v>
      </c>
      <c r="M126" s="12">
        <f>IF(Table4[[#This Row],[Type]]="waste", Table4[[#This Row],[Q_Tonnes]]/25, Table4[[#This Row],[CO2_Noduplicates]])</f>
        <v>9296.9535152324243</v>
      </c>
    </row>
    <row r="127" spans="1:13" x14ac:dyDescent="0.25">
      <c r="A127" s="12" t="s">
        <v>8</v>
      </c>
      <c r="B127" s="12" t="s">
        <v>80</v>
      </c>
      <c r="C127" s="16" t="s">
        <v>237</v>
      </c>
      <c r="D127" s="17">
        <v>45108</v>
      </c>
      <c r="E127" s="17">
        <v>45138</v>
      </c>
      <c r="F127" s="14">
        <v>19</v>
      </c>
      <c r="G127" s="19" t="s">
        <v>232</v>
      </c>
      <c r="H127" s="14">
        <v>0.76</v>
      </c>
      <c r="I127" s="12" t="str">
        <f t="shared" si="4"/>
        <v>DCYCLE SAMadridwaste4510845138</v>
      </c>
      <c r="J127" s="12">
        <f>data_waste!L38</f>
        <v>19</v>
      </c>
      <c r="K127" s="12">
        <f>IF(Combinadas!$C473="electricity", Combinadas!$J473/6.6667,
IF(Combinadas!$C473="water", Combinadas!$J473/3.333,
IF(Combinadas!$C473="heat", Combinadas!$J473/0.8333, IF(Combinadas!$C473="waste",Combinadas!$J473/25,
"NA"))))</f>
        <v>0</v>
      </c>
      <c r="L127" s="12">
        <f>data_waste!M38</f>
        <v>19000</v>
      </c>
      <c r="M127" s="12">
        <f>IF(Table4[[#This Row],[Type]]="waste", Table4[[#This Row],[Q_Tonnes]]/25, Table4[[#This Row],[CO2_Noduplicates]])</f>
        <v>760</v>
      </c>
    </row>
    <row r="128" spans="1:13" x14ac:dyDescent="0.25">
      <c r="A128" s="12" t="s">
        <v>8</v>
      </c>
      <c r="B128" s="12" t="s">
        <v>80</v>
      </c>
      <c r="C128" s="16" t="s">
        <v>237</v>
      </c>
      <c r="D128" s="13">
        <v>45108</v>
      </c>
      <c r="E128" s="13">
        <v>45138</v>
      </c>
      <c r="F128" s="14">
        <v>65</v>
      </c>
      <c r="G128" s="15" t="s">
        <v>232</v>
      </c>
      <c r="H128" s="14">
        <v>2.6</v>
      </c>
      <c r="I128" s="12" t="str">
        <f t="shared" si="4"/>
        <v>DCYCLE SAMadridwaste4510845138</v>
      </c>
      <c r="J128" s="12">
        <f>data_waste!L41</f>
        <v>65</v>
      </c>
      <c r="K128" s="12">
        <f>IF(Combinadas!$C476="electricity", Combinadas!$J476/6.6667,
IF(Combinadas!$C476="water", Combinadas!$J476/3.333,
IF(Combinadas!$C476="heat", Combinadas!$J476/0.8333, IF(Combinadas!$C476="waste",Combinadas!$J476/25,
"NA"))))</f>
        <v>423.15838420807899</v>
      </c>
      <c r="L128" s="12">
        <f>data_waste!M41</f>
        <v>65000</v>
      </c>
      <c r="M128" s="12">
        <f>IF(Table4[[#This Row],[Type]]="waste", Table4[[#This Row],[Q_Tonnes]]/25, Table4[[#This Row],[CO2_Noduplicates]])</f>
        <v>2600</v>
      </c>
    </row>
    <row r="129" spans="1:13" x14ac:dyDescent="0.25">
      <c r="A129" s="12" t="s">
        <v>8</v>
      </c>
      <c r="B129" s="12" t="s">
        <v>80</v>
      </c>
      <c r="C129" s="16" t="s">
        <v>237</v>
      </c>
      <c r="D129" s="13">
        <v>45108</v>
      </c>
      <c r="E129" s="13">
        <v>45138</v>
      </c>
      <c r="F129" s="14">
        <v>140</v>
      </c>
      <c r="G129" s="15" t="s">
        <v>232</v>
      </c>
      <c r="H129" s="14">
        <v>5.6</v>
      </c>
      <c r="I129" s="12" t="str">
        <f t="shared" si="4"/>
        <v>DCYCLE SAMadridwaste4510845138</v>
      </c>
      <c r="J129" s="12">
        <f>data_waste!L43</f>
        <v>140</v>
      </c>
      <c r="K129" s="12">
        <f>IF(Combinadas!$C478="electricity", Combinadas!$J478/6.6667,
IF(Combinadas!$C478="water", Combinadas!$J478/3.333,
IF(Combinadas!$C478="heat", Combinadas!$J478/0.8333, IF(Combinadas!$C478="waste",Combinadas!$J478/25,
"NA"))))</f>
        <v>120.8</v>
      </c>
      <c r="L129" s="12">
        <f>data_waste!M43</f>
        <v>140000</v>
      </c>
      <c r="M129" s="12">
        <f>IF(Table4[[#This Row],[Type]]="waste", Table4[[#This Row],[Q_Tonnes]]/25, Table4[[#This Row],[CO2_Noduplicates]])</f>
        <v>5600</v>
      </c>
    </row>
    <row r="130" spans="1:13" x14ac:dyDescent="0.25">
      <c r="A130" s="12" t="s">
        <v>8</v>
      </c>
      <c r="B130" s="12" t="s">
        <v>80</v>
      </c>
      <c r="C130" s="16" t="s">
        <v>237</v>
      </c>
      <c r="D130" s="17">
        <v>45108</v>
      </c>
      <c r="E130" s="17">
        <v>45138</v>
      </c>
      <c r="F130" s="14">
        <v>150</v>
      </c>
      <c r="G130" s="19" t="s">
        <v>232</v>
      </c>
      <c r="H130" s="14">
        <v>6</v>
      </c>
      <c r="I130" s="12" t="str">
        <f t="shared" ref="I130:I193" si="9">A130&amp;B130&amp;C130&amp;D130&amp;E130</f>
        <v>DCYCLE SAMadridwaste4510845138</v>
      </c>
      <c r="J130" s="12">
        <f>data_waste!L46</f>
        <v>150</v>
      </c>
      <c r="K130" s="12">
        <f>IF(Combinadas!$C481="electricity", Combinadas!$J481/6.6667,
IF(Combinadas!$C481="water", Combinadas!$J481/3.333,
IF(Combinadas!$C481="heat", Combinadas!$J481/0.8333, IF(Combinadas!$C481="waste",Combinadas!$J481/25,
"NA"))))</f>
        <v>4995.725021374893</v>
      </c>
      <c r="L130" s="12">
        <f>data_waste!M46</f>
        <v>150000</v>
      </c>
      <c r="M130" s="12">
        <f>IF(Table4[[#This Row],[Type]]="waste", Table4[[#This Row],[Q_Tonnes]]/25, Table4[[#This Row],[CO2_Noduplicates]])</f>
        <v>6000</v>
      </c>
    </row>
    <row r="131" spans="1:13" x14ac:dyDescent="0.25">
      <c r="A131" s="12" t="s">
        <v>8</v>
      </c>
      <c r="B131" s="12" t="s">
        <v>80</v>
      </c>
      <c r="C131" s="16" t="s">
        <v>237</v>
      </c>
      <c r="D131" s="13">
        <v>45108</v>
      </c>
      <c r="E131" s="13">
        <v>45138</v>
      </c>
      <c r="F131" s="14">
        <v>165</v>
      </c>
      <c r="G131" s="15" t="s">
        <v>232</v>
      </c>
      <c r="H131" s="14">
        <v>6.6</v>
      </c>
      <c r="I131" s="12" t="str">
        <f t="shared" si="9"/>
        <v>DCYCLE SAMadridwaste4510845138</v>
      </c>
      <c r="J131" s="12">
        <f>data_waste!L47</f>
        <v>165</v>
      </c>
      <c r="K131" s="12">
        <f>IF(Combinadas!$C482="electricity", Combinadas!$J482/6.6667,
IF(Combinadas!$C482="water", Combinadas!$J482/3.333,
IF(Combinadas!$C482="heat", Combinadas!$J482/0.8333, IF(Combinadas!$C482="waste",Combinadas!$J482/25,
"NA"))))</f>
        <v>0</v>
      </c>
      <c r="L131" s="12">
        <f>data_waste!M47</f>
        <v>165000</v>
      </c>
      <c r="M131" s="12">
        <f>IF(Table4[[#This Row],[Type]]="waste", Table4[[#This Row],[Q_Tonnes]]/25, Table4[[#This Row],[CO2_Noduplicates]])</f>
        <v>6600</v>
      </c>
    </row>
    <row r="132" spans="1:13" x14ac:dyDescent="0.25">
      <c r="A132" s="12" t="s">
        <v>8</v>
      </c>
      <c r="B132" s="12" t="s">
        <v>80</v>
      </c>
      <c r="C132" s="16" t="s">
        <v>237</v>
      </c>
      <c r="D132" s="13">
        <v>45108</v>
      </c>
      <c r="E132" s="13">
        <v>45138</v>
      </c>
      <c r="F132" s="14">
        <v>200</v>
      </c>
      <c r="G132" s="15" t="s">
        <v>232</v>
      </c>
      <c r="H132" s="14">
        <v>8</v>
      </c>
      <c r="I132" s="12" t="str">
        <f t="shared" si="9"/>
        <v>DCYCLE SAMadridwaste4510845138</v>
      </c>
      <c r="J132" s="12">
        <f>data_waste!L49</f>
        <v>200</v>
      </c>
      <c r="K132" s="12">
        <f>IF(Combinadas!$C484="electricity", Combinadas!$J484/6.6667,
IF(Combinadas!$C484="water", Combinadas!$J484/3.333,
IF(Combinadas!$C484="heat", Combinadas!$J484/0.8333, IF(Combinadas!$C484="waste",Combinadas!$J484/25,
"NA"))))</f>
        <v>0</v>
      </c>
      <c r="L132" s="12">
        <f>data_waste!M49</f>
        <v>200000</v>
      </c>
      <c r="M132" s="12">
        <f>IF(Table4[[#This Row],[Type]]="waste", Table4[[#This Row],[Q_Tonnes]]/25, Table4[[#This Row],[CO2_Noduplicates]])</f>
        <v>8000</v>
      </c>
    </row>
    <row r="133" spans="1:13" x14ac:dyDescent="0.25">
      <c r="A133" s="12" t="s">
        <v>8</v>
      </c>
      <c r="B133" s="12" t="s">
        <v>80</v>
      </c>
      <c r="C133" s="16" t="s">
        <v>237</v>
      </c>
      <c r="D133" s="13">
        <v>45108</v>
      </c>
      <c r="E133" s="13">
        <v>45138</v>
      </c>
      <c r="F133" s="14">
        <v>560</v>
      </c>
      <c r="G133" s="15" t="s">
        <v>232</v>
      </c>
      <c r="H133" s="14">
        <v>22.4</v>
      </c>
      <c r="I133" s="12" t="str">
        <f t="shared" si="9"/>
        <v>DCYCLE SAMadridwaste4510845138</v>
      </c>
      <c r="J133" s="12">
        <f>data_waste!L51</f>
        <v>560</v>
      </c>
      <c r="K133" s="12">
        <f>IF(Combinadas!$C486="electricity", Combinadas!$J486/6.6667,
IF(Combinadas!$C486="water", Combinadas!$J486/3.333,
IF(Combinadas!$C486="heat", Combinadas!$J486/0.8333, IF(Combinadas!$C486="waste",Combinadas!$J486/25,
"NA"))))</f>
        <v>422.91688541557295</v>
      </c>
      <c r="L133" s="12">
        <f>data_waste!M51</f>
        <v>560000</v>
      </c>
      <c r="M133" s="12">
        <f>IF(Table4[[#This Row],[Type]]="waste", Table4[[#This Row],[Q_Tonnes]]/25, Table4[[#This Row],[CO2_Noduplicates]])</f>
        <v>22400</v>
      </c>
    </row>
    <row r="134" spans="1:13" x14ac:dyDescent="0.25">
      <c r="A134" s="12" t="s">
        <v>8</v>
      </c>
      <c r="B134" s="12" t="s">
        <v>80</v>
      </c>
      <c r="C134" s="16" t="s">
        <v>237</v>
      </c>
      <c r="D134" s="13">
        <v>45108</v>
      </c>
      <c r="E134" s="13">
        <v>45138</v>
      </c>
      <c r="F134" s="14">
        <v>1840</v>
      </c>
      <c r="G134" s="15" t="s">
        <v>232</v>
      </c>
      <c r="H134" s="14">
        <v>73.599999999999994</v>
      </c>
      <c r="I134" s="12" t="str">
        <f t="shared" si="9"/>
        <v>DCYCLE SAMadridwaste4510845138</v>
      </c>
      <c r="J134" s="12">
        <f>data_waste!L57</f>
        <v>1840</v>
      </c>
      <c r="K134" s="12">
        <f>IF(Combinadas!$C492="electricity", Combinadas!$J492/6.6667,
IF(Combinadas!$C492="water", Combinadas!$J492/3.333,
IF(Combinadas!$C492="heat", Combinadas!$J492/0.8333, IF(Combinadas!$C492="waste",Combinadas!$J492/25,
"NA"))))</f>
        <v>3.3003300330033003</v>
      </c>
      <c r="L134" s="12">
        <f>data_waste!M57</f>
        <v>1840000</v>
      </c>
      <c r="M134" s="12">
        <f>IF(Table4[[#This Row],[Type]]="waste", Table4[[#This Row],[Q_Tonnes]]/25, Table4[[#This Row],[CO2_Noduplicates]])</f>
        <v>73600</v>
      </c>
    </row>
    <row r="135" spans="1:13" x14ac:dyDescent="0.25">
      <c r="A135" s="12" t="s">
        <v>8</v>
      </c>
      <c r="B135" s="12" t="s">
        <v>80</v>
      </c>
      <c r="C135" s="16" t="s">
        <v>237</v>
      </c>
      <c r="D135" s="17">
        <v>45108</v>
      </c>
      <c r="E135" s="17">
        <v>45138</v>
      </c>
      <c r="F135" s="14">
        <v>1950</v>
      </c>
      <c r="G135" s="19" t="s">
        <v>232</v>
      </c>
      <c r="H135" s="14">
        <v>78</v>
      </c>
      <c r="I135" s="12" t="str">
        <f t="shared" si="9"/>
        <v>DCYCLE SAMadridwaste4510845138</v>
      </c>
      <c r="J135" s="12">
        <f>data_waste!L60</f>
        <v>1950</v>
      </c>
      <c r="K135" s="12">
        <f>IF(Combinadas!$C495="electricity", Combinadas!$J495/6.6667,
IF(Combinadas!$C495="water", Combinadas!$J495/3.333,
IF(Combinadas!$C495="heat", Combinadas!$J495/0.8333, IF(Combinadas!$C495="waste",Combinadas!$J495/25,
"NA"))))</f>
        <v>5599.1720041399794</v>
      </c>
      <c r="L135" s="12">
        <f>data_waste!M60</f>
        <v>1950000</v>
      </c>
      <c r="M135" s="12">
        <f>IF(Table4[[#This Row],[Type]]="waste", Table4[[#This Row],[Q_Tonnes]]/25, Table4[[#This Row],[CO2_Noduplicates]])</f>
        <v>78000</v>
      </c>
    </row>
    <row r="136" spans="1:13" x14ac:dyDescent="0.25">
      <c r="A136" s="12" t="s">
        <v>8</v>
      </c>
      <c r="B136" s="12" t="s">
        <v>80</v>
      </c>
      <c r="C136" s="16" t="s">
        <v>237</v>
      </c>
      <c r="D136" s="17">
        <v>45108</v>
      </c>
      <c r="E136" s="17">
        <v>45138</v>
      </c>
      <c r="F136" s="14">
        <v>5340</v>
      </c>
      <c r="G136" s="19" t="s">
        <v>232</v>
      </c>
      <c r="H136" s="14">
        <v>213.6</v>
      </c>
      <c r="I136" s="12" t="str">
        <f t="shared" si="9"/>
        <v>DCYCLE SAMadridwaste4510845138</v>
      </c>
      <c r="J136" s="12">
        <f>data_waste!L84</f>
        <v>5340</v>
      </c>
      <c r="K136" s="12">
        <f>IF(Combinadas!$C519="electricity", Combinadas!$J519/6.6667,
IF(Combinadas!$C519="water", Combinadas!$J519/3.333,
IF(Combinadas!$C519="heat", Combinadas!$J519/0.8333, IF(Combinadas!$C519="waste",Combinadas!$J519/25,
"NA"))))</f>
        <v>8</v>
      </c>
      <c r="L136" s="12">
        <f>data_waste!M84</f>
        <v>5340000</v>
      </c>
      <c r="M136" s="12">
        <f>IF(Table4[[#This Row],[Type]]="waste", Table4[[#This Row],[Q_Tonnes]]/25, Table4[[#This Row],[CO2_Noduplicates]])</f>
        <v>213600</v>
      </c>
    </row>
    <row r="137" spans="1:13" x14ac:dyDescent="0.25">
      <c r="A137" s="12" t="s">
        <v>8</v>
      </c>
      <c r="B137" s="12" t="s">
        <v>139</v>
      </c>
      <c r="C137" s="12" t="s">
        <v>130</v>
      </c>
      <c r="D137" s="13">
        <v>45134</v>
      </c>
      <c r="E137" s="13">
        <v>45226</v>
      </c>
      <c r="F137" s="14">
        <v>25</v>
      </c>
      <c r="G137" s="15" t="s">
        <v>133</v>
      </c>
      <c r="H137" s="14">
        <v>7.5007500750075007</v>
      </c>
      <c r="I137" s="12" t="str">
        <f t="shared" si="9"/>
        <v>DCYCLE SAMadrid (A2)water4513445226</v>
      </c>
      <c r="J137" s="12">
        <f t="shared" ref="J137:J148" si="10">IF(F137=_xlfn.MAXIFS(F:F, I:I, I137), F137, 0)</f>
        <v>25</v>
      </c>
      <c r="K137" s="12">
        <f>IF(Combinadas!$C78="electricity", Combinadas!$J78/6.6667,
IF(Combinadas!$C78="water", Combinadas!$J78/3.333,
IF(Combinadas!$C78="heat", Combinadas!$J78/0.8333, IF(Combinadas!$C78="waste",Combinadas!$J78/25,
"NA"))))</f>
        <v>78.400000000000006</v>
      </c>
      <c r="L137" s="12">
        <f>Combinadas!$J78</f>
        <v>1960</v>
      </c>
      <c r="M137" s="12">
        <f>IF(Table4[[#This Row],[Type]]="waste", Table4[[#This Row],[Q_Tonnes]]/25, Table4[[#This Row],[CO2_Noduplicates]])</f>
        <v>78.400000000000006</v>
      </c>
    </row>
    <row r="138" spans="1:13" x14ac:dyDescent="0.25">
      <c r="A138" s="16" t="s">
        <v>8</v>
      </c>
      <c r="B138" s="16" t="s">
        <v>80</v>
      </c>
      <c r="C138" s="16" t="s">
        <v>130</v>
      </c>
      <c r="D138" s="17">
        <v>45134</v>
      </c>
      <c r="E138" s="17">
        <v>45226</v>
      </c>
      <c r="F138" s="18">
        <v>17</v>
      </c>
      <c r="G138" s="19" t="s">
        <v>133</v>
      </c>
      <c r="H138" s="18">
        <v>5.1005100510051005</v>
      </c>
      <c r="I138" s="12" t="str">
        <f t="shared" si="9"/>
        <v>DCYCLE SAMadridwater4513445226</v>
      </c>
      <c r="J138" s="12">
        <f t="shared" si="10"/>
        <v>0</v>
      </c>
      <c r="K138" s="12">
        <f>IF(Combinadas!$C139="electricity", Combinadas!$J139/6.6667,
IF(Combinadas!$C139="water", Combinadas!$J139/3.333,
IF(Combinadas!$C139="heat", Combinadas!$J139/0.8333, IF(Combinadas!$C139="waste",Combinadas!$J139/25,
"NA"))))</f>
        <v>0</v>
      </c>
      <c r="L138" s="12">
        <f>Combinadas!$J139</f>
        <v>0</v>
      </c>
      <c r="M138" s="12">
        <f>IF(Table4[[#This Row],[Type]]="waste", Table4[[#This Row],[Q_Tonnes]]/25, Table4[[#This Row],[CO2_Noduplicates]])</f>
        <v>0</v>
      </c>
    </row>
    <row r="139" spans="1:13" x14ac:dyDescent="0.25">
      <c r="A139" s="12" t="s">
        <v>8</v>
      </c>
      <c r="B139" s="12" t="s">
        <v>80</v>
      </c>
      <c r="C139" s="12" t="s">
        <v>130</v>
      </c>
      <c r="D139" s="13">
        <v>45134</v>
      </c>
      <c r="E139" s="13">
        <v>45226</v>
      </c>
      <c r="F139" s="14">
        <v>57</v>
      </c>
      <c r="G139" s="15" t="s">
        <v>133</v>
      </c>
      <c r="H139" s="14">
        <v>17.1017101710171</v>
      </c>
      <c r="I139" s="12" t="str">
        <f t="shared" si="9"/>
        <v>DCYCLE SAMadridwater4513445226</v>
      </c>
      <c r="J139" s="12">
        <f t="shared" si="10"/>
        <v>0</v>
      </c>
      <c r="K139" s="12">
        <f>IF(Combinadas!$C140="electricity", Combinadas!$J140/6.6667,
IF(Combinadas!$C140="water", Combinadas!$J140/3.333,
IF(Combinadas!$C140="heat", Combinadas!$J140/0.8333, IF(Combinadas!$C140="waste",Combinadas!$J140/25,
"NA"))))</f>
        <v>79.507950795079509</v>
      </c>
      <c r="L139" s="12">
        <f>Combinadas!$J140</f>
        <v>265</v>
      </c>
      <c r="M139" s="12">
        <f>IF(Table4[[#This Row],[Type]]="waste", Table4[[#This Row],[Q_Tonnes]]/25, Table4[[#This Row],[CO2_Noduplicates]])</f>
        <v>79.507950795079509</v>
      </c>
    </row>
    <row r="140" spans="1:13" x14ac:dyDescent="0.25">
      <c r="A140" s="16" t="s">
        <v>8</v>
      </c>
      <c r="B140" s="16" t="s">
        <v>80</v>
      </c>
      <c r="C140" s="16" t="s">
        <v>130</v>
      </c>
      <c r="D140" s="17">
        <v>45134</v>
      </c>
      <c r="E140" s="17">
        <v>45226</v>
      </c>
      <c r="F140" s="18">
        <v>265</v>
      </c>
      <c r="G140" s="19" t="s">
        <v>133</v>
      </c>
      <c r="H140" s="18">
        <v>79.507950795079509</v>
      </c>
      <c r="I140" s="12" t="str">
        <f t="shared" si="9"/>
        <v>DCYCLE SAMadridwater4513445226</v>
      </c>
      <c r="J140" s="12">
        <f t="shared" si="10"/>
        <v>265</v>
      </c>
      <c r="K140" s="12">
        <f>IF(Combinadas!$C141="electricity", Combinadas!$J141/6.6667,
IF(Combinadas!$C141="water", Combinadas!$J141/3.333,
IF(Combinadas!$C141="heat", Combinadas!$J141/0.8333, IF(Combinadas!$C141="waste",Combinadas!$J141/25,
"NA"))))</f>
        <v>3127.1843640781799</v>
      </c>
      <c r="L140" s="12">
        <f>Combinadas!$J141</f>
        <v>20848</v>
      </c>
      <c r="M140" s="12">
        <f>IF(Table4[[#This Row],[Type]]="waste", Table4[[#This Row],[Q_Tonnes]]/25, Table4[[#This Row],[CO2_Noduplicates]])</f>
        <v>3127.1843640781799</v>
      </c>
    </row>
    <row r="141" spans="1:13" x14ac:dyDescent="0.25">
      <c r="A141" s="16" t="s">
        <v>8</v>
      </c>
      <c r="B141" s="16" t="s">
        <v>139</v>
      </c>
      <c r="C141" s="16" t="s">
        <v>128</v>
      </c>
      <c r="D141" s="17">
        <v>45138</v>
      </c>
      <c r="E141" s="17">
        <v>45169</v>
      </c>
      <c r="F141" s="18">
        <v>20848</v>
      </c>
      <c r="G141" s="19" t="s">
        <v>129</v>
      </c>
      <c r="H141" s="18">
        <v>3127.1843640781799</v>
      </c>
      <c r="I141" s="12" t="str">
        <f t="shared" si="9"/>
        <v>DCYCLE SAMadrid (A2)electricity4513845169</v>
      </c>
      <c r="J141" s="12">
        <f t="shared" si="10"/>
        <v>20848</v>
      </c>
      <c r="K141" s="12">
        <f>IF(Combinadas!$C37="electricity", Combinadas!$J37/6.6667,
IF(Combinadas!$C37="water", Combinadas!$J37/3.333,
IF(Combinadas!$C37="heat", Combinadas!$J37/0.8333, IF(Combinadas!$C37="waste",Combinadas!$J37/25,
"NA"))))</f>
        <v>0</v>
      </c>
      <c r="L141" s="12">
        <f>Combinadas!$J37</f>
        <v>0</v>
      </c>
      <c r="M141" s="12">
        <f>IF(Table4[[#This Row],[Type]]="waste", Table4[[#This Row],[Q_Tonnes]]/25, Table4[[#This Row],[CO2_Noduplicates]])</f>
        <v>0</v>
      </c>
    </row>
    <row r="142" spans="1:13" x14ac:dyDescent="0.25">
      <c r="A142" s="12" t="s">
        <v>8</v>
      </c>
      <c r="B142" s="12" t="s">
        <v>80</v>
      </c>
      <c r="C142" s="12" t="s">
        <v>128</v>
      </c>
      <c r="D142" s="13">
        <v>45138</v>
      </c>
      <c r="E142" s="13">
        <v>45168</v>
      </c>
      <c r="F142" s="14">
        <v>45398</v>
      </c>
      <c r="G142" s="15" t="s">
        <v>129</v>
      </c>
      <c r="H142" s="14">
        <v>6809.6659516702421</v>
      </c>
      <c r="I142" s="12" t="str">
        <f t="shared" si="9"/>
        <v>DCYCLE SAMadridelectricity4513845168</v>
      </c>
      <c r="J142" s="12">
        <f t="shared" si="10"/>
        <v>45398</v>
      </c>
      <c r="K142" s="12">
        <f>IF(Combinadas!$C96="electricity", Combinadas!$J96/6.6667,
IF(Combinadas!$C96="water", Combinadas!$J96/3.333,
IF(Combinadas!$C96="heat", Combinadas!$J96/0.8333, IF(Combinadas!$C96="waste",Combinadas!$J96/25,
"NA"))))</f>
        <v>440.09779951100245</v>
      </c>
      <c r="L142" s="12">
        <f>Combinadas!$J96</f>
        <v>2934</v>
      </c>
      <c r="M142" s="12">
        <f>IF(Table4[[#This Row],[Type]]="waste", Table4[[#This Row],[Q_Tonnes]]/25, Table4[[#This Row],[CO2_Noduplicates]])</f>
        <v>440.09779951100245</v>
      </c>
    </row>
    <row r="143" spans="1:13" x14ac:dyDescent="0.25">
      <c r="A143" s="16" t="s">
        <v>8</v>
      </c>
      <c r="B143" s="16" t="s">
        <v>80</v>
      </c>
      <c r="C143" s="16" t="s">
        <v>128</v>
      </c>
      <c r="D143" s="17">
        <v>45138</v>
      </c>
      <c r="E143" s="17">
        <v>45169</v>
      </c>
      <c r="F143" s="18">
        <v>1770</v>
      </c>
      <c r="G143" s="19" t="s">
        <v>129</v>
      </c>
      <c r="H143" s="18">
        <v>265.49867250663749</v>
      </c>
      <c r="I143" s="12" t="str">
        <f t="shared" si="9"/>
        <v>DCYCLE SAMadridelectricity4513845169</v>
      </c>
      <c r="J143" s="12">
        <f t="shared" si="10"/>
        <v>1770</v>
      </c>
      <c r="K143" s="12">
        <f>IF(Combinadas!$C97="electricity", Combinadas!$J97/6.6667,
IF(Combinadas!$C97="water", Combinadas!$J97/3.333,
IF(Combinadas!$C97="heat", Combinadas!$J97/0.8333, IF(Combinadas!$C97="waste",Combinadas!$J97/25,
"NA"))))</f>
        <v>2156.8992155039227</v>
      </c>
      <c r="L143" s="12">
        <f>Combinadas!$J97</f>
        <v>14379.4</v>
      </c>
      <c r="M143" s="12">
        <f>IF(Table4[[#This Row],[Type]]="waste", Table4[[#This Row],[Q_Tonnes]]/25, Table4[[#This Row],[CO2_Noduplicates]])</f>
        <v>2156.8992155039227</v>
      </c>
    </row>
    <row r="144" spans="1:13" x14ac:dyDescent="0.25">
      <c r="A144" s="12" t="s">
        <v>8</v>
      </c>
      <c r="B144" s="12" t="s">
        <v>127</v>
      </c>
      <c r="C144" s="12" t="s">
        <v>128</v>
      </c>
      <c r="D144" s="13">
        <v>45139</v>
      </c>
      <c r="E144" s="13">
        <v>45169</v>
      </c>
      <c r="F144" s="14">
        <v>11600</v>
      </c>
      <c r="G144" s="15" t="s">
        <v>129</v>
      </c>
      <c r="H144" s="14">
        <v>1739.9913000434999</v>
      </c>
      <c r="I144" s="12" t="str">
        <f t="shared" si="9"/>
        <v>DCYCLE SABCNelectricity4513945169</v>
      </c>
      <c r="J144" s="12">
        <f t="shared" si="10"/>
        <v>11600</v>
      </c>
      <c r="K144" s="12">
        <f>IF(Combinadas!$C10="electricity", Combinadas!$J10/6.6667,
IF(Combinadas!$C10="water", Combinadas!$J10/3.333,
IF(Combinadas!$C10="heat", Combinadas!$J10/0.8333, IF(Combinadas!$C10="waste",Combinadas!$J10/25,
"NA"))))</f>
        <v>17.944794479447946</v>
      </c>
      <c r="L144" s="12">
        <f>Combinadas!$J10</f>
        <v>59.81</v>
      </c>
      <c r="M144" s="12">
        <f>IF(Table4[[#This Row],[Type]]="waste", Table4[[#This Row],[Q_Tonnes]]/25, Table4[[#This Row],[CO2_Noduplicates]])</f>
        <v>17.944794479447946</v>
      </c>
    </row>
    <row r="145" spans="1:13" x14ac:dyDescent="0.25">
      <c r="A145" s="12" t="s">
        <v>8</v>
      </c>
      <c r="B145" s="12" t="s">
        <v>139</v>
      </c>
      <c r="C145" s="12" t="s">
        <v>128</v>
      </c>
      <c r="D145" s="13">
        <v>45139</v>
      </c>
      <c r="E145" s="13">
        <v>45169</v>
      </c>
      <c r="F145" s="14">
        <v>8937.1</v>
      </c>
      <c r="G145" s="20" t="s">
        <v>129</v>
      </c>
      <c r="H145" s="14">
        <v>1340.558297208514</v>
      </c>
      <c r="I145" s="12" t="str">
        <f t="shared" si="9"/>
        <v>DCYCLE SAMadrid (A2)electricity4513945169</v>
      </c>
      <c r="J145" s="12">
        <f t="shared" si="10"/>
        <v>8937.1</v>
      </c>
      <c r="K145" s="12">
        <f>IF(Combinadas!$C38="electricity", Combinadas!$J38/6.6667,
IF(Combinadas!$C38="water", Combinadas!$J38/3.333,
IF(Combinadas!$C38="heat", Combinadas!$J38/0.8333, IF(Combinadas!$C38="waste",Combinadas!$J38/25,
"NA"))))</f>
        <v>0</v>
      </c>
      <c r="L145" s="12">
        <f>Combinadas!$J38</f>
        <v>0</v>
      </c>
      <c r="M145" s="12">
        <f>IF(Table4[[#This Row],[Type]]="waste", Table4[[#This Row],[Q_Tonnes]]/25, Table4[[#This Row],[CO2_Noduplicates]])</f>
        <v>0</v>
      </c>
    </row>
    <row r="146" spans="1:13" x14ac:dyDescent="0.25">
      <c r="A146" s="12" t="s">
        <v>8</v>
      </c>
      <c r="B146" s="12" t="s">
        <v>139</v>
      </c>
      <c r="C146" s="12" t="s">
        <v>140</v>
      </c>
      <c r="D146" s="13">
        <v>45139</v>
      </c>
      <c r="E146" s="13">
        <v>45169</v>
      </c>
      <c r="F146" s="14">
        <v>0</v>
      </c>
      <c r="G146" s="15" t="s">
        <v>211</v>
      </c>
      <c r="H146" s="14">
        <v>0</v>
      </c>
      <c r="I146" s="12" t="str">
        <f t="shared" si="9"/>
        <v>DCYCLE SAMadrid (A2)heat4513945169</v>
      </c>
      <c r="J146" s="12">
        <f t="shared" si="10"/>
        <v>0</v>
      </c>
      <c r="K146" s="12">
        <f>IF(Combinadas!$C66="electricity", Combinadas!$J66/6.6667,
IF(Combinadas!$C66="water", Combinadas!$J66/3.333,
IF(Combinadas!$C66="heat", Combinadas!$J66/0.8333, IF(Combinadas!$C66="waste",Combinadas!$J66/25,
"NA"))))</f>
        <v>0</v>
      </c>
      <c r="L146" s="12">
        <f>Combinadas!$J66</f>
        <v>0</v>
      </c>
      <c r="M146" s="12">
        <f>IF(Table4[[#This Row],[Type]]="waste", Table4[[#This Row],[Q_Tonnes]]/25, Table4[[#This Row],[CO2_Noduplicates]])</f>
        <v>0</v>
      </c>
    </row>
    <row r="147" spans="1:13" x14ac:dyDescent="0.25">
      <c r="A147" s="12" t="s">
        <v>8</v>
      </c>
      <c r="B147" s="12" t="s">
        <v>80</v>
      </c>
      <c r="C147" s="12" t="s">
        <v>128</v>
      </c>
      <c r="D147" s="13">
        <v>45139</v>
      </c>
      <c r="E147" s="13">
        <v>45169</v>
      </c>
      <c r="F147" s="14">
        <v>14329.2</v>
      </c>
      <c r="G147" s="20" t="s">
        <v>129</v>
      </c>
      <c r="H147" s="14">
        <v>2149.3692531537345</v>
      </c>
      <c r="I147" s="12" t="str">
        <f t="shared" si="9"/>
        <v>DCYCLE SAMadridelectricity4513945169</v>
      </c>
      <c r="J147" s="12">
        <f t="shared" si="10"/>
        <v>14329.2</v>
      </c>
      <c r="K147" s="12">
        <f>IF(Combinadas!$C98="electricity", Combinadas!$J98/6.6667,
IF(Combinadas!$C98="water", Combinadas!$J98/3.333,
IF(Combinadas!$C98="heat", Combinadas!$J98/0.8333, IF(Combinadas!$C98="waste",Combinadas!$J98/25,
"NA"))))</f>
        <v>0</v>
      </c>
      <c r="L147" s="12">
        <f>Combinadas!$J98</f>
        <v>0</v>
      </c>
      <c r="M147" s="12">
        <f>IF(Table4[[#This Row],[Type]]="waste", Table4[[#This Row],[Q_Tonnes]]/25, Table4[[#This Row],[CO2_Noduplicates]])</f>
        <v>0</v>
      </c>
    </row>
    <row r="148" spans="1:13" x14ac:dyDescent="0.25">
      <c r="A148" s="12" t="s">
        <v>8</v>
      </c>
      <c r="B148" s="12" t="s">
        <v>160</v>
      </c>
      <c r="C148" s="12" t="s">
        <v>128</v>
      </c>
      <c r="D148" s="13">
        <v>45139</v>
      </c>
      <c r="E148" s="13">
        <v>45169</v>
      </c>
      <c r="F148" s="14">
        <v>2410.46</v>
      </c>
      <c r="G148" s="20" t="s">
        <v>129</v>
      </c>
      <c r="H148" s="14">
        <v>361.56719216403923</v>
      </c>
      <c r="I148" s="12" t="str">
        <f t="shared" si="9"/>
        <v>DCYCLE SATajonarelectricity4513945169</v>
      </c>
      <c r="J148" s="12">
        <f t="shared" si="10"/>
        <v>2410.46</v>
      </c>
      <c r="K148" s="12">
        <f>IF(Combinadas!$C150="electricity", Combinadas!$J150/6.6667,
IF(Combinadas!$C150="water", Combinadas!$J150/3.333,
IF(Combinadas!$C150="heat", Combinadas!$J150/0.8333, IF(Combinadas!$C150="waste",Combinadas!$J150/25,
"NA"))))</f>
        <v>179.2</v>
      </c>
      <c r="L148" s="12">
        <f>Combinadas!$J150</f>
        <v>4480</v>
      </c>
      <c r="M148" s="12">
        <f>IF(Table4[[#This Row],[Type]]="waste", Table4[[#This Row],[Q_Tonnes]]/25, Table4[[#This Row],[CO2_Noduplicates]])</f>
        <v>179.2</v>
      </c>
    </row>
    <row r="149" spans="1:13" x14ac:dyDescent="0.25">
      <c r="A149" s="12" t="s">
        <v>8</v>
      </c>
      <c r="B149" s="12" t="s">
        <v>80</v>
      </c>
      <c r="C149" s="16" t="s">
        <v>237</v>
      </c>
      <c r="D149" s="17">
        <v>45139</v>
      </c>
      <c r="E149" s="17">
        <v>45169</v>
      </c>
      <c r="F149" s="14">
        <v>2440</v>
      </c>
      <c r="G149" s="19" t="s">
        <v>232</v>
      </c>
      <c r="H149" s="14">
        <v>97.6</v>
      </c>
      <c r="I149" s="12" t="str">
        <f t="shared" si="9"/>
        <v>DCYCLE SAMadridwaste4513945169</v>
      </c>
      <c r="J149" s="12">
        <f>data_waste!L72</f>
        <v>2440</v>
      </c>
      <c r="K149" s="12">
        <f>IF(Combinadas!$C507="electricity", Combinadas!$J507/6.6667,
IF(Combinadas!$C507="water", Combinadas!$J507/3.333,
IF(Combinadas!$C507="heat", Combinadas!$J507/0.8333, IF(Combinadas!$C507="waste",Combinadas!$J507/25,
"NA"))))</f>
        <v>0</v>
      </c>
      <c r="L149" s="12">
        <f>data_waste!M72</f>
        <v>2440000</v>
      </c>
      <c r="M149" s="12">
        <f>IF(Table4[[#This Row],[Type]]="waste", Table4[[#This Row],[Q_Tonnes]]/25, Table4[[#This Row],[CO2_Noduplicates]])</f>
        <v>97600</v>
      </c>
    </row>
    <row r="150" spans="1:13" x14ac:dyDescent="0.25">
      <c r="A150" s="12" t="s">
        <v>8</v>
      </c>
      <c r="B150" s="12" t="s">
        <v>80</v>
      </c>
      <c r="C150" s="16" t="s">
        <v>237</v>
      </c>
      <c r="D150" s="13">
        <v>45139</v>
      </c>
      <c r="E150" s="13">
        <v>45169</v>
      </c>
      <c r="F150" s="14">
        <v>4480</v>
      </c>
      <c r="G150" s="15" t="s">
        <v>232</v>
      </c>
      <c r="H150" s="14">
        <v>179.2</v>
      </c>
      <c r="I150" s="12" t="str">
        <f t="shared" si="9"/>
        <v>DCYCLE SAMadridwaste4513945169</v>
      </c>
      <c r="J150" s="12">
        <f>data_waste!L81</f>
        <v>4480</v>
      </c>
      <c r="K150" s="12">
        <f>IF(Combinadas!$C516="electricity", Combinadas!$J516/6.6667,
IF(Combinadas!$C516="water", Combinadas!$J516/3.333,
IF(Combinadas!$C516="heat", Combinadas!$J516/0.8333, IF(Combinadas!$C516="waste",Combinadas!$J516/25,
"NA"))))</f>
        <v>5.6</v>
      </c>
      <c r="L150" s="12">
        <f>data_waste!M81</f>
        <v>4480000</v>
      </c>
      <c r="M150" s="12">
        <f>IF(Table4[[#This Row],[Type]]="waste", Table4[[#This Row],[Q_Tonnes]]/25, Table4[[#This Row],[CO2_Noduplicates]])</f>
        <v>179200</v>
      </c>
    </row>
    <row r="151" spans="1:13" x14ac:dyDescent="0.25">
      <c r="A151" s="12" t="s">
        <v>8</v>
      </c>
      <c r="B151" s="12" t="s">
        <v>127</v>
      </c>
      <c r="C151" s="12" t="s">
        <v>130</v>
      </c>
      <c r="D151" s="13">
        <v>45167</v>
      </c>
      <c r="E151" s="13">
        <v>45227</v>
      </c>
      <c r="F151" s="14">
        <v>97</v>
      </c>
      <c r="G151" s="15" t="s">
        <v>133</v>
      </c>
      <c r="H151" s="14">
        <v>29.102910291029101</v>
      </c>
      <c r="I151" s="12" t="str">
        <f t="shared" si="9"/>
        <v>DCYCLE SABCNwater4516745227</v>
      </c>
      <c r="J151" s="12">
        <f t="shared" ref="J151:J189" si="11">IF(F151=_xlfn.MAXIFS(F:F, I:I, I151), F151, 0)</f>
        <v>97</v>
      </c>
      <c r="K151" s="12">
        <f>IF(Combinadas!$C20="electricity", Combinadas!$J20/6.6667,
IF(Combinadas!$C20="water", Combinadas!$J20/3.333,
IF(Combinadas!$C20="heat", Combinadas!$J20/0.8333, IF(Combinadas!$C20="waste",Combinadas!$J20/25,
"NA"))))</f>
        <v>619.53336457891646</v>
      </c>
      <c r="L151" s="12">
        <f>Combinadas!$J20</f>
        <v>516.25715270361115</v>
      </c>
      <c r="M151" s="12">
        <f>IF(Table4[[#This Row],[Type]]="waste", Table4[[#This Row],[Q_Tonnes]]/25, Table4[[#This Row],[CO2_Noduplicates]])</f>
        <v>619.53336457891646</v>
      </c>
    </row>
    <row r="152" spans="1:13" x14ac:dyDescent="0.25">
      <c r="A152" s="16" t="s">
        <v>8</v>
      </c>
      <c r="B152" s="16" t="s">
        <v>80</v>
      </c>
      <c r="C152" s="16" t="s">
        <v>128</v>
      </c>
      <c r="D152" s="17">
        <v>45168</v>
      </c>
      <c r="E152" s="17">
        <v>45169</v>
      </c>
      <c r="F152" s="18">
        <v>1900</v>
      </c>
      <c r="G152" s="19" t="s">
        <v>129</v>
      </c>
      <c r="H152" s="18">
        <v>284.998575007125</v>
      </c>
      <c r="I152" s="12" t="str">
        <f t="shared" si="9"/>
        <v>DCYCLE SAMadridelectricity4516845169</v>
      </c>
      <c r="J152" s="12">
        <f t="shared" si="11"/>
        <v>1900</v>
      </c>
      <c r="K152" s="12">
        <f>IF(Combinadas!$C99="electricity", Combinadas!$J99/6.6667,
IF(Combinadas!$C99="water", Combinadas!$J99/3.333,
IF(Combinadas!$C99="heat", Combinadas!$J99/0.8333, IF(Combinadas!$C99="waste",Combinadas!$J99/25,
"NA"))))</f>
        <v>32.799999999999997</v>
      </c>
      <c r="L152" s="12">
        <f>Combinadas!$J99</f>
        <v>820</v>
      </c>
      <c r="M152" s="12">
        <f>IF(Table4[[#This Row],[Type]]="waste", Table4[[#This Row],[Q_Tonnes]]/25, Table4[[#This Row],[CO2_Noduplicates]])</f>
        <v>32.799999999999997</v>
      </c>
    </row>
    <row r="153" spans="1:13" x14ac:dyDescent="0.25">
      <c r="A153" s="16" t="s">
        <v>8</v>
      </c>
      <c r="B153" s="16" t="s">
        <v>127</v>
      </c>
      <c r="C153" s="16" t="s">
        <v>128</v>
      </c>
      <c r="D153" s="17">
        <v>45169</v>
      </c>
      <c r="E153" s="17">
        <v>45199</v>
      </c>
      <c r="F153" s="18">
        <v>9886</v>
      </c>
      <c r="G153" s="19" t="s">
        <v>129</v>
      </c>
      <c r="H153" s="18">
        <v>1482.8925855370724</v>
      </c>
      <c r="I153" s="12" t="str">
        <f t="shared" si="9"/>
        <v>DCYCLE SABCNelectricity4516945199</v>
      </c>
      <c r="J153" s="12">
        <f t="shared" si="11"/>
        <v>9886</v>
      </c>
      <c r="K153" s="12">
        <f>IF(Combinadas!$C11="electricity", Combinadas!$J11/6.6667,
IF(Combinadas!$C11="water", Combinadas!$J11/3.333,
IF(Combinadas!$C11="heat", Combinadas!$J11/0.8333, IF(Combinadas!$C11="waste",Combinadas!$J11/25,
"NA"))))</f>
        <v>1.7281728172817281</v>
      </c>
      <c r="L153" s="12">
        <f>Combinadas!$J11</f>
        <v>5.76</v>
      </c>
      <c r="M153" s="12">
        <f>IF(Table4[[#This Row],[Type]]="waste", Table4[[#This Row],[Q_Tonnes]]/25, Table4[[#This Row],[CO2_Noduplicates]])</f>
        <v>1.7281728172817281</v>
      </c>
    </row>
    <row r="154" spans="1:13" x14ac:dyDescent="0.25">
      <c r="A154" s="16" t="s">
        <v>8</v>
      </c>
      <c r="B154" s="16" t="s">
        <v>139</v>
      </c>
      <c r="C154" s="16" t="s">
        <v>128</v>
      </c>
      <c r="D154" s="17">
        <v>45170</v>
      </c>
      <c r="E154" s="17">
        <v>45199</v>
      </c>
      <c r="F154" s="18">
        <v>10221</v>
      </c>
      <c r="G154" s="19" t="s">
        <v>129</v>
      </c>
      <c r="H154" s="18">
        <v>1533.1423342883286</v>
      </c>
      <c r="I154" s="12" t="str">
        <f t="shared" si="9"/>
        <v>DCYCLE SAMadrid (A2)electricity4517045199</v>
      </c>
      <c r="J154" s="12">
        <f t="shared" si="11"/>
        <v>0</v>
      </c>
      <c r="K154" s="12">
        <f>IF(Combinadas!$C39="electricity", Combinadas!$J39/6.6667,
IF(Combinadas!$C39="water", Combinadas!$J39/3.333,
IF(Combinadas!$C39="heat", Combinadas!$J39/0.8333, IF(Combinadas!$C39="waste",Combinadas!$J39/25,
"NA"))))</f>
        <v>74.407440744074407</v>
      </c>
      <c r="L154" s="12">
        <f>Combinadas!$J39</f>
        <v>248</v>
      </c>
      <c r="M154" s="12">
        <f>IF(Table4[[#This Row],[Type]]="waste", Table4[[#This Row],[Q_Tonnes]]/25, Table4[[#This Row],[CO2_Noduplicates]])</f>
        <v>74.407440744074407</v>
      </c>
    </row>
    <row r="155" spans="1:13" x14ac:dyDescent="0.25">
      <c r="A155" s="12" t="s">
        <v>8</v>
      </c>
      <c r="B155" s="12" t="s">
        <v>139</v>
      </c>
      <c r="C155" s="12" t="s">
        <v>128</v>
      </c>
      <c r="D155" s="13">
        <v>45170</v>
      </c>
      <c r="E155" s="13">
        <v>45199</v>
      </c>
      <c r="F155" s="14">
        <v>28222</v>
      </c>
      <c r="G155" s="15" t="s">
        <v>129</v>
      </c>
      <c r="H155" s="14">
        <v>4233.278833605832</v>
      </c>
      <c r="I155" s="12" t="str">
        <f t="shared" si="9"/>
        <v>DCYCLE SAMadrid (A2)electricity4517045199</v>
      </c>
      <c r="J155" s="12">
        <f t="shared" si="11"/>
        <v>28222</v>
      </c>
      <c r="K155" s="12">
        <f>IF(Combinadas!$C40="electricity", Combinadas!$J40/6.6667,
IF(Combinadas!$C40="water", Combinadas!$J40/3.333,
IF(Combinadas!$C40="heat", Combinadas!$J40/0.8333, IF(Combinadas!$C40="waste",Combinadas!$J40/25,
"NA"))))</f>
        <v>773.65917979868129</v>
      </c>
      <c r="L155" s="12">
        <f>Combinadas!$J40</f>
        <v>644.69019452624116</v>
      </c>
      <c r="M155" s="12">
        <f>IF(Table4[[#This Row],[Type]]="waste", Table4[[#This Row],[Q_Tonnes]]/25, Table4[[#This Row],[CO2_Noduplicates]])</f>
        <v>773.65917979868129</v>
      </c>
    </row>
    <row r="156" spans="1:13" x14ac:dyDescent="0.25">
      <c r="A156" s="16" t="s">
        <v>8</v>
      </c>
      <c r="B156" s="16" t="s">
        <v>139</v>
      </c>
      <c r="C156" s="16" t="s">
        <v>140</v>
      </c>
      <c r="D156" s="17">
        <v>45170</v>
      </c>
      <c r="E156" s="17">
        <v>45199</v>
      </c>
      <c r="F156" s="18">
        <v>0</v>
      </c>
      <c r="G156" s="19" t="s">
        <v>211</v>
      </c>
      <c r="H156" s="18">
        <v>0</v>
      </c>
      <c r="I156" s="12" t="str">
        <f t="shared" si="9"/>
        <v>DCYCLE SAMadrid (A2)heat4517045199</v>
      </c>
      <c r="J156" s="12">
        <f t="shared" si="11"/>
        <v>0</v>
      </c>
      <c r="K156" s="12">
        <f>IF(Combinadas!$C67="electricity", Combinadas!$J67/6.6667,
IF(Combinadas!$C67="water", Combinadas!$J67/3.333,
IF(Combinadas!$C67="heat", Combinadas!$J67/0.8333, IF(Combinadas!$C67="waste",Combinadas!$J67/25,
"NA"))))</f>
        <v>0</v>
      </c>
      <c r="L156" s="12">
        <f>Combinadas!$J67</f>
        <v>0</v>
      </c>
      <c r="M156" s="12">
        <f>IF(Table4[[#This Row],[Type]]="waste", Table4[[#This Row],[Q_Tonnes]]/25, Table4[[#This Row],[CO2_Noduplicates]])</f>
        <v>0</v>
      </c>
    </row>
    <row r="157" spans="1:13" hidden="1" x14ac:dyDescent="0.25">
      <c r="A157" s="16" t="s">
        <v>10</v>
      </c>
      <c r="B157" s="16" t="s">
        <v>10</v>
      </c>
      <c r="C157" s="16" t="s">
        <v>128</v>
      </c>
      <c r="D157" s="17">
        <v>44470</v>
      </c>
      <c r="E157" s="17">
        <v>44500</v>
      </c>
      <c r="F157" s="18">
        <v>7888</v>
      </c>
      <c r="G157" s="19" t="s">
        <v>129</v>
      </c>
      <c r="H157" s="18">
        <v>1183.1940840295799</v>
      </c>
      <c r="I157" s="12" t="str">
        <f t="shared" si="9"/>
        <v>Dcycle Factory SLDcycle Factory SLelectricity4447044500</v>
      </c>
      <c r="J157" s="12">
        <f t="shared" si="11"/>
        <v>7888</v>
      </c>
      <c r="K157" s="12">
        <f>IF(Combinadas!$C157="electricity", Combinadas!$J157/6.6667,
IF(Combinadas!$C157="water", Combinadas!$J157/3.333,
IF(Combinadas!$C157="heat", Combinadas!$J157/0.8333, IF(Combinadas!$C157="waste",Combinadas!$J157/25,
"NA"))))</f>
        <v>1183.1940840295799</v>
      </c>
      <c r="L157" s="12">
        <f>Combinadas!$J157</f>
        <v>7888</v>
      </c>
      <c r="M157" s="12">
        <f>IF(Table4[[#This Row],[Type]]="waste", Table4[[#This Row],[Q_Tonnes]]/25, Table4[[#This Row],[CO2_Noduplicates]])</f>
        <v>1183.1940840295799</v>
      </c>
    </row>
    <row r="158" spans="1:13" hidden="1" x14ac:dyDescent="0.25">
      <c r="A158" s="12" t="s">
        <v>10</v>
      </c>
      <c r="B158" s="12" t="s">
        <v>10</v>
      </c>
      <c r="C158" s="12" t="s">
        <v>128</v>
      </c>
      <c r="D158" s="13">
        <v>44501</v>
      </c>
      <c r="E158" s="13">
        <v>44530</v>
      </c>
      <c r="F158" s="14">
        <v>10005</v>
      </c>
      <c r="G158" s="15" t="s">
        <v>129</v>
      </c>
      <c r="H158" s="14">
        <v>1500.7424962875186</v>
      </c>
      <c r="I158" s="12" t="str">
        <f t="shared" si="9"/>
        <v>Dcycle Factory SLDcycle Factory SLelectricity4450144530</v>
      </c>
      <c r="J158" s="12">
        <f t="shared" si="11"/>
        <v>10005</v>
      </c>
      <c r="K158" s="12">
        <f>IF(Combinadas!$C158="electricity", Combinadas!$J158/6.6667,
IF(Combinadas!$C158="water", Combinadas!$J158/3.333,
IF(Combinadas!$C158="heat", Combinadas!$J158/0.8333, IF(Combinadas!$C158="waste",Combinadas!$J158/25,
"NA"))))</f>
        <v>1500.7424962875186</v>
      </c>
      <c r="L158" s="12">
        <f>Combinadas!$J158</f>
        <v>10005</v>
      </c>
      <c r="M158" s="12">
        <f>IF(Table4[[#This Row],[Type]]="waste", Table4[[#This Row],[Q_Tonnes]]/25, Table4[[#This Row],[CO2_Noduplicates]])</f>
        <v>1500.7424962875186</v>
      </c>
    </row>
    <row r="159" spans="1:13" hidden="1" x14ac:dyDescent="0.25">
      <c r="A159" s="16" t="s">
        <v>10</v>
      </c>
      <c r="B159" s="16" t="s">
        <v>10</v>
      </c>
      <c r="C159" s="16" t="s">
        <v>128</v>
      </c>
      <c r="D159" s="17">
        <v>44531</v>
      </c>
      <c r="E159" s="17">
        <v>44561</v>
      </c>
      <c r="F159" s="18">
        <v>7558</v>
      </c>
      <c r="G159" s="19" t="s">
        <v>129</v>
      </c>
      <c r="H159" s="18">
        <v>1133.6943315283424</v>
      </c>
      <c r="I159" s="12" t="str">
        <f t="shared" si="9"/>
        <v>Dcycle Factory SLDcycle Factory SLelectricity4453144561</v>
      </c>
      <c r="J159" s="12">
        <f t="shared" si="11"/>
        <v>7558</v>
      </c>
      <c r="K159" s="12">
        <f>IF(Combinadas!$C159="electricity", Combinadas!$J159/6.6667,
IF(Combinadas!$C159="water", Combinadas!$J159/3.333,
IF(Combinadas!$C159="heat", Combinadas!$J159/0.8333, IF(Combinadas!$C159="waste",Combinadas!$J159/25,
"NA"))))</f>
        <v>1133.6943315283424</v>
      </c>
      <c r="L159" s="12">
        <f>Combinadas!$J159</f>
        <v>7558</v>
      </c>
      <c r="M159" s="12">
        <f>IF(Table4[[#This Row],[Type]]="waste", Table4[[#This Row],[Q_Tonnes]]/25, Table4[[#This Row],[CO2_Noduplicates]])</f>
        <v>1133.6943315283424</v>
      </c>
    </row>
    <row r="160" spans="1:13" x14ac:dyDescent="0.25">
      <c r="A160" s="12" t="s">
        <v>10</v>
      </c>
      <c r="B160" s="12" t="s">
        <v>10</v>
      </c>
      <c r="C160" s="12" t="s">
        <v>128</v>
      </c>
      <c r="D160" s="13">
        <v>44562</v>
      </c>
      <c r="E160" s="13">
        <v>44592</v>
      </c>
      <c r="F160" s="14">
        <v>10694</v>
      </c>
      <c r="G160" s="15" t="s">
        <v>129</v>
      </c>
      <c r="H160" s="14">
        <v>1604.0919795401023</v>
      </c>
      <c r="I160" s="12" t="str">
        <f t="shared" si="9"/>
        <v>Dcycle Factory SLDcycle Factory SLelectricity4456244592</v>
      </c>
      <c r="J160" s="12">
        <f t="shared" si="11"/>
        <v>10694</v>
      </c>
      <c r="K160" s="12">
        <f>IF(Combinadas!$C160="electricity", Combinadas!$J160/6.6667,
IF(Combinadas!$C160="water", Combinadas!$J160/3.333,
IF(Combinadas!$C160="heat", Combinadas!$J160/0.8333, IF(Combinadas!$C160="waste",Combinadas!$J160/25,
"NA"))))</f>
        <v>1604.0919795401023</v>
      </c>
      <c r="L160" s="12">
        <f>Combinadas!$J160</f>
        <v>10694</v>
      </c>
      <c r="M160" s="12">
        <f>IF(Table4[[#This Row],[Type]]="waste", Table4[[#This Row],[Q_Tonnes]]/25, Table4[[#This Row],[CO2_Noduplicates]])</f>
        <v>1604.0919795401023</v>
      </c>
    </row>
    <row r="161" spans="1:13" x14ac:dyDescent="0.25">
      <c r="A161" s="16" t="s">
        <v>10</v>
      </c>
      <c r="B161" s="16" t="s">
        <v>10</v>
      </c>
      <c r="C161" s="16" t="s">
        <v>128</v>
      </c>
      <c r="D161" s="17">
        <v>44593</v>
      </c>
      <c r="E161" s="17">
        <v>44620</v>
      </c>
      <c r="F161" s="18">
        <v>10122</v>
      </c>
      <c r="G161" s="19" t="s">
        <v>129</v>
      </c>
      <c r="H161" s="18">
        <v>1518.2924085379575</v>
      </c>
      <c r="I161" s="12" t="str">
        <f t="shared" si="9"/>
        <v>Dcycle Factory SLDcycle Factory SLelectricity4459344620</v>
      </c>
      <c r="J161" s="12">
        <f t="shared" si="11"/>
        <v>10122</v>
      </c>
      <c r="K161" s="12">
        <f>IF(Combinadas!$C161="electricity", Combinadas!$J161/6.6667,
IF(Combinadas!$C161="water", Combinadas!$J161/3.333,
IF(Combinadas!$C161="heat", Combinadas!$J161/0.8333, IF(Combinadas!$C161="waste",Combinadas!$J161/25,
"NA"))))</f>
        <v>1518.2924085379575</v>
      </c>
      <c r="L161" s="12">
        <f>Combinadas!$J161</f>
        <v>10122</v>
      </c>
      <c r="M161" s="12">
        <f>IF(Table4[[#This Row],[Type]]="waste", Table4[[#This Row],[Q_Tonnes]]/25, Table4[[#This Row],[CO2_Noduplicates]])</f>
        <v>1518.2924085379575</v>
      </c>
    </row>
    <row r="162" spans="1:13" x14ac:dyDescent="0.25">
      <c r="A162" s="12" t="s">
        <v>10</v>
      </c>
      <c r="B162" s="12" t="s">
        <v>10</v>
      </c>
      <c r="C162" s="12" t="s">
        <v>128</v>
      </c>
      <c r="D162" s="13">
        <v>44621</v>
      </c>
      <c r="E162" s="13">
        <v>44651</v>
      </c>
      <c r="F162" s="14">
        <v>10019</v>
      </c>
      <c r="G162" s="15" t="s">
        <v>129</v>
      </c>
      <c r="H162" s="14">
        <v>1502.8424857875711</v>
      </c>
      <c r="I162" s="12" t="str">
        <f t="shared" si="9"/>
        <v>Dcycle Factory SLDcycle Factory SLelectricity4462144651</v>
      </c>
      <c r="J162" s="12">
        <f t="shared" si="11"/>
        <v>10019</v>
      </c>
      <c r="K162" s="12">
        <f>IF(Combinadas!$C162="electricity", Combinadas!$J162/6.6667,
IF(Combinadas!$C162="water", Combinadas!$J162/3.333,
IF(Combinadas!$C162="heat", Combinadas!$J162/0.8333, IF(Combinadas!$C162="waste",Combinadas!$J162/25,
"NA"))))</f>
        <v>1502.8424857875711</v>
      </c>
      <c r="L162" s="12">
        <f>Combinadas!$J162</f>
        <v>10019</v>
      </c>
      <c r="M162" s="12">
        <f>IF(Table4[[#This Row],[Type]]="waste", Table4[[#This Row],[Q_Tonnes]]/25, Table4[[#This Row],[CO2_Noduplicates]])</f>
        <v>1502.8424857875711</v>
      </c>
    </row>
    <row r="163" spans="1:13" x14ac:dyDescent="0.25">
      <c r="A163" s="16" t="s">
        <v>10</v>
      </c>
      <c r="B163" s="16" t="s">
        <v>10</v>
      </c>
      <c r="C163" s="16" t="s">
        <v>128</v>
      </c>
      <c r="D163" s="17">
        <v>44652</v>
      </c>
      <c r="E163" s="17">
        <v>44681</v>
      </c>
      <c r="F163" s="18">
        <v>7619</v>
      </c>
      <c r="G163" s="19" t="s">
        <v>129</v>
      </c>
      <c r="H163" s="18">
        <v>1142.8442857785712</v>
      </c>
      <c r="I163" s="12" t="str">
        <f t="shared" si="9"/>
        <v>Dcycle Factory SLDcycle Factory SLelectricity4465244681</v>
      </c>
      <c r="J163" s="12">
        <f t="shared" si="11"/>
        <v>7619</v>
      </c>
      <c r="K163" s="12">
        <f>IF(Combinadas!$C163="electricity", Combinadas!$J163/6.6667,
IF(Combinadas!$C163="water", Combinadas!$J163/3.333,
IF(Combinadas!$C163="heat", Combinadas!$J163/0.8333, IF(Combinadas!$C163="waste",Combinadas!$J163/25,
"NA"))))</f>
        <v>1142.8442857785712</v>
      </c>
      <c r="L163" s="12">
        <f>Combinadas!$J163</f>
        <v>7619</v>
      </c>
      <c r="M163" s="12">
        <f>IF(Table4[[#This Row],[Type]]="waste", Table4[[#This Row],[Q_Tonnes]]/25, Table4[[#This Row],[CO2_Noduplicates]])</f>
        <v>1142.8442857785712</v>
      </c>
    </row>
    <row r="164" spans="1:13" x14ac:dyDescent="0.25">
      <c r="A164" s="12" t="s">
        <v>10</v>
      </c>
      <c r="B164" s="12" t="s">
        <v>10</v>
      </c>
      <c r="C164" s="12" t="s">
        <v>128</v>
      </c>
      <c r="D164" s="13">
        <v>44682</v>
      </c>
      <c r="E164" s="13">
        <v>44712</v>
      </c>
      <c r="F164" s="14">
        <v>8615</v>
      </c>
      <c r="G164" s="15" t="s">
        <v>129</v>
      </c>
      <c r="H164" s="14">
        <v>1292.2435387823061</v>
      </c>
      <c r="I164" s="12" t="str">
        <f t="shared" si="9"/>
        <v>Dcycle Factory SLDcycle Factory SLelectricity4468244712</v>
      </c>
      <c r="J164" s="12">
        <f t="shared" si="11"/>
        <v>8615</v>
      </c>
      <c r="K164" s="12">
        <f>IF(Combinadas!$C164="electricity", Combinadas!$J164/6.6667,
IF(Combinadas!$C164="water", Combinadas!$J164/3.333,
IF(Combinadas!$C164="heat", Combinadas!$J164/0.8333, IF(Combinadas!$C164="waste",Combinadas!$J164/25,
"NA"))))</f>
        <v>1292.2435387823061</v>
      </c>
      <c r="L164" s="12">
        <f>Combinadas!$J164</f>
        <v>8615</v>
      </c>
      <c r="M164" s="12">
        <f>IF(Table4[[#This Row],[Type]]="waste", Table4[[#This Row],[Q_Tonnes]]/25, Table4[[#This Row],[CO2_Noduplicates]])</f>
        <v>1292.2435387823061</v>
      </c>
    </row>
    <row r="165" spans="1:13" x14ac:dyDescent="0.25">
      <c r="A165" s="16" t="s">
        <v>10</v>
      </c>
      <c r="B165" s="16" t="s">
        <v>10</v>
      </c>
      <c r="C165" s="16" t="s">
        <v>128</v>
      </c>
      <c r="D165" s="17">
        <v>44713</v>
      </c>
      <c r="E165" s="17">
        <v>44742</v>
      </c>
      <c r="F165" s="18">
        <v>10653</v>
      </c>
      <c r="G165" s="19" t="s">
        <v>129</v>
      </c>
      <c r="H165" s="18">
        <v>1597.9420102899487</v>
      </c>
      <c r="I165" s="12" t="str">
        <f t="shared" si="9"/>
        <v>Dcycle Factory SLDcycle Factory SLelectricity4471344742</v>
      </c>
      <c r="J165" s="12">
        <f t="shared" si="11"/>
        <v>10653</v>
      </c>
      <c r="K165" s="12">
        <f>IF(Combinadas!$C165="electricity", Combinadas!$J165/6.6667,
IF(Combinadas!$C165="water", Combinadas!$J165/3.333,
IF(Combinadas!$C165="heat", Combinadas!$J165/0.8333, IF(Combinadas!$C165="waste",Combinadas!$J165/25,
"NA"))))</f>
        <v>1597.9420102899487</v>
      </c>
      <c r="L165" s="12">
        <f>Combinadas!$J165</f>
        <v>10653</v>
      </c>
      <c r="M165" s="12">
        <f>IF(Table4[[#This Row],[Type]]="waste", Table4[[#This Row],[Q_Tonnes]]/25, Table4[[#This Row],[CO2_Noduplicates]])</f>
        <v>1597.9420102899487</v>
      </c>
    </row>
    <row r="166" spans="1:13" x14ac:dyDescent="0.25">
      <c r="A166" s="12" t="s">
        <v>10</v>
      </c>
      <c r="B166" s="12" t="s">
        <v>10</v>
      </c>
      <c r="C166" s="12" t="s">
        <v>128</v>
      </c>
      <c r="D166" s="13">
        <v>44743</v>
      </c>
      <c r="E166" s="13">
        <v>44773</v>
      </c>
      <c r="F166" s="14">
        <v>12552</v>
      </c>
      <c r="G166" s="15" t="s">
        <v>129</v>
      </c>
      <c r="H166" s="14">
        <v>1882.7905860470698</v>
      </c>
      <c r="I166" s="12" t="str">
        <f t="shared" si="9"/>
        <v>Dcycle Factory SLDcycle Factory SLelectricity4474344773</v>
      </c>
      <c r="J166" s="12">
        <f t="shared" si="11"/>
        <v>12552</v>
      </c>
      <c r="K166" s="12">
        <f>IF(Combinadas!$C166="electricity", Combinadas!$J166/6.6667,
IF(Combinadas!$C166="water", Combinadas!$J166/3.333,
IF(Combinadas!$C166="heat", Combinadas!$J166/0.8333, IF(Combinadas!$C166="waste",Combinadas!$J166/25,
"NA"))))</f>
        <v>1882.7905860470698</v>
      </c>
      <c r="L166" s="12">
        <f>Combinadas!$J166</f>
        <v>12552</v>
      </c>
      <c r="M166" s="12">
        <f>IF(Table4[[#This Row],[Type]]="waste", Table4[[#This Row],[Q_Tonnes]]/25, Table4[[#This Row],[CO2_Noduplicates]])</f>
        <v>1882.7905860470698</v>
      </c>
    </row>
    <row r="167" spans="1:13" x14ac:dyDescent="0.25">
      <c r="A167" s="16" t="s">
        <v>10</v>
      </c>
      <c r="B167" s="16" t="s">
        <v>10</v>
      </c>
      <c r="C167" s="16" t="s">
        <v>128</v>
      </c>
      <c r="D167" s="17">
        <v>44774</v>
      </c>
      <c r="E167" s="17">
        <v>44804</v>
      </c>
      <c r="F167" s="18">
        <v>2571</v>
      </c>
      <c r="G167" s="19" t="s">
        <v>129</v>
      </c>
      <c r="H167" s="18">
        <v>385.6480717596412</v>
      </c>
      <c r="I167" s="12" t="str">
        <f t="shared" si="9"/>
        <v>Dcycle Factory SLDcycle Factory SLelectricity4477444804</v>
      </c>
      <c r="J167" s="12">
        <f t="shared" si="11"/>
        <v>2571</v>
      </c>
      <c r="K167" s="12">
        <f>IF(Combinadas!$C167="electricity", Combinadas!$J167/6.6667,
IF(Combinadas!$C167="water", Combinadas!$J167/3.333,
IF(Combinadas!$C167="heat", Combinadas!$J167/0.8333, IF(Combinadas!$C167="waste",Combinadas!$J167/25,
"NA"))))</f>
        <v>385.6480717596412</v>
      </c>
      <c r="L167" s="12">
        <f>Combinadas!$J167</f>
        <v>2571</v>
      </c>
      <c r="M167" s="12">
        <f>IF(Table4[[#This Row],[Type]]="waste", Table4[[#This Row],[Q_Tonnes]]/25, Table4[[#This Row],[CO2_Noduplicates]])</f>
        <v>385.6480717596412</v>
      </c>
    </row>
    <row r="168" spans="1:13" x14ac:dyDescent="0.25">
      <c r="A168" s="12" t="s">
        <v>10</v>
      </c>
      <c r="B168" s="12" t="s">
        <v>10</v>
      </c>
      <c r="C168" s="12" t="s">
        <v>128</v>
      </c>
      <c r="D168" s="13">
        <v>44805</v>
      </c>
      <c r="E168" s="13">
        <v>44834</v>
      </c>
      <c r="F168" s="14">
        <v>12126</v>
      </c>
      <c r="G168" s="15" t="s">
        <v>129</v>
      </c>
      <c r="H168" s="14">
        <v>1818.8909055454724</v>
      </c>
      <c r="I168" s="12" t="str">
        <f t="shared" si="9"/>
        <v>Dcycle Factory SLDcycle Factory SLelectricity4480544834</v>
      </c>
      <c r="J168" s="12">
        <f t="shared" si="11"/>
        <v>12126</v>
      </c>
      <c r="K168" s="12">
        <f>IF(Combinadas!$C168="electricity", Combinadas!$J168/6.6667,
IF(Combinadas!$C168="water", Combinadas!$J168/3.333,
IF(Combinadas!$C168="heat", Combinadas!$J168/0.8333, IF(Combinadas!$C168="waste",Combinadas!$J168/25,
"NA"))))</f>
        <v>1818.8909055454724</v>
      </c>
      <c r="L168" s="12">
        <f>Combinadas!$J168</f>
        <v>12126</v>
      </c>
      <c r="M168" s="12">
        <f>IF(Table4[[#This Row],[Type]]="waste", Table4[[#This Row],[Q_Tonnes]]/25, Table4[[#This Row],[CO2_Noduplicates]])</f>
        <v>1818.8909055454724</v>
      </c>
    </row>
    <row r="169" spans="1:13" x14ac:dyDescent="0.25">
      <c r="A169" s="16" t="s">
        <v>10</v>
      </c>
      <c r="B169" s="16" t="s">
        <v>10</v>
      </c>
      <c r="C169" s="16" t="s">
        <v>128</v>
      </c>
      <c r="D169" s="17">
        <v>44835</v>
      </c>
      <c r="E169" s="17">
        <v>44865</v>
      </c>
      <c r="F169" s="18">
        <v>8807</v>
      </c>
      <c r="G169" s="19" t="s">
        <v>129</v>
      </c>
      <c r="H169" s="18">
        <v>1321.0433947830261</v>
      </c>
      <c r="I169" s="12" t="str">
        <f t="shared" si="9"/>
        <v>Dcycle Factory SLDcycle Factory SLelectricity4483544865</v>
      </c>
      <c r="J169" s="12">
        <f t="shared" si="11"/>
        <v>8807</v>
      </c>
      <c r="K169" s="12">
        <f>IF(Combinadas!$C169="electricity", Combinadas!$J169/6.6667,
IF(Combinadas!$C169="water", Combinadas!$J169/3.333,
IF(Combinadas!$C169="heat", Combinadas!$J169/0.8333, IF(Combinadas!$C169="waste",Combinadas!$J169/25,
"NA"))))</f>
        <v>1321.0433947830261</v>
      </c>
      <c r="L169" s="12">
        <f>Combinadas!$J169</f>
        <v>8807</v>
      </c>
      <c r="M169" s="12">
        <f>IF(Table4[[#This Row],[Type]]="waste", Table4[[#This Row],[Q_Tonnes]]/25, Table4[[#This Row],[CO2_Noduplicates]])</f>
        <v>1321.0433947830261</v>
      </c>
    </row>
    <row r="170" spans="1:13" x14ac:dyDescent="0.25">
      <c r="A170" s="12" t="s">
        <v>10</v>
      </c>
      <c r="B170" s="12" t="s">
        <v>10</v>
      </c>
      <c r="C170" s="12" t="s">
        <v>128</v>
      </c>
      <c r="D170" s="13">
        <v>44866</v>
      </c>
      <c r="E170" s="13">
        <v>44895</v>
      </c>
      <c r="F170" s="14">
        <v>8294</v>
      </c>
      <c r="G170" s="15" t="s">
        <v>129</v>
      </c>
      <c r="H170" s="14">
        <v>1244.0937795311024</v>
      </c>
      <c r="I170" s="12" t="str">
        <f t="shared" si="9"/>
        <v>Dcycle Factory SLDcycle Factory SLelectricity4486644895</v>
      </c>
      <c r="J170" s="12">
        <f t="shared" si="11"/>
        <v>8294</v>
      </c>
      <c r="K170" s="12">
        <f>IF(Combinadas!$C170="electricity", Combinadas!$J170/6.6667,
IF(Combinadas!$C170="water", Combinadas!$J170/3.333,
IF(Combinadas!$C170="heat", Combinadas!$J170/0.8333, IF(Combinadas!$C170="waste",Combinadas!$J170/25,
"NA"))))</f>
        <v>1244.0937795311024</v>
      </c>
      <c r="L170" s="12">
        <f>Combinadas!$J170</f>
        <v>8294</v>
      </c>
      <c r="M170" s="12">
        <f>IF(Table4[[#This Row],[Type]]="waste", Table4[[#This Row],[Q_Tonnes]]/25, Table4[[#This Row],[CO2_Noduplicates]])</f>
        <v>1244.0937795311024</v>
      </c>
    </row>
    <row r="171" spans="1:13" x14ac:dyDescent="0.25">
      <c r="A171" s="16" t="s">
        <v>10</v>
      </c>
      <c r="B171" s="16" t="s">
        <v>10</v>
      </c>
      <c r="C171" s="16" t="s">
        <v>128</v>
      </c>
      <c r="D171" s="17">
        <v>44896</v>
      </c>
      <c r="E171" s="17">
        <v>44926</v>
      </c>
      <c r="F171" s="18">
        <v>7054</v>
      </c>
      <c r="G171" s="19" t="s">
        <v>129</v>
      </c>
      <c r="H171" s="18">
        <v>1058.0947095264523</v>
      </c>
      <c r="I171" s="12" t="str">
        <f t="shared" si="9"/>
        <v>Dcycle Factory SLDcycle Factory SLelectricity4489644926</v>
      </c>
      <c r="J171" s="12">
        <f t="shared" si="11"/>
        <v>7054</v>
      </c>
      <c r="K171" s="12">
        <f>IF(Combinadas!$C171="electricity", Combinadas!$J171/6.6667,
IF(Combinadas!$C171="water", Combinadas!$J171/3.333,
IF(Combinadas!$C171="heat", Combinadas!$J171/0.8333, IF(Combinadas!$C171="waste",Combinadas!$J171/25,
"NA"))))</f>
        <v>1058.0947095264523</v>
      </c>
      <c r="L171" s="12">
        <f>Combinadas!$J171</f>
        <v>7054</v>
      </c>
      <c r="M171" s="12">
        <f>IF(Table4[[#This Row],[Type]]="waste", Table4[[#This Row],[Q_Tonnes]]/25, Table4[[#This Row],[CO2_Noduplicates]])</f>
        <v>1058.0947095264523</v>
      </c>
    </row>
    <row r="172" spans="1:13" x14ac:dyDescent="0.25">
      <c r="A172" s="12" t="s">
        <v>10</v>
      </c>
      <c r="B172" s="12" t="s">
        <v>10</v>
      </c>
      <c r="C172" s="12" t="s">
        <v>128</v>
      </c>
      <c r="D172" s="13">
        <v>44927</v>
      </c>
      <c r="E172" s="13">
        <v>44957</v>
      </c>
      <c r="F172" s="14">
        <v>10737</v>
      </c>
      <c r="G172" s="15" t="s">
        <v>129</v>
      </c>
      <c r="H172" s="14">
        <v>1610.5419472902636</v>
      </c>
      <c r="I172" s="12" t="str">
        <f t="shared" si="9"/>
        <v>Dcycle Factory SLDcycle Factory SLelectricity4492744957</v>
      </c>
      <c r="J172" s="12">
        <f t="shared" si="11"/>
        <v>10737</v>
      </c>
      <c r="K172" s="12">
        <f>IF(Combinadas!$C172="electricity", Combinadas!$J172/6.6667,
IF(Combinadas!$C172="water", Combinadas!$J172/3.333,
IF(Combinadas!$C172="heat", Combinadas!$J172/0.8333, IF(Combinadas!$C172="waste",Combinadas!$J172/25,
"NA"))))</f>
        <v>1610.5419472902636</v>
      </c>
      <c r="L172" s="12">
        <f>Combinadas!$J172</f>
        <v>10737</v>
      </c>
      <c r="M172" s="12">
        <f>IF(Table4[[#This Row],[Type]]="waste", Table4[[#This Row],[Q_Tonnes]]/25, Table4[[#This Row],[CO2_Noduplicates]])</f>
        <v>1610.5419472902636</v>
      </c>
    </row>
    <row r="173" spans="1:13" x14ac:dyDescent="0.25">
      <c r="A173" s="16" t="s">
        <v>10</v>
      </c>
      <c r="B173" s="16" t="s">
        <v>10</v>
      </c>
      <c r="C173" s="16" t="s">
        <v>128</v>
      </c>
      <c r="D173" s="17">
        <v>44958</v>
      </c>
      <c r="E173" s="17">
        <v>44985</v>
      </c>
      <c r="F173" s="18">
        <v>10701</v>
      </c>
      <c r="G173" s="19" t="s">
        <v>129</v>
      </c>
      <c r="H173" s="18">
        <v>1605.1419742901287</v>
      </c>
      <c r="I173" s="12" t="str">
        <f t="shared" si="9"/>
        <v>Dcycle Factory SLDcycle Factory SLelectricity4495844985</v>
      </c>
      <c r="J173" s="12">
        <f t="shared" si="11"/>
        <v>10701</v>
      </c>
      <c r="K173" s="12">
        <f>IF(Combinadas!$C173="electricity", Combinadas!$J173/6.6667,
IF(Combinadas!$C173="water", Combinadas!$J173/3.333,
IF(Combinadas!$C173="heat", Combinadas!$J173/0.8333, IF(Combinadas!$C173="waste",Combinadas!$J173/25,
"NA"))))</f>
        <v>1605.1419742901287</v>
      </c>
      <c r="L173" s="12">
        <f>Combinadas!$J173</f>
        <v>10701</v>
      </c>
      <c r="M173" s="12">
        <f>IF(Table4[[#This Row],[Type]]="waste", Table4[[#This Row],[Q_Tonnes]]/25, Table4[[#This Row],[CO2_Noduplicates]])</f>
        <v>1605.1419742901287</v>
      </c>
    </row>
    <row r="174" spans="1:13" x14ac:dyDescent="0.25">
      <c r="A174" s="12" t="s">
        <v>10</v>
      </c>
      <c r="B174" s="12" t="s">
        <v>10</v>
      </c>
      <c r="C174" s="12" t="s">
        <v>128</v>
      </c>
      <c r="D174" s="13">
        <v>44986</v>
      </c>
      <c r="E174" s="13">
        <v>45016</v>
      </c>
      <c r="F174" s="14">
        <v>10788</v>
      </c>
      <c r="G174" s="15" t="s">
        <v>129</v>
      </c>
      <c r="H174" s="14">
        <v>1618.1919090404549</v>
      </c>
      <c r="I174" s="12" t="str">
        <f t="shared" si="9"/>
        <v>Dcycle Factory SLDcycle Factory SLelectricity4498645016</v>
      </c>
      <c r="J174" s="12">
        <f t="shared" si="11"/>
        <v>10788</v>
      </c>
      <c r="K174" s="12">
        <f>IF(Combinadas!$C174="electricity", Combinadas!$J174/6.6667,
IF(Combinadas!$C174="water", Combinadas!$J174/3.333,
IF(Combinadas!$C174="heat", Combinadas!$J174/0.8333, IF(Combinadas!$C174="waste",Combinadas!$J174/25,
"NA"))))</f>
        <v>1618.1919090404549</v>
      </c>
      <c r="L174" s="12">
        <f>Combinadas!$J174</f>
        <v>10788</v>
      </c>
      <c r="M174" s="12">
        <f>IF(Table4[[#This Row],[Type]]="waste", Table4[[#This Row],[Q_Tonnes]]/25, Table4[[#This Row],[CO2_Noduplicates]])</f>
        <v>1618.1919090404549</v>
      </c>
    </row>
    <row r="175" spans="1:13" x14ac:dyDescent="0.25">
      <c r="A175" s="16" t="s">
        <v>10</v>
      </c>
      <c r="B175" s="16" t="s">
        <v>10</v>
      </c>
      <c r="C175" s="16" t="s">
        <v>128</v>
      </c>
      <c r="D175" s="17">
        <v>45017</v>
      </c>
      <c r="E175" s="17">
        <v>45046</v>
      </c>
      <c r="F175" s="18">
        <v>7012</v>
      </c>
      <c r="G175" s="19" t="s">
        <v>129</v>
      </c>
      <c r="H175" s="18">
        <v>1051.794741026295</v>
      </c>
      <c r="I175" s="12" t="str">
        <f t="shared" si="9"/>
        <v>Dcycle Factory SLDcycle Factory SLelectricity4501745046</v>
      </c>
      <c r="J175" s="12">
        <f t="shared" si="11"/>
        <v>7012</v>
      </c>
      <c r="K175" s="12">
        <f>IF(Combinadas!$C175="electricity", Combinadas!$J175/6.6667,
IF(Combinadas!$C175="water", Combinadas!$J175/3.333,
IF(Combinadas!$C175="heat", Combinadas!$J175/0.8333, IF(Combinadas!$C175="waste",Combinadas!$J175/25,
"NA"))))</f>
        <v>1051.794741026295</v>
      </c>
      <c r="L175" s="12">
        <f>Combinadas!$J175</f>
        <v>7012</v>
      </c>
      <c r="M175" s="12">
        <f>IF(Table4[[#This Row],[Type]]="waste", Table4[[#This Row],[Q_Tonnes]]/25, Table4[[#This Row],[CO2_Noduplicates]])</f>
        <v>1051.794741026295</v>
      </c>
    </row>
    <row r="176" spans="1:13" x14ac:dyDescent="0.25">
      <c r="A176" s="12" t="s">
        <v>10</v>
      </c>
      <c r="B176" s="12" t="s">
        <v>10</v>
      </c>
      <c r="C176" s="12" t="s">
        <v>128</v>
      </c>
      <c r="D176" s="13">
        <v>45047</v>
      </c>
      <c r="E176" s="13">
        <v>45077</v>
      </c>
      <c r="F176" s="14">
        <v>9246</v>
      </c>
      <c r="G176" s="15" t="s">
        <v>129</v>
      </c>
      <c r="H176" s="14">
        <v>1386.8930655346724</v>
      </c>
      <c r="I176" s="12" t="str">
        <f t="shared" si="9"/>
        <v>Dcycle Factory SLDcycle Factory SLelectricity4504745077</v>
      </c>
      <c r="J176" s="12">
        <f t="shared" si="11"/>
        <v>9246</v>
      </c>
      <c r="K176" s="12">
        <f>IF(Combinadas!$C176="electricity", Combinadas!$J176/6.6667,
IF(Combinadas!$C176="water", Combinadas!$J176/3.333,
IF(Combinadas!$C176="heat", Combinadas!$J176/0.8333, IF(Combinadas!$C176="waste",Combinadas!$J176/25,
"NA"))))</f>
        <v>1386.8930655346724</v>
      </c>
      <c r="L176" s="12">
        <f>Combinadas!$J176</f>
        <v>9246</v>
      </c>
      <c r="M176" s="12">
        <f>IF(Table4[[#This Row],[Type]]="waste", Table4[[#This Row],[Q_Tonnes]]/25, Table4[[#This Row],[CO2_Noduplicates]])</f>
        <v>1386.8930655346724</v>
      </c>
    </row>
    <row r="177" spans="1:13" x14ac:dyDescent="0.25">
      <c r="A177" s="16" t="s">
        <v>10</v>
      </c>
      <c r="B177" s="16" t="s">
        <v>10</v>
      </c>
      <c r="C177" s="16" t="s">
        <v>128</v>
      </c>
      <c r="D177" s="17">
        <v>45078</v>
      </c>
      <c r="E177" s="17">
        <v>45107</v>
      </c>
      <c r="F177" s="18">
        <v>11920</v>
      </c>
      <c r="G177" s="19" t="s">
        <v>129</v>
      </c>
      <c r="H177" s="18">
        <v>1787.9910600446999</v>
      </c>
      <c r="I177" s="12" t="str">
        <f t="shared" si="9"/>
        <v>Dcycle Factory SLDcycle Factory SLelectricity4507845107</v>
      </c>
      <c r="J177" s="12">
        <f t="shared" si="11"/>
        <v>11920</v>
      </c>
      <c r="K177" s="12">
        <f>IF(Combinadas!$C177="electricity", Combinadas!$J177/6.6667,
IF(Combinadas!$C177="water", Combinadas!$J177/3.333,
IF(Combinadas!$C177="heat", Combinadas!$J177/0.8333, IF(Combinadas!$C177="waste",Combinadas!$J177/25,
"NA"))))</f>
        <v>1787.9910600446999</v>
      </c>
      <c r="L177" s="12">
        <f>Combinadas!$J177</f>
        <v>11920</v>
      </c>
      <c r="M177" s="12">
        <f>IF(Table4[[#This Row],[Type]]="waste", Table4[[#This Row],[Q_Tonnes]]/25, Table4[[#This Row],[CO2_Noduplicates]])</f>
        <v>1787.9910600446999</v>
      </c>
    </row>
    <row r="178" spans="1:13" x14ac:dyDescent="0.25">
      <c r="A178" s="12" t="s">
        <v>10</v>
      </c>
      <c r="B178" s="12" t="s">
        <v>10</v>
      </c>
      <c r="C178" s="12" t="s">
        <v>128</v>
      </c>
      <c r="D178" s="13">
        <v>45108</v>
      </c>
      <c r="E178" s="13">
        <v>45138</v>
      </c>
      <c r="F178" s="14">
        <v>12836</v>
      </c>
      <c r="G178" s="15" t="s">
        <v>129</v>
      </c>
      <c r="H178" s="14">
        <v>1925.390373048135</v>
      </c>
      <c r="I178" s="12" t="str">
        <f t="shared" si="9"/>
        <v>Dcycle Factory SLDcycle Factory SLelectricity4510845138</v>
      </c>
      <c r="J178" s="12">
        <f t="shared" si="11"/>
        <v>12836</v>
      </c>
      <c r="K178" s="12">
        <f>IF(Combinadas!$C178="electricity", Combinadas!$J178/6.6667,
IF(Combinadas!$C178="water", Combinadas!$J178/3.333,
IF(Combinadas!$C178="heat", Combinadas!$J178/0.8333, IF(Combinadas!$C178="waste",Combinadas!$J178/25,
"NA"))))</f>
        <v>1925.390373048135</v>
      </c>
      <c r="L178" s="12">
        <f>Combinadas!$J178</f>
        <v>12836</v>
      </c>
      <c r="M178" s="12">
        <f>IF(Table4[[#This Row],[Type]]="waste", Table4[[#This Row],[Q_Tonnes]]/25, Table4[[#This Row],[CO2_Noduplicates]])</f>
        <v>1925.390373048135</v>
      </c>
    </row>
    <row r="179" spans="1:13" x14ac:dyDescent="0.25">
      <c r="A179" s="16" t="s">
        <v>10</v>
      </c>
      <c r="B179" s="16" t="s">
        <v>10</v>
      </c>
      <c r="C179" s="16" t="s">
        <v>128</v>
      </c>
      <c r="D179" s="17">
        <v>45139</v>
      </c>
      <c r="E179" s="17">
        <v>45169</v>
      </c>
      <c r="F179" s="18">
        <v>3928</v>
      </c>
      <c r="G179" s="19" t="s">
        <v>129</v>
      </c>
      <c r="H179" s="18">
        <v>589.19705401472993</v>
      </c>
      <c r="I179" s="12" t="str">
        <f t="shared" si="9"/>
        <v>Dcycle Factory SLDcycle Factory SLelectricity4513945169</v>
      </c>
      <c r="J179" s="12">
        <f t="shared" si="11"/>
        <v>3928</v>
      </c>
      <c r="K179" s="12">
        <f>IF(Combinadas!$C179="electricity", Combinadas!$J179/6.6667,
IF(Combinadas!$C179="water", Combinadas!$J179/3.333,
IF(Combinadas!$C179="heat", Combinadas!$J179/0.8333, IF(Combinadas!$C179="waste",Combinadas!$J179/25,
"NA"))))</f>
        <v>589.19705401472993</v>
      </c>
      <c r="L179" s="12">
        <f>Combinadas!$J179</f>
        <v>3928</v>
      </c>
      <c r="M179" s="12">
        <f>IF(Table4[[#This Row],[Type]]="waste", Table4[[#This Row],[Q_Tonnes]]/25, Table4[[#This Row],[CO2_Noduplicates]])</f>
        <v>589.19705401472993</v>
      </c>
    </row>
    <row r="180" spans="1:13" x14ac:dyDescent="0.25">
      <c r="A180" s="12" t="s">
        <v>10</v>
      </c>
      <c r="B180" s="12" t="s">
        <v>10</v>
      </c>
      <c r="C180" s="12" t="s">
        <v>128</v>
      </c>
      <c r="D180" s="13">
        <v>45170</v>
      </c>
      <c r="E180" s="13">
        <v>45199</v>
      </c>
      <c r="F180" s="14">
        <v>11570</v>
      </c>
      <c r="G180" s="15" t="s">
        <v>129</v>
      </c>
      <c r="H180" s="14">
        <v>1735.4913225433875</v>
      </c>
      <c r="I180" s="12" t="str">
        <f t="shared" si="9"/>
        <v>Dcycle Factory SLDcycle Factory SLelectricity4517045199</v>
      </c>
      <c r="J180" s="12">
        <f t="shared" si="11"/>
        <v>11570</v>
      </c>
      <c r="K180" s="12">
        <f>IF(Combinadas!$C180="electricity", Combinadas!$J180/6.6667,
IF(Combinadas!$C180="water", Combinadas!$J180/3.333,
IF(Combinadas!$C180="heat", Combinadas!$J180/0.8333, IF(Combinadas!$C180="waste",Combinadas!$J180/25,
"NA"))))</f>
        <v>1735.4913225433875</v>
      </c>
      <c r="L180" s="12">
        <f>Combinadas!$J180</f>
        <v>11570</v>
      </c>
      <c r="M180" s="12">
        <f>IF(Table4[[#This Row],[Type]]="waste", Table4[[#This Row],[Q_Tonnes]]/25, Table4[[#This Row],[CO2_Noduplicates]])</f>
        <v>1735.4913225433875</v>
      </c>
    </row>
    <row r="181" spans="1:13" x14ac:dyDescent="0.25">
      <c r="A181" s="16" t="s">
        <v>10</v>
      </c>
      <c r="B181" s="16" t="s">
        <v>10</v>
      </c>
      <c r="C181" s="16" t="s">
        <v>128</v>
      </c>
      <c r="D181" s="17">
        <v>45200</v>
      </c>
      <c r="E181" s="17">
        <v>45230</v>
      </c>
      <c r="F181" s="18">
        <v>10259</v>
      </c>
      <c r="G181" s="19" t="s">
        <v>129</v>
      </c>
      <c r="H181" s="18">
        <v>1538.8423057884711</v>
      </c>
      <c r="I181" s="12" t="str">
        <f t="shared" si="9"/>
        <v>Dcycle Factory SLDcycle Factory SLelectricity4520045230</v>
      </c>
      <c r="J181" s="12">
        <f t="shared" si="11"/>
        <v>10259</v>
      </c>
      <c r="K181" s="12">
        <f>IF(Combinadas!$C181="electricity", Combinadas!$J181/6.6667,
IF(Combinadas!$C181="water", Combinadas!$J181/3.333,
IF(Combinadas!$C181="heat", Combinadas!$J181/0.8333, IF(Combinadas!$C181="waste",Combinadas!$J181/25,
"NA"))))</f>
        <v>1538.8423057884711</v>
      </c>
      <c r="L181" s="12">
        <f>Combinadas!$J181</f>
        <v>10259</v>
      </c>
      <c r="M181" s="12">
        <f>IF(Table4[[#This Row],[Type]]="waste", Table4[[#This Row],[Q_Tonnes]]/25, Table4[[#This Row],[CO2_Noduplicates]])</f>
        <v>1538.8423057884711</v>
      </c>
    </row>
    <row r="182" spans="1:13" x14ac:dyDescent="0.25">
      <c r="A182" s="12" t="s">
        <v>10</v>
      </c>
      <c r="B182" s="12" t="s">
        <v>10</v>
      </c>
      <c r="C182" s="12" t="s">
        <v>128</v>
      </c>
      <c r="D182" s="13">
        <v>45231</v>
      </c>
      <c r="E182" s="13">
        <v>45260</v>
      </c>
      <c r="F182" s="14">
        <v>8992</v>
      </c>
      <c r="G182" s="15" t="s">
        <v>129</v>
      </c>
      <c r="H182" s="14">
        <v>1348.7932560337199</v>
      </c>
      <c r="I182" s="12" t="str">
        <f t="shared" si="9"/>
        <v>Dcycle Factory SLDcycle Factory SLelectricity4523145260</v>
      </c>
      <c r="J182" s="12">
        <f t="shared" si="11"/>
        <v>8992</v>
      </c>
      <c r="K182" s="12">
        <f>IF(Combinadas!$C182="electricity", Combinadas!$J182/6.6667,
IF(Combinadas!$C182="water", Combinadas!$J182/3.333,
IF(Combinadas!$C182="heat", Combinadas!$J182/0.8333, IF(Combinadas!$C182="waste",Combinadas!$J182/25,
"NA"))))</f>
        <v>1348.7932560337199</v>
      </c>
      <c r="L182" s="12">
        <f>Combinadas!$J182</f>
        <v>8992</v>
      </c>
      <c r="M182" s="12">
        <f>IF(Table4[[#This Row],[Type]]="waste", Table4[[#This Row],[Q_Tonnes]]/25, Table4[[#This Row],[CO2_Noduplicates]])</f>
        <v>1348.7932560337199</v>
      </c>
    </row>
    <row r="183" spans="1:13" x14ac:dyDescent="0.25">
      <c r="A183" s="16" t="s">
        <v>10</v>
      </c>
      <c r="B183" s="16" t="s">
        <v>10</v>
      </c>
      <c r="C183" s="16" t="s">
        <v>128</v>
      </c>
      <c r="D183" s="17">
        <v>45261</v>
      </c>
      <c r="E183" s="17">
        <v>45291</v>
      </c>
      <c r="F183" s="18">
        <v>7387</v>
      </c>
      <c r="G183" s="19" t="s">
        <v>129</v>
      </c>
      <c r="H183" s="18">
        <v>1108.0444597777011</v>
      </c>
      <c r="I183" s="12" t="str">
        <f t="shared" si="9"/>
        <v>Dcycle Factory SLDcycle Factory SLelectricity4526145291</v>
      </c>
      <c r="J183" s="12">
        <f t="shared" si="11"/>
        <v>7387</v>
      </c>
      <c r="K183" s="12">
        <f>IF(Combinadas!$C183="electricity", Combinadas!$J183/6.6667,
IF(Combinadas!$C183="water", Combinadas!$J183/3.333,
IF(Combinadas!$C183="heat", Combinadas!$J183/0.8333, IF(Combinadas!$C183="waste",Combinadas!$J183/25,
"NA"))))</f>
        <v>1108.0444597777011</v>
      </c>
      <c r="L183" s="12">
        <f>Combinadas!$J183</f>
        <v>7387</v>
      </c>
      <c r="M183" s="12">
        <f>IF(Table4[[#This Row],[Type]]="waste", Table4[[#This Row],[Q_Tonnes]]/25, Table4[[#This Row],[CO2_Noduplicates]])</f>
        <v>1108.0444597777011</v>
      </c>
    </row>
    <row r="184" spans="1:13" x14ac:dyDescent="0.25">
      <c r="A184" s="12" t="s">
        <v>10</v>
      </c>
      <c r="B184" s="12" t="s">
        <v>10</v>
      </c>
      <c r="C184" s="12" t="s">
        <v>130</v>
      </c>
      <c r="D184" s="13">
        <v>44927</v>
      </c>
      <c r="E184" s="13">
        <v>45089</v>
      </c>
      <c r="F184" s="14">
        <v>132.86000000000001</v>
      </c>
      <c r="G184" s="15" t="s">
        <v>133</v>
      </c>
      <c r="H184" s="14">
        <v>39.861986198619867</v>
      </c>
      <c r="I184" s="12" t="str">
        <f t="shared" si="9"/>
        <v>Dcycle Factory SLDcycle Factory SLwater4492745089</v>
      </c>
      <c r="J184" s="12">
        <f t="shared" si="11"/>
        <v>132.86000000000001</v>
      </c>
      <c r="K184" s="12">
        <f>IF(Combinadas!$C184="electricity", Combinadas!$J184/6.6667,
IF(Combinadas!$C184="water", Combinadas!$J184/3.333,
IF(Combinadas!$C184="heat", Combinadas!$J184/0.8333, IF(Combinadas!$C184="waste",Combinadas!$J184/25,
"NA"))))</f>
        <v>39.861986198619867</v>
      </c>
      <c r="L184" s="12">
        <f>Combinadas!$J184</f>
        <v>132.86000000000001</v>
      </c>
      <c r="M184" s="12">
        <f>IF(Table4[[#This Row],[Type]]="waste", Table4[[#This Row],[Q_Tonnes]]/25, Table4[[#This Row],[CO2_Noduplicates]])</f>
        <v>39.861986198619867</v>
      </c>
    </row>
    <row r="185" spans="1:13" x14ac:dyDescent="0.25">
      <c r="A185" s="16" t="s">
        <v>10</v>
      </c>
      <c r="B185" s="16" t="s">
        <v>10</v>
      </c>
      <c r="C185" s="16" t="s">
        <v>130</v>
      </c>
      <c r="D185" s="17">
        <v>45090</v>
      </c>
      <c r="E185" s="17">
        <v>45111</v>
      </c>
      <c r="F185" s="18">
        <v>0</v>
      </c>
      <c r="G185" s="19" t="s">
        <v>133</v>
      </c>
      <c r="H185" s="18">
        <v>0</v>
      </c>
      <c r="I185" s="12" t="str">
        <f t="shared" si="9"/>
        <v>Dcycle Factory SLDcycle Factory SLwater4509045111</v>
      </c>
      <c r="J185" s="12">
        <f t="shared" si="11"/>
        <v>0</v>
      </c>
      <c r="K185" s="12">
        <f>IF(Combinadas!$C185="electricity", Combinadas!$J185/6.6667,
IF(Combinadas!$C185="water", Combinadas!$J185/3.333,
IF(Combinadas!$C185="heat", Combinadas!$J185/0.8333, IF(Combinadas!$C185="waste",Combinadas!$J185/25,
"NA"))))</f>
        <v>0</v>
      </c>
      <c r="L185" s="12">
        <f>Combinadas!$J185</f>
        <v>0</v>
      </c>
      <c r="M185" s="12">
        <f>IF(Table4[[#This Row],[Type]]="waste", Table4[[#This Row],[Q_Tonnes]]/25, Table4[[#This Row],[CO2_Noduplicates]])</f>
        <v>0</v>
      </c>
    </row>
    <row r="186" spans="1:13" x14ac:dyDescent="0.25">
      <c r="A186" s="12" t="s">
        <v>10</v>
      </c>
      <c r="B186" s="12" t="s">
        <v>10</v>
      </c>
      <c r="C186" s="12" t="s">
        <v>130</v>
      </c>
      <c r="D186" s="13">
        <v>45111</v>
      </c>
      <c r="E186" s="13">
        <v>45170</v>
      </c>
      <c r="F186" s="14">
        <v>0</v>
      </c>
      <c r="G186" s="15" t="s">
        <v>133</v>
      </c>
      <c r="H186" s="14">
        <v>0</v>
      </c>
      <c r="I186" s="12" t="str">
        <f t="shared" si="9"/>
        <v>Dcycle Factory SLDcycle Factory SLwater4511145170</v>
      </c>
      <c r="J186" s="12">
        <f t="shared" si="11"/>
        <v>0</v>
      </c>
      <c r="K186" s="12">
        <f>IF(Combinadas!$C186="electricity", Combinadas!$J186/6.6667,
IF(Combinadas!$C186="water", Combinadas!$J186/3.333,
IF(Combinadas!$C186="heat", Combinadas!$J186/0.8333, IF(Combinadas!$C186="waste",Combinadas!$J186/25,
"NA"))))</f>
        <v>0</v>
      </c>
      <c r="L186" s="12">
        <f>Combinadas!$J186</f>
        <v>0</v>
      </c>
      <c r="M186" s="12">
        <f>IF(Table4[[#This Row],[Type]]="waste", Table4[[#This Row],[Q_Tonnes]]/25, Table4[[#This Row],[CO2_Noduplicates]])</f>
        <v>0</v>
      </c>
    </row>
    <row r="187" spans="1:13" x14ac:dyDescent="0.25">
      <c r="A187" s="16" t="s">
        <v>10</v>
      </c>
      <c r="B187" s="16" t="s">
        <v>10</v>
      </c>
      <c r="C187" s="16" t="s">
        <v>130</v>
      </c>
      <c r="D187" s="17">
        <v>45170</v>
      </c>
      <c r="E187" s="17">
        <v>45230</v>
      </c>
      <c r="F187" s="18">
        <v>71</v>
      </c>
      <c r="G187" s="19" t="s">
        <v>133</v>
      </c>
      <c r="H187" s="18">
        <v>21.3021302130213</v>
      </c>
      <c r="I187" s="12" t="str">
        <f t="shared" si="9"/>
        <v>Dcycle Factory SLDcycle Factory SLwater4517045230</v>
      </c>
      <c r="J187" s="12">
        <f t="shared" si="11"/>
        <v>71</v>
      </c>
      <c r="K187" s="12">
        <f>IF(Combinadas!$C187="electricity", Combinadas!$J187/6.6667,
IF(Combinadas!$C187="water", Combinadas!$J187/3.333,
IF(Combinadas!$C187="heat", Combinadas!$J187/0.8333, IF(Combinadas!$C187="waste",Combinadas!$J187/25,
"NA"))))</f>
        <v>21.3021302130213</v>
      </c>
      <c r="L187" s="12">
        <f>Combinadas!$J187</f>
        <v>71</v>
      </c>
      <c r="M187" s="12">
        <f>IF(Table4[[#This Row],[Type]]="waste", Table4[[#This Row],[Q_Tonnes]]/25, Table4[[#This Row],[CO2_Noduplicates]])</f>
        <v>21.3021302130213</v>
      </c>
    </row>
    <row r="188" spans="1:13" x14ac:dyDescent="0.25">
      <c r="A188" s="12" t="s">
        <v>10</v>
      </c>
      <c r="B188" s="12" t="s">
        <v>10</v>
      </c>
      <c r="C188" s="12" t="s">
        <v>130</v>
      </c>
      <c r="D188" s="13">
        <v>45230</v>
      </c>
      <c r="E188" s="13">
        <v>45289</v>
      </c>
      <c r="F188" s="14">
        <v>115</v>
      </c>
      <c r="G188" s="15" t="s">
        <v>133</v>
      </c>
      <c r="H188" s="14">
        <v>34.503450345034501</v>
      </c>
      <c r="I188" s="12" t="str">
        <f t="shared" si="9"/>
        <v>Dcycle Factory SLDcycle Factory SLwater4523045289</v>
      </c>
      <c r="J188" s="12">
        <f t="shared" si="11"/>
        <v>115</v>
      </c>
      <c r="K188" s="12">
        <f>IF(Combinadas!$C188="electricity", Combinadas!$J188/6.6667,
IF(Combinadas!$C188="water", Combinadas!$J188/3.333,
IF(Combinadas!$C188="heat", Combinadas!$J188/0.8333, IF(Combinadas!$C188="waste",Combinadas!$J188/25,
"NA"))))</f>
        <v>34.503450345034501</v>
      </c>
      <c r="L188" s="12">
        <f>Combinadas!$J188</f>
        <v>115</v>
      </c>
      <c r="M188" s="12">
        <f>IF(Table4[[#This Row],[Type]]="waste", Table4[[#This Row],[Q_Tonnes]]/25, Table4[[#This Row],[CO2_Noduplicates]])</f>
        <v>34.503450345034501</v>
      </c>
    </row>
    <row r="189" spans="1:13" x14ac:dyDescent="0.25">
      <c r="A189" s="16" t="s">
        <v>11</v>
      </c>
      <c r="B189" s="16" t="s">
        <v>48</v>
      </c>
      <c r="C189" s="16" t="s">
        <v>130</v>
      </c>
      <c r="D189" s="17">
        <v>44562</v>
      </c>
      <c r="E189" s="17">
        <v>44926</v>
      </c>
      <c r="F189" s="18">
        <v>261</v>
      </c>
      <c r="G189" s="19" t="s">
        <v>133</v>
      </c>
      <c r="H189" s="18">
        <v>78.307830783078302</v>
      </c>
      <c r="I189" s="12" t="str">
        <f t="shared" si="9"/>
        <v>Dcycle Andina SASD - Bodega 1water4456244926</v>
      </c>
      <c r="J189" s="12">
        <f t="shared" si="11"/>
        <v>261</v>
      </c>
      <c r="K189" s="12">
        <f>IF(Combinadas!$C205="electricity", Combinadas!$J205/6.6667,
IF(Combinadas!$C205="water", Combinadas!$J205/3.333,
IF(Combinadas!$C205="heat", Combinadas!$J205/0.8333, IF(Combinadas!$C205="waste",Combinadas!$J205/25,
"NA"))))</f>
        <v>11.2</v>
      </c>
      <c r="L189" s="12">
        <f>Combinadas!$J205</f>
        <v>280</v>
      </c>
      <c r="M189" s="12">
        <f>IF(Table4[[#This Row],[Type]]="waste", Table4[[#This Row],[Q_Tonnes]]/25, Table4[[#This Row],[CO2_Noduplicates]])</f>
        <v>11.2</v>
      </c>
    </row>
    <row r="190" spans="1:13" x14ac:dyDescent="0.25">
      <c r="A190" s="12" t="s">
        <v>11</v>
      </c>
      <c r="B190" s="12" t="s">
        <v>48</v>
      </c>
      <c r="C190" s="16" t="s">
        <v>237</v>
      </c>
      <c r="D190" s="17">
        <v>44562</v>
      </c>
      <c r="E190" s="17">
        <v>44926</v>
      </c>
      <c r="F190" s="14">
        <v>1</v>
      </c>
      <c r="G190" s="19" t="s">
        <v>232</v>
      </c>
      <c r="H190" s="14">
        <v>0.04</v>
      </c>
      <c r="I190" s="12" t="str">
        <f t="shared" si="9"/>
        <v>Dcycle Andina SASD - Bodega 1waste4456244926</v>
      </c>
      <c r="J190" s="12">
        <f>data_waste!L4</f>
        <v>1</v>
      </c>
      <c r="K190" s="12">
        <f>IF(Combinadas!$C439="electricity", Combinadas!$J439/6.6667,
IF(Combinadas!$C439="water", Combinadas!$J439/3.333,
IF(Combinadas!$C439="heat", Combinadas!$J439/0.8333, IF(Combinadas!$C439="waste",Combinadas!$J439/25,
"NA"))))</f>
        <v>1.92</v>
      </c>
      <c r="L190" s="12">
        <f>data_waste!M4</f>
        <v>1000</v>
      </c>
      <c r="M190" s="12">
        <f>IF(Table4[[#This Row],[Type]]="waste", Table4[[#This Row],[Q_Tonnes]]/25, Table4[[#This Row],[CO2_Noduplicates]])</f>
        <v>40</v>
      </c>
    </row>
    <row r="191" spans="1:13" x14ac:dyDescent="0.25">
      <c r="A191" s="12" t="s">
        <v>11</v>
      </c>
      <c r="B191" s="12" t="s">
        <v>48</v>
      </c>
      <c r="C191" s="12" t="s">
        <v>237</v>
      </c>
      <c r="D191" s="13">
        <v>44562</v>
      </c>
      <c r="E191" s="13">
        <v>44926</v>
      </c>
      <c r="F191" s="14">
        <v>1496</v>
      </c>
      <c r="G191" s="15" t="s">
        <v>232</v>
      </c>
      <c r="H191" s="14">
        <v>59.84</v>
      </c>
      <c r="I191" s="12" t="str">
        <f t="shared" si="9"/>
        <v>Dcycle Andina SASD - Bodega 1waste4456244926</v>
      </c>
      <c r="J191" s="12">
        <f>data_waste!L35</f>
        <v>1496</v>
      </c>
      <c r="K191" s="12">
        <f>IF(Combinadas!$C470="electricity", Combinadas!$J470/6.6667,
IF(Combinadas!$C470="water", Combinadas!$J470/3.333,
IF(Combinadas!$C470="heat", Combinadas!$J470/0.8333, IF(Combinadas!$C470="waste",Combinadas!$J470/25,
"NA"))))</f>
        <v>20.6</v>
      </c>
      <c r="L191" s="12">
        <f>data_waste!M35</f>
        <v>1496000</v>
      </c>
      <c r="M191" s="12">
        <f>IF(Table4[[#This Row],[Type]]="waste", Table4[[#This Row],[Q_Tonnes]]/25, Table4[[#This Row],[CO2_Noduplicates]])</f>
        <v>59840</v>
      </c>
    </row>
    <row r="192" spans="1:13" x14ac:dyDescent="0.25">
      <c r="A192" s="12" t="s">
        <v>11</v>
      </c>
      <c r="B192" s="12" t="s">
        <v>48</v>
      </c>
      <c r="C192" s="16" t="s">
        <v>237</v>
      </c>
      <c r="D192" s="17">
        <v>44562</v>
      </c>
      <c r="E192" s="17">
        <v>44926</v>
      </c>
      <c r="F192" s="14">
        <v>3633</v>
      </c>
      <c r="G192" s="19" t="s">
        <v>232</v>
      </c>
      <c r="H192" s="14">
        <v>145.32</v>
      </c>
      <c r="I192" s="12" t="str">
        <f t="shared" si="9"/>
        <v>Dcycle Andina SASD - Bodega 1waste4456244926</v>
      </c>
      <c r="J192" s="12">
        <f>data_waste!L36</f>
        <v>3633</v>
      </c>
      <c r="K192" s="12">
        <f>IF(Combinadas!$C471="electricity", Combinadas!$J471/6.6667,
IF(Combinadas!$C471="water", Combinadas!$J471/3.333,
IF(Combinadas!$C471="heat", Combinadas!$J471/0.8333, IF(Combinadas!$C471="waste",Combinadas!$J471/25,
"NA"))))</f>
        <v>258.14870925645374</v>
      </c>
      <c r="L192" s="12">
        <f>data_waste!M36</f>
        <v>3633000</v>
      </c>
      <c r="M192" s="12">
        <f>IF(Table4[[#This Row],[Type]]="waste", Table4[[#This Row],[Q_Tonnes]]/25, Table4[[#This Row],[CO2_Noduplicates]])</f>
        <v>145320</v>
      </c>
    </row>
    <row r="193" spans="1:13" x14ac:dyDescent="0.25">
      <c r="A193" s="12" t="s">
        <v>11</v>
      </c>
      <c r="B193" s="12" t="s">
        <v>48</v>
      </c>
      <c r="C193" s="12" t="s">
        <v>237</v>
      </c>
      <c r="D193" s="13">
        <v>44562</v>
      </c>
      <c r="E193" s="13">
        <v>44926</v>
      </c>
      <c r="F193" s="14">
        <v>17600</v>
      </c>
      <c r="G193" s="15" t="s">
        <v>232</v>
      </c>
      <c r="H193" s="14">
        <v>704</v>
      </c>
      <c r="I193" s="12" t="str">
        <f t="shared" si="9"/>
        <v>Dcycle Andina SASD - Bodega 1waste4456244926</v>
      </c>
      <c r="J193" s="12">
        <f>data_waste!L37</f>
        <v>17600</v>
      </c>
      <c r="K193" s="12">
        <f>IF(Combinadas!$C472="electricity", Combinadas!$J472/6.6667,
IF(Combinadas!$C472="water", Combinadas!$J472/3.333,
IF(Combinadas!$C472="heat", Combinadas!$J472/0.8333, IF(Combinadas!$C472="waste",Combinadas!$J472/25,
"NA"))))</f>
        <v>41.249793751031248</v>
      </c>
      <c r="L193" s="12">
        <f>data_waste!M37</f>
        <v>17600000</v>
      </c>
      <c r="M193" s="12">
        <f>IF(Table4[[#This Row],[Type]]="waste", Table4[[#This Row],[Q_Tonnes]]/25, Table4[[#This Row],[CO2_Noduplicates]])</f>
        <v>704000</v>
      </c>
    </row>
    <row r="194" spans="1:13" x14ac:dyDescent="0.25">
      <c r="A194" s="12" t="s">
        <v>11</v>
      </c>
      <c r="B194" s="12" t="s">
        <v>53</v>
      </c>
      <c r="C194" s="12" t="s">
        <v>130</v>
      </c>
      <c r="D194" s="13">
        <v>44866</v>
      </c>
      <c r="E194" s="13">
        <v>44895</v>
      </c>
      <c r="F194" s="14">
        <v>5</v>
      </c>
      <c r="G194" s="15" t="s">
        <v>133</v>
      </c>
      <c r="H194" s="14">
        <v>1.5001500150015001</v>
      </c>
      <c r="I194" s="12" t="str">
        <f t="shared" ref="I194:I257" si="12">A194&amp;B194&amp;C194&amp;D194&amp;E194</f>
        <v>Dcycle Andina SASD - Bodega 2 (almacén)water4486644895</v>
      </c>
      <c r="J194" s="12">
        <f t="shared" ref="J194:J199" si="13">IF(F194=_xlfn.MAXIFS(F:F, I:I, I194), F194, 0)</f>
        <v>5</v>
      </c>
      <c r="K194" s="12">
        <f>IF(Combinadas!$C230="electricity", Combinadas!$J230/6.6667,
IF(Combinadas!$C230="water", Combinadas!$J230/3.333,
IF(Combinadas!$C230="heat", Combinadas!$J230/0.8333, IF(Combinadas!$C230="waste",Combinadas!$J230/25,
"NA"))))</f>
        <v>1.68</v>
      </c>
      <c r="L194" s="12">
        <f>Combinadas!$J230</f>
        <v>42</v>
      </c>
      <c r="M194" s="12">
        <f>IF(Table4[[#This Row],[Type]]="waste", Table4[[#This Row],[Q_Tonnes]]/25, Table4[[#This Row],[CO2_Noduplicates]])</f>
        <v>1.68</v>
      </c>
    </row>
    <row r="195" spans="1:13" x14ac:dyDescent="0.25">
      <c r="A195" s="16" t="s">
        <v>11</v>
      </c>
      <c r="B195" s="16" t="s">
        <v>53</v>
      </c>
      <c r="C195" s="16" t="s">
        <v>130</v>
      </c>
      <c r="D195" s="17">
        <v>44896</v>
      </c>
      <c r="E195" s="17">
        <v>44926</v>
      </c>
      <c r="F195" s="18">
        <v>4</v>
      </c>
      <c r="G195" s="19" t="s">
        <v>133</v>
      </c>
      <c r="H195" s="18">
        <v>1.2001200120012001</v>
      </c>
      <c r="I195" s="12" t="str">
        <f t="shared" si="12"/>
        <v>Dcycle Andina SASD - Bodega 2 (almacén)water4489644926</v>
      </c>
      <c r="J195" s="12">
        <f t="shared" si="13"/>
        <v>4</v>
      </c>
      <c r="K195" s="12">
        <f>IF(Combinadas!$C231="electricity", Combinadas!$J231/6.6667,
IF(Combinadas!$C231="water", Combinadas!$J231/3.333,
IF(Combinadas!$C231="heat", Combinadas!$J231/0.8333, IF(Combinadas!$C231="waste",Combinadas!$J231/25,
"NA"))))</f>
        <v>14.08</v>
      </c>
      <c r="L195" s="12">
        <f>Combinadas!$J231</f>
        <v>352</v>
      </c>
      <c r="M195" s="12">
        <f>IF(Table4[[#This Row],[Type]]="waste", Table4[[#This Row],[Q_Tonnes]]/25, Table4[[#This Row],[CO2_Noduplicates]])</f>
        <v>14.08</v>
      </c>
    </row>
    <row r="196" spans="1:13" x14ac:dyDescent="0.25">
      <c r="A196" s="16" t="s">
        <v>11</v>
      </c>
      <c r="B196" s="16" t="s">
        <v>48</v>
      </c>
      <c r="C196" s="16" t="s">
        <v>128</v>
      </c>
      <c r="D196" s="17">
        <v>44900</v>
      </c>
      <c r="E196" s="17">
        <v>44930</v>
      </c>
      <c r="F196" s="18">
        <v>1066</v>
      </c>
      <c r="G196" s="19" t="s">
        <v>129</v>
      </c>
      <c r="H196" s="18">
        <v>159.89920050399749</v>
      </c>
      <c r="I196" s="12" t="str">
        <f t="shared" si="12"/>
        <v>Dcycle Andina SASD - Bodega 1electricity4490044930</v>
      </c>
      <c r="J196" s="12">
        <f t="shared" si="13"/>
        <v>1066</v>
      </c>
      <c r="K196" s="12">
        <f>IF(Combinadas!$C189="electricity", Combinadas!$J189/6.6667,
IF(Combinadas!$C189="water", Combinadas!$J189/3.333,
IF(Combinadas!$C189="heat", Combinadas!$J189/0.8333, IF(Combinadas!$C189="waste",Combinadas!$J189/25,
"NA"))))</f>
        <v>78.307830783078302</v>
      </c>
      <c r="L196" s="12">
        <f>Combinadas!$J189</f>
        <v>261</v>
      </c>
      <c r="M196" s="12">
        <f>IF(Table4[[#This Row],[Type]]="waste", Table4[[#This Row],[Q_Tonnes]]/25, Table4[[#This Row],[CO2_Noduplicates]])</f>
        <v>78.307830783078302</v>
      </c>
    </row>
    <row r="197" spans="1:13" x14ac:dyDescent="0.25">
      <c r="A197" s="16" t="s">
        <v>11</v>
      </c>
      <c r="B197" s="16" t="s">
        <v>53</v>
      </c>
      <c r="C197" s="16" t="s">
        <v>128</v>
      </c>
      <c r="D197" s="17">
        <v>44900</v>
      </c>
      <c r="E197" s="17">
        <v>44930</v>
      </c>
      <c r="F197" s="18">
        <v>360</v>
      </c>
      <c r="G197" s="19" t="s">
        <v>129</v>
      </c>
      <c r="H197" s="18">
        <v>53.999730001349995</v>
      </c>
      <c r="I197" s="12" t="str">
        <f t="shared" si="12"/>
        <v>Dcycle Andina SASD - Bodega 2 (almacén)electricity4490044930</v>
      </c>
      <c r="J197" s="12">
        <f t="shared" si="13"/>
        <v>360</v>
      </c>
      <c r="K197" s="12">
        <f>IF(Combinadas!$C217="electricity", Combinadas!$J217/6.6667,
IF(Combinadas!$C217="water", Combinadas!$J217/3.333,
IF(Combinadas!$C217="heat", Combinadas!$J217/0.8333, IF(Combinadas!$C217="waste",Combinadas!$J217/25,
"NA"))))</f>
        <v>59.249703751481249</v>
      </c>
      <c r="L197" s="12">
        <f>Combinadas!$J217</f>
        <v>395</v>
      </c>
      <c r="M197" s="12">
        <f>IF(Table4[[#This Row],[Type]]="waste", Table4[[#This Row],[Q_Tonnes]]/25, Table4[[#This Row],[CO2_Noduplicates]])</f>
        <v>59.249703751481249</v>
      </c>
    </row>
    <row r="198" spans="1:13" x14ac:dyDescent="0.25">
      <c r="A198" s="12" t="s">
        <v>11</v>
      </c>
      <c r="B198" s="12" t="s">
        <v>48</v>
      </c>
      <c r="C198" s="12" t="s">
        <v>130</v>
      </c>
      <c r="D198" s="13">
        <v>44927</v>
      </c>
      <c r="E198" s="13">
        <v>44957</v>
      </c>
      <c r="F198" s="14">
        <v>9</v>
      </c>
      <c r="G198" s="15" t="s">
        <v>133</v>
      </c>
      <c r="H198" s="14">
        <v>2.7002700270027002</v>
      </c>
      <c r="I198" s="12" t="str">
        <f t="shared" si="12"/>
        <v>Dcycle Andina SASD - Bodega 1water4492744957</v>
      </c>
      <c r="J198" s="12">
        <f t="shared" si="13"/>
        <v>9</v>
      </c>
      <c r="K198" s="12">
        <f>IF(Combinadas!$C206="electricity", Combinadas!$J206/6.6667,
IF(Combinadas!$C206="water", Combinadas!$J206/3.333,
IF(Combinadas!$C206="heat", Combinadas!$J206/0.8333, IF(Combinadas!$C206="waste",Combinadas!$J206/25,
"NA"))))</f>
        <v>3.0003000300030003</v>
      </c>
      <c r="L198" s="12">
        <f>Combinadas!$J206</f>
        <v>10</v>
      </c>
      <c r="M198" s="12">
        <f>IF(Table4[[#This Row],[Type]]="waste", Table4[[#This Row],[Q_Tonnes]]/25, Table4[[#This Row],[CO2_Noduplicates]])</f>
        <v>3.0003000300030003</v>
      </c>
    </row>
    <row r="199" spans="1:13" x14ac:dyDescent="0.25">
      <c r="A199" s="12" t="s">
        <v>11</v>
      </c>
      <c r="B199" s="12" t="s">
        <v>53</v>
      </c>
      <c r="C199" s="12" t="s">
        <v>130</v>
      </c>
      <c r="D199" s="13">
        <v>44927</v>
      </c>
      <c r="E199" s="13">
        <v>44957</v>
      </c>
      <c r="F199" s="14">
        <v>7</v>
      </c>
      <c r="G199" s="15" t="s">
        <v>133</v>
      </c>
      <c r="H199" s="14">
        <v>2.1002100210021002</v>
      </c>
      <c r="I199" s="12" t="str">
        <f t="shared" si="12"/>
        <v>Dcycle Andina SASD - Bodega 2 (almacén)water4492744957</v>
      </c>
      <c r="J199" s="12">
        <f t="shared" si="13"/>
        <v>7</v>
      </c>
      <c r="K199" s="12">
        <f>IF(Combinadas!$C232="electricity", Combinadas!$J232/6.6667,
IF(Combinadas!$C232="water", Combinadas!$J232/3.333,
IF(Combinadas!$C232="heat", Combinadas!$J232/0.8333, IF(Combinadas!$C232="waste",Combinadas!$J232/25,
"NA"))))</f>
        <v>212.998935005325</v>
      </c>
      <c r="L199" s="12">
        <f>Combinadas!$J232</f>
        <v>1420</v>
      </c>
      <c r="M199" s="12">
        <f>IF(Table4[[#This Row],[Type]]="waste", Table4[[#This Row],[Q_Tonnes]]/25, Table4[[#This Row],[CO2_Noduplicates]])</f>
        <v>212.998935005325</v>
      </c>
    </row>
    <row r="200" spans="1:13" x14ac:dyDescent="0.25">
      <c r="A200" s="12" t="s">
        <v>11</v>
      </c>
      <c r="B200" s="12" t="s">
        <v>53</v>
      </c>
      <c r="C200" s="16" t="s">
        <v>237</v>
      </c>
      <c r="D200" s="17">
        <v>44927</v>
      </c>
      <c r="E200" s="17">
        <v>44957</v>
      </c>
      <c r="F200" s="14">
        <v>42</v>
      </c>
      <c r="G200" s="19" t="s">
        <v>232</v>
      </c>
      <c r="H200" s="14">
        <v>1.68</v>
      </c>
      <c r="I200" s="12" t="str">
        <f t="shared" si="12"/>
        <v>Dcycle Andina SASD - Bodega 2 (almacén)waste4492744957</v>
      </c>
      <c r="J200" s="12">
        <f>data_waste!L12</f>
        <v>42</v>
      </c>
      <c r="K200" s="12">
        <f>IF(Combinadas!$C447="electricity", Combinadas!$J447/6.6667,
IF(Combinadas!$C447="water", Combinadas!$J447/3.333,
IF(Combinadas!$C447="heat", Combinadas!$J447/0.8333, IF(Combinadas!$C447="waste",Combinadas!$J447/25,
"NA"))))</f>
        <v>1.6</v>
      </c>
      <c r="L200" s="12">
        <f>data_waste!M12</f>
        <v>42000</v>
      </c>
      <c r="M200" s="12">
        <f>IF(Table4[[#This Row],[Type]]="waste", Table4[[#This Row],[Q_Tonnes]]/25, Table4[[#This Row],[CO2_Noduplicates]])</f>
        <v>1680</v>
      </c>
    </row>
    <row r="201" spans="1:13" x14ac:dyDescent="0.25">
      <c r="A201" s="12" t="s">
        <v>11</v>
      </c>
      <c r="B201" s="12" t="s">
        <v>53</v>
      </c>
      <c r="C201" s="16" t="s">
        <v>237</v>
      </c>
      <c r="D201" s="17">
        <v>44927</v>
      </c>
      <c r="E201" s="17">
        <v>44957</v>
      </c>
      <c r="F201" s="14">
        <v>208</v>
      </c>
      <c r="G201" s="19" t="s">
        <v>232</v>
      </c>
      <c r="H201" s="14">
        <v>8.32</v>
      </c>
      <c r="I201" s="12" t="str">
        <f t="shared" si="12"/>
        <v>Dcycle Andina SASD - Bodega 2 (almacén)waste4492744957</v>
      </c>
      <c r="J201" s="12">
        <f>data_waste!L24</f>
        <v>208</v>
      </c>
      <c r="K201" s="12">
        <f>IF(Combinadas!$C459="electricity", Combinadas!$J459/6.6667,
IF(Combinadas!$C459="water", Combinadas!$J459/3.333,
IF(Combinadas!$C459="heat", Combinadas!$J459/0.8333, IF(Combinadas!$C459="waste",Combinadas!$J459/25,
"NA"))))</f>
        <v>1.5001500150015001</v>
      </c>
      <c r="L201" s="12">
        <f>data_waste!M24</f>
        <v>208000</v>
      </c>
      <c r="M201" s="12">
        <f>IF(Table4[[#This Row],[Type]]="waste", Table4[[#This Row],[Q_Tonnes]]/25, Table4[[#This Row],[CO2_Noduplicates]])</f>
        <v>8320</v>
      </c>
    </row>
    <row r="202" spans="1:13" x14ac:dyDescent="0.25">
      <c r="A202" s="12" t="s">
        <v>11</v>
      </c>
      <c r="B202" s="12" t="s">
        <v>53</v>
      </c>
      <c r="C202" s="16" t="s">
        <v>237</v>
      </c>
      <c r="D202" s="17">
        <v>44927</v>
      </c>
      <c r="E202" s="17">
        <v>44957</v>
      </c>
      <c r="F202" s="14">
        <v>335</v>
      </c>
      <c r="G202" s="19" t="s">
        <v>232</v>
      </c>
      <c r="H202" s="14">
        <v>13.4</v>
      </c>
      <c r="I202" s="12" t="str">
        <f t="shared" si="12"/>
        <v>Dcycle Andina SASD - Bodega 2 (almacén)waste4492744957</v>
      </c>
      <c r="J202" s="12">
        <f>data_waste!L28</f>
        <v>335</v>
      </c>
      <c r="K202" s="12">
        <f>IF(Combinadas!$C463="electricity", Combinadas!$J463/6.6667,
IF(Combinadas!$C463="water", Combinadas!$J463/3.333,
IF(Combinadas!$C463="heat", Combinadas!$J463/0.8333, IF(Combinadas!$C463="waste",Combinadas!$J463/25,
"NA"))))</f>
        <v>0.44</v>
      </c>
      <c r="L202" s="12">
        <f>data_waste!M28</f>
        <v>335000</v>
      </c>
      <c r="M202" s="12">
        <f>IF(Table4[[#This Row],[Type]]="waste", Table4[[#This Row],[Q_Tonnes]]/25, Table4[[#This Row],[CO2_Noduplicates]])</f>
        <v>13400</v>
      </c>
    </row>
    <row r="203" spans="1:13" x14ac:dyDescent="0.25">
      <c r="A203" s="12" t="s">
        <v>11</v>
      </c>
      <c r="B203" s="12" t="s">
        <v>48</v>
      </c>
      <c r="C203" s="12" t="s">
        <v>128</v>
      </c>
      <c r="D203" s="13">
        <v>44931</v>
      </c>
      <c r="E203" s="13">
        <v>44959</v>
      </c>
      <c r="F203" s="14">
        <v>1195</v>
      </c>
      <c r="G203" s="15" t="s">
        <v>129</v>
      </c>
      <c r="H203" s="14">
        <v>179.24910375448124</v>
      </c>
      <c r="I203" s="12" t="str">
        <f t="shared" si="12"/>
        <v>Dcycle Andina SASD - Bodega 1electricity4493144959</v>
      </c>
      <c r="J203" s="12">
        <f>IF(F203=_xlfn.MAXIFS(F:F, I:I, I203), F203, 0)</f>
        <v>1195</v>
      </c>
      <c r="K203" s="12">
        <f>IF(Combinadas!$C190="electricity", Combinadas!$J190/6.6667,
IF(Combinadas!$C190="water", Combinadas!$J190/3.333,
IF(Combinadas!$C190="heat", Combinadas!$J190/0.8333, IF(Combinadas!$C190="waste",Combinadas!$J190/25,
"NA"))))</f>
        <v>0.04</v>
      </c>
      <c r="L203" s="12">
        <f>Combinadas!$J190</f>
        <v>1</v>
      </c>
      <c r="M203" s="12">
        <f>IF(Table4[[#This Row],[Type]]="waste", Table4[[#This Row],[Q_Tonnes]]/25, Table4[[#This Row],[CO2_Noduplicates]])</f>
        <v>0.04</v>
      </c>
    </row>
    <row r="204" spans="1:13" x14ac:dyDescent="0.25">
      <c r="A204" s="12" t="s">
        <v>11</v>
      </c>
      <c r="B204" s="12" t="s">
        <v>53</v>
      </c>
      <c r="C204" s="12" t="s">
        <v>128</v>
      </c>
      <c r="D204" s="13">
        <v>44931</v>
      </c>
      <c r="E204" s="13">
        <v>44959</v>
      </c>
      <c r="F204" s="14">
        <v>340</v>
      </c>
      <c r="G204" s="15" t="s">
        <v>129</v>
      </c>
      <c r="H204" s="14">
        <v>50.999745001274995</v>
      </c>
      <c r="I204" s="12" t="str">
        <f t="shared" si="12"/>
        <v>Dcycle Andina SASD - Bodega 2 (almacén)electricity4493144959</v>
      </c>
      <c r="J204" s="12">
        <f>IF(F204=_xlfn.MAXIFS(F:F, I:I, I204), F204, 0)</f>
        <v>340</v>
      </c>
      <c r="K204" s="12">
        <f>IF(Combinadas!$C218="electricity", Combinadas!$J218/6.6667,
IF(Combinadas!$C218="water", Combinadas!$J218/3.333,
IF(Combinadas!$C218="heat", Combinadas!$J218/0.8333, IF(Combinadas!$C218="waste",Combinadas!$J218/25,
"NA"))))</f>
        <v>2.7002700270027002</v>
      </c>
      <c r="L204" s="12">
        <f>Combinadas!$J218</f>
        <v>9</v>
      </c>
      <c r="M204" s="12">
        <f>IF(Table4[[#This Row],[Type]]="waste", Table4[[#This Row],[Q_Tonnes]]/25, Table4[[#This Row],[CO2_Noduplicates]])</f>
        <v>2.7002700270027002</v>
      </c>
    </row>
    <row r="205" spans="1:13" x14ac:dyDescent="0.25">
      <c r="A205" s="12" t="s">
        <v>11</v>
      </c>
      <c r="B205" s="12" t="s">
        <v>53</v>
      </c>
      <c r="C205" s="16" t="s">
        <v>237</v>
      </c>
      <c r="D205" s="17">
        <v>44958</v>
      </c>
      <c r="E205" s="17">
        <v>44983</v>
      </c>
      <c r="F205" s="14">
        <v>280</v>
      </c>
      <c r="G205" s="19" t="s">
        <v>232</v>
      </c>
      <c r="H205" s="14">
        <v>11.2</v>
      </c>
      <c r="I205" s="12" t="str">
        <f t="shared" si="12"/>
        <v>Dcycle Andina SASD - Bodega 2 (almacén)waste4495844983</v>
      </c>
      <c r="J205" s="12">
        <f>data_waste!L26</f>
        <v>280</v>
      </c>
      <c r="K205" s="12">
        <f>IF(Combinadas!$C461="electricity", Combinadas!$J461/6.6667,
IF(Combinadas!$C461="water", Combinadas!$J461/3.333,
IF(Combinadas!$C461="heat", Combinadas!$J461/0.8333, IF(Combinadas!$C461="waste",Combinadas!$J461/25,
"NA"))))</f>
        <v>0.21199999999999999</v>
      </c>
      <c r="L205" s="12">
        <f>data_waste!M26</f>
        <v>280000</v>
      </c>
      <c r="M205" s="12">
        <f>IF(Table4[[#This Row],[Type]]="waste", Table4[[#This Row],[Q_Tonnes]]/25, Table4[[#This Row],[CO2_Noduplicates]])</f>
        <v>11200</v>
      </c>
    </row>
    <row r="206" spans="1:13" x14ac:dyDescent="0.25">
      <c r="A206" s="16" t="s">
        <v>11</v>
      </c>
      <c r="B206" s="16" t="s">
        <v>48</v>
      </c>
      <c r="C206" s="16" t="s">
        <v>130</v>
      </c>
      <c r="D206" s="17">
        <v>44958</v>
      </c>
      <c r="E206" s="17">
        <v>44985</v>
      </c>
      <c r="F206" s="18">
        <v>10</v>
      </c>
      <c r="G206" s="19" t="s">
        <v>133</v>
      </c>
      <c r="H206" s="18">
        <v>3.0003000300030003</v>
      </c>
      <c r="I206" s="12" t="str">
        <f t="shared" si="12"/>
        <v>Dcycle Andina SASD - Bodega 1water4495844985</v>
      </c>
      <c r="J206" s="12">
        <f>IF(F206=_xlfn.MAXIFS(F:F, I:I, I206), F206, 0)</f>
        <v>10</v>
      </c>
      <c r="K206" s="12">
        <f>IF(Combinadas!$C207="electricity", Combinadas!$J207/6.6667,
IF(Combinadas!$C207="water", Combinadas!$J207/3.333,
IF(Combinadas!$C207="heat", Combinadas!$J207/0.8333, IF(Combinadas!$C207="waste",Combinadas!$J207/25,
"NA"))))</f>
        <v>1.5001500150015001</v>
      </c>
      <c r="L206" s="12">
        <f>Combinadas!$J207</f>
        <v>5</v>
      </c>
      <c r="M206" s="12">
        <f>IF(Table4[[#This Row],[Type]]="waste", Table4[[#This Row],[Q_Tonnes]]/25, Table4[[#This Row],[CO2_Noduplicates]])</f>
        <v>1.5001500150015001</v>
      </c>
    </row>
    <row r="207" spans="1:13" x14ac:dyDescent="0.25">
      <c r="A207" s="16" t="s">
        <v>11</v>
      </c>
      <c r="B207" s="16" t="s">
        <v>53</v>
      </c>
      <c r="C207" s="16" t="s">
        <v>130</v>
      </c>
      <c r="D207" s="17">
        <v>44958</v>
      </c>
      <c r="E207" s="17">
        <v>44985</v>
      </c>
      <c r="F207" s="18">
        <v>5</v>
      </c>
      <c r="G207" s="19" t="s">
        <v>133</v>
      </c>
      <c r="H207" s="18">
        <v>1.5001500150015001</v>
      </c>
      <c r="I207" s="12" t="str">
        <f t="shared" si="12"/>
        <v>Dcycle Andina SASD - Bodega 2 (almacén)water4495844985</v>
      </c>
      <c r="J207" s="12">
        <f>IF(F207=_xlfn.MAXIFS(F:F, I:I, I207), F207, 0)</f>
        <v>5</v>
      </c>
      <c r="K207" s="12">
        <f>IF(Combinadas!$C233="electricity", Combinadas!$J233/6.6667,
IF(Combinadas!$C233="water", Combinadas!$J233/3.333,
IF(Combinadas!$C233="heat", Combinadas!$J233/0.8333, IF(Combinadas!$C233="waste",Combinadas!$J233/25,
"NA"))))</f>
        <v>50.999745001274995</v>
      </c>
      <c r="L207" s="12">
        <f>Combinadas!$J233</f>
        <v>340</v>
      </c>
      <c r="M207" s="12">
        <f>IF(Table4[[#This Row],[Type]]="waste", Table4[[#This Row],[Q_Tonnes]]/25, Table4[[#This Row],[CO2_Noduplicates]])</f>
        <v>50.999745001274995</v>
      </c>
    </row>
    <row r="208" spans="1:13" x14ac:dyDescent="0.25">
      <c r="A208" s="12" t="s">
        <v>11</v>
      </c>
      <c r="B208" s="12" t="s">
        <v>53</v>
      </c>
      <c r="C208" s="16" t="s">
        <v>237</v>
      </c>
      <c r="D208" s="17">
        <v>44958</v>
      </c>
      <c r="E208" s="17">
        <v>44985</v>
      </c>
      <c r="F208" s="14">
        <v>15</v>
      </c>
      <c r="G208" s="19" t="s">
        <v>232</v>
      </c>
      <c r="H208" s="14">
        <v>0.6</v>
      </c>
      <c r="I208" s="12" t="str">
        <f t="shared" si="12"/>
        <v>Dcycle Andina SASD - Bodega 2 (almacén)waste4495844985</v>
      </c>
      <c r="J208" s="12">
        <f>data_waste!L10</f>
        <v>15</v>
      </c>
      <c r="K208" s="12">
        <f>IF(Combinadas!$C445="electricity", Combinadas!$J445/6.6667,
IF(Combinadas!$C445="water", Combinadas!$J445/3.333,
IF(Combinadas!$C445="heat", Combinadas!$J445/0.8333, IF(Combinadas!$C445="waste",Combinadas!$J445/25,
"NA"))))</f>
        <v>3.9003900390039004</v>
      </c>
      <c r="L208" s="12">
        <f>data_waste!M10</f>
        <v>15000</v>
      </c>
      <c r="M208" s="12">
        <f>IF(Table4[[#This Row],[Type]]="waste", Table4[[#This Row],[Q_Tonnes]]/25, Table4[[#This Row],[CO2_Noduplicates]])</f>
        <v>600</v>
      </c>
    </row>
    <row r="209" spans="1:13" x14ac:dyDescent="0.25">
      <c r="A209" s="12" t="s">
        <v>11</v>
      </c>
      <c r="B209" s="12" t="s">
        <v>53</v>
      </c>
      <c r="C209" s="16" t="s">
        <v>237</v>
      </c>
      <c r="D209" s="13">
        <v>44958</v>
      </c>
      <c r="E209" s="13">
        <v>44985</v>
      </c>
      <c r="F209" s="14">
        <v>60</v>
      </c>
      <c r="G209" s="15" t="s">
        <v>232</v>
      </c>
      <c r="H209" s="14">
        <v>2.4</v>
      </c>
      <c r="I209" s="12" t="str">
        <f t="shared" si="12"/>
        <v>Dcycle Andina SASD - Bodega 2 (almacén)waste4495844985</v>
      </c>
      <c r="J209" s="12">
        <f>data_waste!L17</f>
        <v>60</v>
      </c>
      <c r="K209" s="12">
        <f>IF(Combinadas!$C452="electricity", Combinadas!$J452/6.6667,
IF(Combinadas!$C452="water", Combinadas!$J452/3.333,
IF(Combinadas!$C452="heat", Combinadas!$J452/0.8333, IF(Combinadas!$C452="waste",Combinadas!$J452/25,
"NA"))))</f>
        <v>25.8</v>
      </c>
      <c r="L209" s="12">
        <f>data_waste!M17</f>
        <v>60000</v>
      </c>
      <c r="M209" s="12">
        <f>IF(Table4[[#This Row],[Type]]="waste", Table4[[#This Row],[Q_Tonnes]]/25, Table4[[#This Row],[CO2_Noduplicates]])</f>
        <v>2400</v>
      </c>
    </row>
    <row r="210" spans="1:13" x14ac:dyDescent="0.25">
      <c r="A210" s="16" t="s">
        <v>11</v>
      </c>
      <c r="B210" s="16" t="s">
        <v>48</v>
      </c>
      <c r="C210" s="16" t="s">
        <v>128</v>
      </c>
      <c r="D210" s="17">
        <v>44960</v>
      </c>
      <c r="E210" s="17">
        <v>44989</v>
      </c>
      <c r="F210" s="18">
        <v>1511</v>
      </c>
      <c r="G210" s="19" t="s">
        <v>129</v>
      </c>
      <c r="H210" s="18">
        <v>226.64886675566623</v>
      </c>
      <c r="I210" s="12" t="str">
        <f t="shared" si="12"/>
        <v>Dcycle Andina SASD - Bodega 1electricity4496044989</v>
      </c>
      <c r="J210" s="12">
        <f>IF(F210=_xlfn.MAXIFS(F:F, I:I, I210), F210, 0)</f>
        <v>1511</v>
      </c>
      <c r="K210" s="12">
        <f>IF(Combinadas!$C191="electricity", Combinadas!$J191/6.6667,
IF(Combinadas!$C191="water", Combinadas!$J191/3.333,
IF(Combinadas!$C191="heat", Combinadas!$J191/0.8333, IF(Combinadas!$C191="waste",Combinadas!$J191/25,
"NA"))))</f>
        <v>59.84</v>
      </c>
      <c r="L210" s="12">
        <f>Combinadas!$J191</f>
        <v>1496</v>
      </c>
      <c r="M210" s="12">
        <f>IF(Table4[[#This Row],[Type]]="waste", Table4[[#This Row],[Q_Tonnes]]/25, Table4[[#This Row],[CO2_Noduplicates]])</f>
        <v>59.84</v>
      </c>
    </row>
    <row r="211" spans="1:13" x14ac:dyDescent="0.25">
      <c r="A211" s="16" t="s">
        <v>11</v>
      </c>
      <c r="B211" s="16" t="s">
        <v>53</v>
      </c>
      <c r="C211" s="16" t="s">
        <v>128</v>
      </c>
      <c r="D211" s="17">
        <v>44960</v>
      </c>
      <c r="E211" s="17">
        <v>44989</v>
      </c>
      <c r="F211" s="18">
        <v>364</v>
      </c>
      <c r="G211" s="19" t="s">
        <v>129</v>
      </c>
      <c r="H211" s="18">
        <v>54.599727001364997</v>
      </c>
      <c r="I211" s="12" t="str">
        <f t="shared" si="12"/>
        <v>Dcycle Andina SASD - Bodega 2 (almacén)electricity4496044989</v>
      </c>
      <c r="J211" s="12">
        <f>IF(F211=_xlfn.MAXIFS(F:F, I:I, I211), F211, 0)</f>
        <v>364</v>
      </c>
      <c r="K211" s="12">
        <f>IF(Combinadas!$C219="electricity", Combinadas!$J219/6.6667,
IF(Combinadas!$C219="water", Combinadas!$J219/3.333,
IF(Combinadas!$C219="heat", Combinadas!$J219/0.8333, IF(Combinadas!$C219="waste",Combinadas!$J219/25,
"NA"))))</f>
        <v>1.2001200120012001</v>
      </c>
      <c r="L211" s="12">
        <f>Combinadas!$J219</f>
        <v>4</v>
      </c>
      <c r="M211" s="12">
        <f>IF(Table4[[#This Row],[Type]]="waste", Table4[[#This Row],[Q_Tonnes]]/25, Table4[[#This Row],[CO2_Noduplicates]])</f>
        <v>1.2001200120012001</v>
      </c>
    </row>
    <row r="212" spans="1:13" x14ac:dyDescent="0.25">
      <c r="A212" s="12" t="s">
        <v>11</v>
      </c>
      <c r="B212" s="12" t="s">
        <v>48</v>
      </c>
      <c r="C212" s="12" t="s">
        <v>130</v>
      </c>
      <c r="D212" s="13">
        <v>44986</v>
      </c>
      <c r="E212" s="13">
        <v>45016</v>
      </c>
      <c r="F212" s="14">
        <v>11</v>
      </c>
      <c r="G212" s="15" t="s">
        <v>133</v>
      </c>
      <c r="H212" s="14">
        <v>3.3003300330033003</v>
      </c>
      <c r="I212" s="12" t="str">
        <f t="shared" si="12"/>
        <v>Dcycle Andina SASD - Bodega 1water4498645016</v>
      </c>
      <c r="J212" s="12">
        <f>IF(F212=_xlfn.MAXIFS(F:F, I:I, I212), F212, 0)</f>
        <v>11</v>
      </c>
      <c r="K212" s="12">
        <f>IF(Combinadas!$C208="electricity", Combinadas!$J208/6.6667,
IF(Combinadas!$C208="water", Combinadas!$J208/3.333,
IF(Combinadas!$C208="heat", Combinadas!$J208/0.8333, IF(Combinadas!$C208="waste",Combinadas!$J208/25,
"NA"))))</f>
        <v>0.6</v>
      </c>
      <c r="L212" s="12">
        <f>Combinadas!$J208</f>
        <v>15</v>
      </c>
      <c r="M212" s="12">
        <f>IF(Table4[[#This Row],[Type]]="waste", Table4[[#This Row],[Q_Tonnes]]/25, Table4[[#This Row],[CO2_Noduplicates]])</f>
        <v>0.6</v>
      </c>
    </row>
    <row r="213" spans="1:13" x14ac:dyDescent="0.25">
      <c r="A213" s="12" t="s">
        <v>11</v>
      </c>
      <c r="B213" s="12" t="s">
        <v>53</v>
      </c>
      <c r="C213" s="12" t="s">
        <v>130</v>
      </c>
      <c r="D213" s="13">
        <v>44986</v>
      </c>
      <c r="E213" s="13">
        <v>45016</v>
      </c>
      <c r="F213" s="14">
        <v>5</v>
      </c>
      <c r="G213" s="15" t="s">
        <v>133</v>
      </c>
      <c r="H213" s="14">
        <v>1.5001500150015001</v>
      </c>
      <c r="I213" s="12" t="str">
        <f t="shared" si="12"/>
        <v>Dcycle Andina SASD - Bodega 2 (almacén)water4498645016</v>
      </c>
      <c r="J213" s="12">
        <f>IF(F213=_xlfn.MAXIFS(F:F, I:I, I213), F213, 0)</f>
        <v>5</v>
      </c>
      <c r="K213" s="12">
        <f>IF(Combinadas!$C234="electricity", Combinadas!$J234/6.6667,
IF(Combinadas!$C234="water", Combinadas!$J234/3.333,
IF(Combinadas!$C234="heat", Combinadas!$J234/0.8333, IF(Combinadas!$C234="waste",Combinadas!$J234/25,
"NA"))))</f>
        <v>3.9003900390039004</v>
      </c>
      <c r="L213" s="12">
        <f>Combinadas!$J234</f>
        <v>13</v>
      </c>
      <c r="M213" s="12">
        <f>IF(Table4[[#This Row],[Type]]="waste", Table4[[#This Row],[Q_Tonnes]]/25, Table4[[#This Row],[CO2_Noduplicates]])</f>
        <v>3.9003900390039004</v>
      </c>
    </row>
    <row r="214" spans="1:13" x14ac:dyDescent="0.25">
      <c r="A214" s="12" t="s">
        <v>11</v>
      </c>
      <c r="B214" s="12" t="s">
        <v>53</v>
      </c>
      <c r="C214" s="16" t="s">
        <v>237</v>
      </c>
      <c r="D214" s="13">
        <v>44986</v>
      </c>
      <c r="E214" s="13">
        <v>45016</v>
      </c>
      <c r="F214" s="14">
        <v>170</v>
      </c>
      <c r="G214" s="15" t="s">
        <v>232</v>
      </c>
      <c r="H214" s="14">
        <v>6.8</v>
      </c>
      <c r="I214" s="12" t="str">
        <f t="shared" si="12"/>
        <v>Dcycle Andina SASD - Bodega 2 (almacén)waste4498645016</v>
      </c>
      <c r="J214" s="12">
        <f>data_waste!L21</f>
        <v>170</v>
      </c>
      <c r="K214" s="12">
        <f>IF(Combinadas!$C456="electricity", Combinadas!$J456/6.6667,
IF(Combinadas!$C456="water", Combinadas!$J456/3.333,
IF(Combinadas!$C456="heat", Combinadas!$J456/0.8333, IF(Combinadas!$C456="waste",Combinadas!$J456/25,
"NA"))))</f>
        <v>257.54871225643871</v>
      </c>
      <c r="L214" s="12">
        <f>data_waste!M21</f>
        <v>170000</v>
      </c>
      <c r="M214" s="12">
        <f>IF(Table4[[#This Row],[Type]]="waste", Table4[[#This Row],[Q_Tonnes]]/25, Table4[[#This Row],[CO2_Noduplicates]])</f>
        <v>6800</v>
      </c>
    </row>
    <row r="215" spans="1:13" x14ac:dyDescent="0.25">
      <c r="A215" s="12" t="s">
        <v>11</v>
      </c>
      <c r="B215" s="12" t="s">
        <v>53</v>
      </c>
      <c r="C215" s="16" t="s">
        <v>237</v>
      </c>
      <c r="D215" s="17">
        <v>44986</v>
      </c>
      <c r="E215" s="17">
        <v>45016</v>
      </c>
      <c r="F215" s="14">
        <v>812</v>
      </c>
      <c r="G215" s="19" t="s">
        <v>232</v>
      </c>
      <c r="H215" s="14">
        <v>32.479999999999997</v>
      </c>
      <c r="I215" s="12" t="str">
        <f t="shared" si="12"/>
        <v>Dcycle Andina SASD - Bodega 2 (almacén)waste4498645016</v>
      </c>
      <c r="J215" s="12">
        <f>data_waste!L34</f>
        <v>812</v>
      </c>
      <c r="K215" s="12">
        <f>IF(Combinadas!$C469="electricity", Combinadas!$J469/6.6667,
IF(Combinadas!$C469="water", Combinadas!$J469/3.333,
IF(Combinadas!$C469="heat", Combinadas!$J469/0.8333, IF(Combinadas!$C469="waste",Combinadas!$J469/25,
"NA"))))</f>
        <v>47.399763001184994</v>
      </c>
      <c r="L215" s="12">
        <f>data_waste!M34</f>
        <v>812000</v>
      </c>
      <c r="M215" s="12">
        <f>IF(Table4[[#This Row],[Type]]="waste", Table4[[#This Row],[Q_Tonnes]]/25, Table4[[#This Row],[CO2_Noduplicates]])</f>
        <v>32480</v>
      </c>
    </row>
    <row r="216" spans="1:13" x14ac:dyDescent="0.25">
      <c r="A216" s="12" t="s">
        <v>11</v>
      </c>
      <c r="B216" s="12" t="s">
        <v>48</v>
      </c>
      <c r="C216" s="12" t="s">
        <v>128</v>
      </c>
      <c r="D216" s="13">
        <v>44990</v>
      </c>
      <c r="E216" s="13">
        <v>45019</v>
      </c>
      <c r="F216" s="14">
        <v>1352</v>
      </c>
      <c r="G216" s="15" t="s">
        <v>129</v>
      </c>
      <c r="H216" s="14">
        <v>202.79898600506999</v>
      </c>
      <c r="I216" s="12" t="str">
        <f t="shared" si="12"/>
        <v>Dcycle Andina SASD - Bodega 1electricity4499045019</v>
      </c>
      <c r="J216" s="12">
        <f t="shared" ref="J216:J223" si="14">IF(F216=_xlfn.MAXIFS(F:F, I:I, I216), F216, 0)</f>
        <v>1352</v>
      </c>
      <c r="K216" s="12">
        <f>IF(Combinadas!$C192="electricity", Combinadas!$J192/6.6667,
IF(Combinadas!$C192="water", Combinadas!$J192/3.333,
IF(Combinadas!$C192="heat", Combinadas!$J192/0.8333, IF(Combinadas!$C192="waste",Combinadas!$J192/25,
"NA"))))</f>
        <v>145.32</v>
      </c>
      <c r="L216" s="12">
        <f>Combinadas!$J192</f>
        <v>3633</v>
      </c>
      <c r="M216" s="12">
        <f>IF(Table4[[#This Row],[Type]]="waste", Table4[[#This Row],[Q_Tonnes]]/25, Table4[[#This Row],[CO2_Noduplicates]])</f>
        <v>145.32</v>
      </c>
    </row>
    <row r="217" spans="1:13" x14ac:dyDescent="0.25">
      <c r="A217" s="12" t="s">
        <v>11</v>
      </c>
      <c r="B217" s="12" t="s">
        <v>53</v>
      </c>
      <c r="C217" s="12" t="s">
        <v>128</v>
      </c>
      <c r="D217" s="13">
        <v>44990</v>
      </c>
      <c r="E217" s="13">
        <v>45019</v>
      </c>
      <c r="F217" s="14">
        <v>395</v>
      </c>
      <c r="G217" s="15" t="s">
        <v>129</v>
      </c>
      <c r="H217" s="14">
        <v>59.249703751481249</v>
      </c>
      <c r="I217" s="12" t="str">
        <f t="shared" si="12"/>
        <v>Dcycle Andina SASD - Bodega 2 (almacén)electricity4499045019</v>
      </c>
      <c r="J217" s="12">
        <f t="shared" si="14"/>
        <v>395</v>
      </c>
      <c r="K217" s="12">
        <f>IF(Combinadas!$C220="electricity", Combinadas!$J220/6.6667,
IF(Combinadas!$C220="water", Combinadas!$J220/3.333,
IF(Combinadas!$C220="heat", Combinadas!$J220/0.8333, IF(Combinadas!$C220="waste",Combinadas!$J220/25,
"NA"))))</f>
        <v>219.29890350548249</v>
      </c>
      <c r="L217" s="12">
        <f>Combinadas!$J220</f>
        <v>1462</v>
      </c>
      <c r="M217" s="12">
        <f>IF(Table4[[#This Row],[Type]]="waste", Table4[[#This Row],[Q_Tonnes]]/25, Table4[[#This Row],[CO2_Noduplicates]])</f>
        <v>219.29890350548249</v>
      </c>
    </row>
    <row r="218" spans="1:13" x14ac:dyDescent="0.25">
      <c r="A218" s="16" t="s">
        <v>11</v>
      </c>
      <c r="B218" s="16" t="s">
        <v>48</v>
      </c>
      <c r="C218" s="16" t="s">
        <v>130</v>
      </c>
      <c r="D218" s="17">
        <v>45017</v>
      </c>
      <c r="E218" s="17">
        <v>45046</v>
      </c>
      <c r="F218" s="18">
        <v>9</v>
      </c>
      <c r="G218" s="19" t="s">
        <v>133</v>
      </c>
      <c r="H218" s="18">
        <v>2.7002700270027002</v>
      </c>
      <c r="I218" s="12" t="str">
        <f t="shared" si="12"/>
        <v>Dcycle Andina SASD - Bodega 1water4501745046</v>
      </c>
      <c r="J218" s="12">
        <f t="shared" si="14"/>
        <v>9</v>
      </c>
      <c r="K218" s="12">
        <f>IF(Combinadas!$C209="electricity", Combinadas!$J209/6.6667,
IF(Combinadas!$C209="water", Combinadas!$J209/3.333,
IF(Combinadas!$C209="heat", Combinadas!$J209/0.8333, IF(Combinadas!$C209="waste",Combinadas!$J209/25,
"NA"))))</f>
        <v>2.4</v>
      </c>
      <c r="L218" s="12">
        <f>Combinadas!$J209</f>
        <v>60</v>
      </c>
      <c r="M218" s="12">
        <f>IF(Table4[[#This Row],[Type]]="waste", Table4[[#This Row],[Q_Tonnes]]/25, Table4[[#This Row],[CO2_Noduplicates]])</f>
        <v>2.4</v>
      </c>
    </row>
    <row r="219" spans="1:13" x14ac:dyDescent="0.25">
      <c r="A219" s="16" t="s">
        <v>11</v>
      </c>
      <c r="B219" s="16" t="s">
        <v>53</v>
      </c>
      <c r="C219" s="16" t="s">
        <v>130</v>
      </c>
      <c r="D219" s="17">
        <v>45017</v>
      </c>
      <c r="E219" s="17">
        <v>45046</v>
      </c>
      <c r="F219" s="18">
        <v>4</v>
      </c>
      <c r="G219" s="19" t="s">
        <v>133</v>
      </c>
      <c r="H219" s="18">
        <v>1.2001200120012001</v>
      </c>
      <c r="I219" s="12" t="str">
        <f t="shared" si="12"/>
        <v>Dcycle Andina SASD - Bodega 2 (almacén)water4501745046</v>
      </c>
      <c r="J219" s="12">
        <f t="shared" si="14"/>
        <v>4</v>
      </c>
      <c r="K219" s="12">
        <f>IF(Combinadas!$C235="electricity", Combinadas!$J235/6.6667,
IF(Combinadas!$C235="water", Combinadas!$J235/3.333,
IF(Combinadas!$C235="heat", Combinadas!$J235/0.8333, IF(Combinadas!$C235="waste",Combinadas!$J235/25,
"NA"))))</f>
        <v>1.5001500150015001</v>
      </c>
      <c r="L219" s="12">
        <f>Combinadas!$J235</f>
        <v>5</v>
      </c>
      <c r="M219" s="12">
        <f>IF(Table4[[#This Row],[Type]]="waste", Table4[[#This Row],[Q_Tonnes]]/25, Table4[[#This Row],[CO2_Noduplicates]])</f>
        <v>1.5001500150015001</v>
      </c>
    </row>
    <row r="220" spans="1:13" x14ac:dyDescent="0.25">
      <c r="A220" s="16" t="s">
        <v>11</v>
      </c>
      <c r="B220" s="16" t="s">
        <v>48</v>
      </c>
      <c r="C220" s="16" t="s">
        <v>128</v>
      </c>
      <c r="D220" s="17">
        <v>45020</v>
      </c>
      <c r="E220" s="17">
        <v>45049</v>
      </c>
      <c r="F220" s="18">
        <v>1462</v>
      </c>
      <c r="G220" s="19" t="s">
        <v>129</v>
      </c>
      <c r="H220" s="18">
        <v>219.29890350548249</v>
      </c>
      <c r="I220" s="12" t="str">
        <f t="shared" si="12"/>
        <v>Dcycle Andina SASD - Bodega 1electricity4502045049</v>
      </c>
      <c r="J220" s="12">
        <f t="shared" si="14"/>
        <v>1462</v>
      </c>
      <c r="K220" s="12">
        <f>IF(Combinadas!$C193="electricity", Combinadas!$J193/6.6667,
IF(Combinadas!$C193="water", Combinadas!$J193/3.333,
IF(Combinadas!$C193="heat", Combinadas!$J193/0.8333, IF(Combinadas!$C193="waste",Combinadas!$J193/25,
"NA"))))</f>
        <v>704</v>
      </c>
      <c r="L220" s="12">
        <f>Combinadas!$J193</f>
        <v>17600</v>
      </c>
      <c r="M220" s="12">
        <f>IF(Table4[[#This Row],[Type]]="waste", Table4[[#This Row],[Q_Tonnes]]/25, Table4[[#This Row],[CO2_Noduplicates]])</f>
        <v>704</v>
      </c>
    </row>
    <row r="221" spans="1:13" x14ac:dyDescent="0.25">
      <c r="A221" s="16" t="s">
        <v>11</v>
      </c>
      <c r="B221" s="16" t="s">
        <v>53</v>
      </c>
      <c r="C221" s="16" t="s">
        <v>128</v>
      </c>
      <c r="D221" s="17">
        <v>45020</v>
      </c>
      <c r="E221" s="17">
        <v>45049</v>
      </c>
      <c r="F221" s="18">
        <v>364</v>
      </c>
      <c r="G221" s="19" t="s">
        <v>129</v>
      </c>
      <c r="H221" s="18">
        <v>54.599727001364997</v>
      </c>
      <c r="I221" s="12" t="str">
        <f t="shared" si="12"/>
        <v>Dcycle Andina SASD - Bodega 2 (almacén)electricity4502045049</v>
      </c>
      <c r="J221" s="12">
        <f t="shared" si="14"/>
        <v>364</v>
      </c>
      <c r="K221" s="12">
        <f>IF(Combinadas!$C221="electricity", Combinadas!$J221/6.6667,
IF(Combinadas!$C221="water", Combinadas!$J221/3.333,
IF(Combinadas!$C221="heat", Combinadas!$J221/0.8333, IF(Combinadas!$C221="waste",Combinadas!$J221/25,
"NA"))))</f>
        <v>54.599727001364997</v>
      </c>
      <c r="L221" s="12">
        <f>Combinadas!$J221</f>
        <v>364</v>
      </c>
      <c r="M221" s="12">
        <f>IF(Table4[[#This Row],[Type]]="waste", Table4[[#This Row],[Q_Tonnes]]/25, Table4[[#This Row],[CO2_Noduplicates]])</f>
        <v>54.599727001364997</v>
      </c>
    </row>
    <row r="222" spans="1:13" x14ac:dyDescent="0.25">
      <c r="A222" s="12" t="s">
        <v>11</v>
      </c>
      <c r="B222" s="12" t="s">
        <v>48</v>
      </c>
      <c r="C222" s="12" t="s">
        <v>130</v>
      </c>
      <c r="D222" s="13">
        <v>45047</v>
      </c>
      <c r="E222" s="13">
        <v>45077</v>
      </c>
      <c r="F222" s="14">
        <v>20</v>
      </c>
      <c r="G222" s="15" t="s">
        <v>133</v>
      </c>
      <c r="H222" s="14">
        <v>6.0006000600060005</v>
      </c>
      <c r="I222" s="12" t="str">
        <f t="shared" si="12"/>
        <v>Dcycle Andina SASD - Bodega 1water4504745077</v>
      </c>
      <c r="J222" s="12">
        <f t="shared" si="14"/>
        <v>20</v>
      </c>
      <c r="K222" s="12">
        <f>IF(Combinadas!$C210="electricity", Combinadas!$J210/6.6667,
IF(Combinadas!$C210="water", Combinadas!$J210/3.333,
IF(Combinadas!$C210="heat", Combinadas!$J210/0.8333, IF(Combinadas!$C210="waste",Combinadas!$J210/25,
"NA"))))</f>
        <v>226.64886675566623</v>
      </c>
      <c r="L222" s="12">
        <f>Combinadas!$J210</f>
        <v>1511</v>
      </c>
      <c r="M222" s="12">
        <f>IF(Table4[[#This Row],[Type]]="waste", Table4[[#This Row],[Q_Tonnes]]/25, Table4[[#This Row],[CO2_Noduplicates]])</f>
        <v>226.64886675566623</v>
      </c>
    </row>
    <row r="223" spans="1:13" x14ac:dyDescent="0.25">
      <c r="A223" s="12" t="s">
        <v>11</v>
      </c>
      <c r="B223" s="12" t="s">
        <v>53</v>
      </c>
      <c r="C223" s="12" t="s">
        <v>130</v>
      </c>
      <c r="D223" s="13">
        <v>45047</v>
      </c>
      <c r="E223" s="13">
        <v>45077</v>
      </c>
      <c r="F223" s="14">
        <v>6</v>
      </c>
      <c r="G223" s="15" t="s">
        <v>133</v>
      </c>
      <c r="H223" s="14">
        <v>1.8001800180018002</v>
      </c>
      <c r="I223" s="12" t="str">
        <f t="shared" si="12"/>
        <v>Dcycle Andina SASD - Bodega 2 (almacén)water4504745077</v>
      </c>
      <c r="J223" s="12">
        <f t="shared" si="14"/>
        <v>6</v>
      </c>
      <c r="K223" s="12">
        <f>IF(Combinadas!$C236="electricity", Combinadas!$J236/6.6667,
IF(Combinadas!$C236="water", Combinadas!$J236/3.333,
IF(Combinadas!$C236="heat", Combinadas!$J236/0.8333, IF(Combinadas!$C236="waste",Combinadas!$J236/25,
"NA"))))</f>
        <v>1.88</v>
      </c>
      <c r="L223" s="12">
        <f>Combinadas!$J236</f>
        <v>47</v>
      </c>
      <c r="M223" s="12">
        <f>IF(Table4[[#This Row],[Type]]="waste", Table4[[#This Row],[Q_Tonnes]]/25, Table4[[#This Row],[CO2_Noduplicates]])</f>
        <v>1.88</v>
      </c>
    </row>
    <row r="224" spans="1:13" x14ac:dyDescent="0.25">
      <c r="A224" s="12" t="s">
        <v>11</v>
      </c>
      <c r="B224" s="12" t="s">
        <v>53</v>
      </c>
      <c r="C224" s="16" t="s">
        <v>237</v>
      </c>
      <c r="D224" s="17">
        <v>45047</v>
      </c>
      <c r="E224" s="17">
        <v>45077</v>
      </c>
      <c r="F224" s="14">
        <v>63</v>
      </c>
      <c r="G224" s="19" t="s">
        <v>232</v>
      </c>
      <c r="H224" s="14">
        <v>2.52</v>
      </c>
      <c r="I224" s="12" t="str">
        <f t="shared" si="12"/>
        <v>Dcycle Andina SASD - Bodega 2 (almacén)waste4504745077</v>
      </c>
      <c r="J224" s="12">
        <f>data_waste!L18</f>
        <v>63</v>
      </c>
      <c r="K224" s="12">
        <f>IF(Combinadas!$C453="electricity", Combinadas!$J453/6.6667,
IF(Combinadas!$C453="water", Combinadas!$J453/3.333,
IF(Combinadas!$C453="heat", Combinadas!$J453/0.8333, IF(Combinadas!$C453="waste",Combinadas!$J453/25,
"NA"))))</f>
        <v>4.2004200420042004</v>
      </c>
      <c r="L224" s="12">
        <f>data_waste!M18</f>
        <v>63000</v>
      </c>
      <c r="M224" s="12">
        <f>IF(Table4[[#This Row],[Type]]="waste", Table4[[#This Row],[Q_Tonnes]]/25, Table4[[#This Row],[CO2_Noduplicates]])</f>
        <v>2520</v>
      </c>
    </row>
    <row r="225" spans="1:13" x14ac:dyDescent="0.25">
      <c r="A225" s="12" t="s">
        <v>11</v>
      </c>
      <c r="B225" s="12" t="s">
        <v>53</v>
      </c>
      <c r="C225" s="16" t="s">
        <v>237</v>
      </c>
      <c r="D225" s="17">
        <v>45047</v>
      </c>
      <c r="E225" s="17">
        <v>45077</v>
      </c>
      <c r="F225" s="14">
        <v>365</v>
      </c>
      <c r="G225" s="19" t="s">
        <v>232</v>
      </c>
      <c r="H225" s="14">
        <v>14.6</v>
      </c>
      <c r="I225" s="12" t="str">
        <f t="shared" si="12"/>
        <v>Dcycle Andina SASD - Bodega 2 (almacén)waste4504745077</v>
      </c>
      <c r="J225" s="12">
        <f>data_waste!L30</f>
        <v>365</v>
      </c>
      <c r="K225" s="12">
        <f>IF(Combinadas!$C465="electricity", Combinadas!$J465/6.6667,
IF(Combinadas!$C465="water", Combinadas!$J465/3.333,
IF(Combinadas!$C465="heat", Combinadas!$J465/0.8333, IF(Combinadas!$C465="waste",Combinadas!$J465/25,
"NA"))))</f>
        <v>3.08</v>
      </c>
      <c r="L225" s="12">
        <f>data_waste!M30</f>
        <v>365000</v>
      </c>
      <c r="M225" s="12">
        <f>IF(Table4[[#This Row],[Type]]="waste", Table4[[#This Row],[Q_Tonnes]]/25, Table4[[#This Row],[CO2_Noduplicates]])</f>
        <v>14600</v>
      </c>
    </row>
    <row r="226" spans="1:13" x14ac:dyDescent="0.25">
      <c r="A226" s="12" t="s">
        <v>11</v>
      </c>
      <c r="B226" s="12" t="s">
        <v>48</v>
      </c>
      <c r="C226" s="12" t="s">
        <v>128</v>
      </c>
      <c r="D226" s="13">
        <v>45050</v>
      </c>
      <c r="E226" s="13">
        <v>45080</v>
      </c>
      <c r="F226" s="14">
        <v>1602</v>
      </c>
      <c r="G226" s="15" t="s">
        <v>129</v>
      </c>
      <c r="H226" s="14">
        <v>240.29879850600747</v>
      </c>
      <c r="I226" s="12" t="str">
        <f t="shared" si="12"/>
        <v>Dcycle Andina SASD - Bodega 1electricity4505045080</v>
      </c>
      <c r="J226" s="12">
        <f>IF(F226=_xlfn.MAXIFS(F:F, I:I, I226), F226, 0)</f>
        <v>1602</v>
      </c>
      <c r="K226" s="12">
        <f>IF(Combinadas!$C194="electricity", Combinadas!$J194/6.6667,
IF(Combinadas!$C194="water", Combinadas!$J194/3.333,
IF(Combinadas!$C194="heat", Combinadas!$J194/0.8333, IF(Combinadas!$C194="waste",Combinadas!$J194/25,
"NA"))))</f>
        <v>1.5001500150015001</v>
      </c>
      <c r="L226" s="12">
        <f>Combinadas!$J194</f>
        <v>5</v>
      </c>
      <c r="M226" s="12">
        <f>IF(Table4[[#This Row],[Type]]="waste", Table4[[#This Row],[Q_Tonnes]]/25, Table4[[#This Row],[CO2_Noduplicates]])</f>
        <v>1.5001500150015001</v>
      </c>
    </row>
    <row r="227" spans="1:13" x14ac:dyDescent="0.25">
      <c r="A227" s="12" t="s">
        <v>11</v>
      </c>
      <c r="B227" s="12" t="s">
        <v>53</v>
      </c>
      <c r="C227" s="12" t="s">
        <v>128</v>
      </c>
      <c r="D227" s="13">
        <v>45050</v>
      </c>
      <c r="E227" s="13">
        <v>45080</v>
      </c>
      <c r="F227" s="14">
        <v>395</v>
      </c>
      <c r="G227" s="15" t="s">
        <v>129</v>
      </c>
      <c r="H227" s="14">
        <v>59.249703751481249</v>
      </c>
      <c r="I227" s="12" t="str">
        <f t="shared" si="12"/>
        <v>Dcycle Andina SASD - Bodega 2 (almacén)electricity4505045080</v>
      </c>
      <c r="J227" s="12">
        <f>IF(F227=_xlfn.MAXIFS(F:F, I:I, I227), F227, 0)</f>
        <v>395</v>
      </c>
      <c r="K227" s="12">
        <f>IF(Combinadas!$C222="electricity", Combinadas!$J222/6.6667,
IF(Combinadas!$C222="water", Combinadas!$J222/3.333,
IF(Combinadas!$C222="heat", Combinadas!$J222/0.8333, IF(Combinadas!$C222="waste",Combinadas!$J222/25,
"NA"))))</f>
        <v>6.0006000600060005</v>
      </c>
      <c r="L227" s="12">
        <f>Combinadas!$J222</f>
        <v>20</v>
      </c>
      <c r="M227" s="12">
        <f>IF(Table4[[#This Row],[Type]]="waste", Table4[[#This Row],[Q_Tonnes]]/25, Table4[[#This Row],[CO2_Noduplicates]])</f>
        <v>6.0006000600060005</v>
      </c>
    </row>
    <row r="228" spans="1:13" x14ac:dyDescent="0.25">
      <c r="A228" s="16" t="s">
        <v>11</v>
      </c>
      <c r="B228" s="16" t="s">
        <v>48</v>
      </c>
      <c r="C228" s="16" t="s">
        <v>130</v>
      </c>
      <c r="D228" s="17">
        <v>45078</v>
      </c>
      <c r="E228" s="17">
        <v>45107</v>
      </c>
      <c r="F228" s="18">
        <v>10</v>
      </c>
      <c r="G228" s="19" t="s">
        <v>133</v>
      </c>
      <c r="H228" s="18">
        <v>3.0003000300030003</v>
      </c>
      <c r="I228" s="12" t="str">
        <f t="shared" si="12"/>
        <v>Dcycle Andina SASD - Bodega 1water4507845107</v>
      </c>
      <c r="J228" s="12">
        <f>IF(F228=_xlfn.MAXIFS(F:F, I:I, I228), F228, 0)</f>
        <v>10</v>
      </c>
      <c r="K228" s="12">
        <f>IF(Combinadas!$C211="electricity", Combinadas!$J211/6.6667,
IF(Combinadas!$C211="water", Combinadas!$J211/3.333,
IF(Combinadas!$C211="heat", Combinadas!$J211/0.8333, IF(Combinadas!$C211="waste",Combinadas!$J211/25,
"NA"))))</f>
        <v>54.599727001364997</v>
      </c>
      <c r="L228" s="12">
        <f>Combinadas!$J211</f>
        <v>364</v>
      </c>
      <c r="M228" s="12">
        <f>IF(Table4[[#This Row],[Type]]="waste", Table4[[#This Row],[Q_Tonnes]]/25, Table4[[#This Row],[CO2_Noduplicates]])</f>
        <v>54.599727001364997</v>
      </c>
    </row>
    <row r="229" spans="1:13" x14ac:dyDescent="0.25">
      <c r="A229" s="16" t="s">
        <v>11</v>
      </c>
      <c r="B229" s="16" t="s">
        <v>53</v>
      </c>
      <c r="C229" s="16" t="s">
        <v>130</v>
      </c>
      <c r="D229" s="17">
        <v>45078</v>
      </c>
      <c r="E229" s="17">
        <v>45107</v>
      </c>
      <c r="F229" s="18">
        <v>22</v>
      </c>
      <c r="G229" s="19" t="s">
        <v>133</v>
      </c>
      <c r="H229" s="18">
        <v>6.6006600660066006</v>
      </c>
      <c r="I229" s="12" t="str">
        <f t="shared" si="12"/>
        <v>Dcycle Andina SASD - Bodega 2 (almacén)water4507845107</v>
      </c>
      <c r="J229" s="12">
        <f>IF(F229=_xlfn.MAXIFS(F:F, I:I, I229), F229, 0)</f>
        <v>22</v>
      </c>
      <c r="K229" s="12">
        <f>IF(Combinadas!$C237="electricity", Combinadas!$J237/6.6667,
IF(Combinadas!$C237="water", Combinadas!$J237/3.333,
IF(Combinadas!$C237="heat", Combinadas!$J237/0.8333, IF(Combinadas!$C237="waste",Combinadas!$J237/25,
"NA"))))</f>
        <v>11.08</v>
      </c>
      <c r="L229" s="12">
        <f>Combinadas!$J237</f>
        <v>277</v>
      </c>
      <c r="M229" s="12">
        <f>IF(Table4[[#This Row],[Type]]="waste", Table4[[#This Row],[Q_Tonnes]]/25, Table4[[#This Row],[CO2_Noduplicates]])</f>
        <v>11.08</v>
      </c>
    </row>
    <row r="230" spans="1:13" x14ac:dyDescent="0.25">
      <c r="A230" s="12" t="s">
        <v>11</v>
      </c>
      <c r="B230" s="12" t="s">
        <v>53</v>
      </c>
      <c r="C230" s="16" t="s">
        <v>237</v>
      </c>
      <c r="D230" s="13">
        <v>45078</v>
      </c>
      <c r="E230" s="13">
        <v>45107</v>
      </c>
      <c r="F230" s="14">
        <v>42</v>
      </c>
      <c r="G230" s="15" t="s">
        <v>232</v>
      </c>
      <c r="H230" s="14">
        <v>1.68</v>
      </c>
      <c r="I230" s="12" t="str">
        <f t="shared" si="12"/>
        <v>Dcycle Andina SASD - Bodega 2 (almacén)waste4507845107</v>
      </c>
      <c r="J230" s="12">
        <f>data_waste!L13</f>
        <v>42</v>
      </c>
      <c r="K230" s="12">
        <f>IF(Combinadas!$C448="electricity", Combinadas!$J448/6.6667,
IF(Combinadas!$C448="water", Combinadas!$J448/3.333,
IF(Combinadas!$C448="heat", Combinadas!$J448/0.8333, IF(Combinadas!$C448="waste",Combinadas!$J448/25,
"NA"))))</f>
        <v>1.76</v>
      </c>
      <c r="L230" s="12">
        <f>data_waste!M13</f>
        <v>42000</v>
      </c>
      <c r="M230" s="12">
        <f>IF(Table4[[#This Row],[Type]]="waste", Table4[[#This Row],[Q_Tonnes]]/25, Table4[[#This Row],[CO2_Noduplicates]])</f>
        <v>1680</v>
      </c>
    </row>
    <row r="231" spans="1:13" x14ac:dyDescent="0.25">
      <c r="A231" s="12" t="s">
        <v>11</v>
      </c>
      <c r="B231" s="12" t="s">
        <v>53</v>
      </c>
      <c r="C231" s="16" t="s">
        <v>237</v>
      </c>
      <c r="D231" s="13">
        <v>45078</v>
      </c>
      <c r="E231" s="13">
        <v>45107</v>
      </c>
      <c r="F231" s="14">
        <v>352</v>
      </c>
      <c r="G231" s="15" t="s">
        <v>232</v>
      </c>
      <c r="H231" s="14">
        <v>14.08</v>
      </c>
      <c r="I231" s="12" t="str">
        <f t="shared" si="12"/>
        <v>Dcycle Andina SASD - Bodega 2 (almacén)waste4507845107</v>
      </c>
      <c r="J231" s="12">
        <f>data_waste!L29</f>
        <v>352</v>
      </c>
      <c r="K231" s="12">
        <f>IF(Combinadas!$C464="electricity", Combinadas!$J464/6.6667,
IF(Combinadas!$C464="water", Combinadas!$J464/3.333,
IF(Combinadas!$C464="heat", Combinadas!$J464/0.8333, IF(Combinadas!$C464="waste",Combinadas!$J464/25,
"NA"))))</f>
        <v>0.56000000000000005</v>
      </c>
      <c r="L231" s="12">
        <f>data_waste!M29</f>
        <v>352000</v>
      </c>
      <c r="M231" s="12">
        <f>IF(Table4[[#This Row],[Type]]="waste", Table4[[#This Row],[Q_Tonnes]]/25, Table4[[#This Row],[CO2_Noduplicates]])</f>
        <v>14080</v>
      </c>
    </row>
    <row r="232" spans="1:13" x14ac:dyDescent="0.25">
      <c r="A232" s="16" t="s">
        <v>11</v>
      </c>
      <c r="B232" s="16" t="s">
        <v>48</v>
      </c>
      <c r="C232" s="16" t="s">
        <v>128</v>
      </c>
      <c r="D232" s="17">
        <v>45081</v>
      </c>
      <c r="E232" s="17">
        <v>45111</v>
      </c>
      <c r="F232" s="18">
        <v>1420</v>
      </c>
      <c r="G232" s="19" t="s">
        <v>129</v>
      </c>
      <c r="H232" s="18">
        <v>212.998935005325</v>
      </c>
      <c r="I232" s="12" t="str">
        <f t="shared" si="12"/>
        <v>Dcycle Andina SASD - Bodega 1electricity4508145111</v>
      </c>
      <c r="J232" s="12">
        <f>IF(F232=_xlfn.MAXIFS(F:F, I:I, I232), F232, 0)</f>
        <v>1420</v>
      </c>
      <c r="K232" s="12">
        <f>IF(Combinadas!$C195="electricity", Combinadas!$J195/6.6667,
IF(Combinadas!$C195="water", Combinadas!$J195/3.333,
IF(Combinadas!$C195="heat", Combinadas!$J195/0.8333, IF(Combinadas!$C195="waste",Combinadas!$J195/25,
"NA"))))</f>
        <v>1.2001200120012001</v>
      </c>
      <c r="L232" s="12">
        <f>Combinadas!$J195</f>
        <v>4</v>
      </c>
      <c r="M232" s="12">
        <f>IF(Table4[[#This Row],[Type]]="waste", Table4[[#This Row],[Q_Tonnes]]/25, Table4[[#This Row],[CO2_Noduplicates]])</f>
        <v>1.2001200120012001</v>
      </c>
    </row>
    <row r="233" spans="1:13" x14ac:dyDescent="0.25">
      <c r="A233" s="16" t="s">
        <v>11</v>
      </c>
      <c r="B233" s="16" t="s">
        <v>53</v>
      </c>
      <c r="C233" s="16" t="s">
        <v>128</v>
      </c>
      <c r="D233" s="17">
        <v>45081</v>
      </c>
      <c r="E233" s="17">
        <v>45111</v>
      </c>
      <c r="F233" s="18">
        <v>340</v>
      </c>
      <c r="G233" s="19" t="s">
        <v>129</v>
      </c>
      <c r="H233" s="18">
        <v>50.999745001274995</v>
      </c>
      <c r="I233" s="12" t="str">
        <f t="shared" si="12"/>
        <v>Dcycle Andina SASD - Bodega 2 (almacén)electricity4508145111</v>
      </c>
      <c r="J233" s="12">
        <f>IF(F233=_xlfn.MAXIFS(F:F, I:I, I233), F233, 0)</f>
        <v>340</v>
      </c>
      <c r="K233" s="12">
        <f>IF(Combinadas!$C223="electricity", Combinadas!$J223/6.6667,
IF(Combinadas!$C223="water", Combinadas!$J223/3.333,
IF(Combinadas!$C223="heat", Combinadas!$J223/0.8333, IF(Combinadas!$C223="waste",Combinadas!$J223/25,
"NA"))))</f>
        <v>1.8001800180018002</v>
      </c>
      <c r="L233" s="12">
        <f>Combinadas!$J223</f>
        <v>6</v>
      </c>
      <c r="M233" s="12">
        <f>IF(Table4[[#This Row],[Type]]="waste", Table4[[#This Row],[Q_Tonnes]]/25, Table4[[#This Row],[CO2_Noduplicates]])</f>
        <v>1.8001800180018002</v>
      </c>
    </row>
    <row r="234" spans="1:13" x14ac:dyDescent="0.25">
      <c r="A234" s="12" t="s">
        <v>11</v>
      </c>
      <c r="B234" s="12" t="s">
        <v>48</v>
      </c>
      <c r="C234" s="12" t="s">
        <v>130</v>
      </c>
      <c r="D234" s="13">
        <v>45108</v>
      </c>
      <c r="E234" s="13">
        <v>45138</v>
      </c>
      <c r="F234" s="14">
        <v>13</v>
      </c>
      <c r="G234" s="15" t="s">
        <v>133</v>
      </c>
      <c r="H234" s="14">
        <v>3.9003900390039004</v>
      </c>
      <c r="I234" s="12" t="str">
        <f t="shared" si="12"/>
        <v>Dcycle Andina SASD - Bodega 1water4510845138</v>
      </c>
      <c r="J234" s="12">
        <f>IF(F234=_xlfn.MAXIFS(F:F, I:I, I234), F234, 0)</f>
        <v>13</v>
      </c>
      <c r="K234" s="12">
        <f>IF(Combinadas!$C212="electricity", Combinadas!$J212/6.6667,
IF(Combinadas!$C212="water", Combinadas!$J212/3.333,
IF(Combinadas!$C212="heat", Combinadas!$J212/0.8333, IF(Combinadas!$C212="waste",Combinadas!$J212/25,
"NA"))))</f>
        <v>3.3003300330033003</v>
      </c>
      <c r="L234" s="12">
        <f>Combinadas!$J212</f>
        <v>11</v>
      </c>
      <c r="M234" s="12">
        <f>IF(Table4[[#This Row],[Type]]="waste", Table4[[#This Row],[Q_Tonnes]]/25, Table4[[#This Row],[CO2_Noduplicates]])</f>
        <v>3.3003300330033003</v>
      </c>
    </row>
    <row r="235" spans="1:13" x14ac:dyDescent="0.25">
      <c r="A235" s="12" t="s">
        <v>11</v>
      </c>
      <c r="B235" s="12" t="s">
        <v>53</v>
      </c>
      <c r="C235" s="12" t="s">
        <v>130</v>
      </c>
      <c r="D235" s="13">
        <v>45108</v>
      </c>
      <c r="E235" s="13">
        <v>45138</v>
      </c>
      <c r="F235" s="14">
        <v>5</v>
      </c>
      <c r="G235" s="15" t="s">
        <v>133</v>
      </c>
      <c r="H235" s="14">
        <v>1.5001500150015001</v>
      </c>
      <c r="I235" s="12" t="str">
        <f t="shared" si="12"/>
        <v>Dcycle Andina SASD - Bodega 2 (almacén)water4510845138</v>
      </c>
      <c r="J235" s="12">
        <f>IF(F235=_xlfn.MAXIFS(F:F, I:I, I235), F235, 0)</f>
        <v>5</v>
      </c>
      <c r="K235" s="12">
        <f>IF(Combinadas!$C238="electricity", Combinadas!$J238/6.6667,
IF(Combinadas!$C238="water", Combinadas!$J238/3.333,
IF(Combinadas!$C238="heat", Combinadas!$J238/0.8333, IF(Combinadas!$C238="waste",Combinadas!$J238/25,
"NA"))))</f>
        <v>269.69865150674246</v>
      </c>
      <c r="L235" s="12">
        <f>Combinadas!$J238</f>
        <v>1798</v>
      </c>
      <c r="M235" s="12">
        <f>IF(Table4[[#This Row],[Type]]="waste", Table4[[#This Row],[Q_Tonnes]]/25, Table4[[#This Row],[CO2_Noduplicates]])</f>
        <v>269.69865150674246</v>
      </c>
    </row>
    <row r="236" spans="1:13" x14ac:dyDescent="0.25">
      <c r="A236" s="12" t="s">
        <v>11</v>
      </c>
      <c r="B236" s="12" t="s">
        <v>53</v>
      </c>
      <c r="C236" s="16" t="s">
        <v>237</v>
      </c>
      <c r="D236" s="13">
        <v>45108</v>
      </c>
      <c r="E236" s="13">
        <v>45138</v>
      </c>
      <c r="F236" s="14">
        <v>47</v>
      </c>
      <c r="G236" s="15" t="s">
        <v>232</v>
      </c>
      <c r="H236" s="14">
        <v>1.88</v>
      </c>
      <c r="I236" s="12" t="str">
        <f t="shared" si="12"/>
        <v>Dcycle Andina SASD - Bodega 2 (almacén)waste4510845138</v>
      </c>
      <c r="J236" s="12">
        <f>data_waste!L15</f>
        <v>47</v>
      </c>
      <c r="K236" s="12">
        <f>IF(Combinadas!$C450="electricity", Combinadas!$J450/6.6667,
IF(Combinadas!$C450="water", Combinadas!$J450/3.333,
IF(Combinadas!$C450="heat", Combinadas!$J450/0.8333, IF(Combinadas!$C450="waste",Combinadas!$J450/25,
"NA"))))</f>
        <v>276.14861925690371</v>
      </c>
      <c r="L236" s="12">
        <f>data_waste!M15</f>
        <v>47000</v>
      </c>
      <c r="M236" s="12">
        <f>IF(Table4[[#This Row],[Type]]="waste", Table4[[#This Row],[Q_Tonnes]]/25, Table4[[#This Row],[CO2_Noduplicates]])</f>
        <v>1880</v>
      </c>
    </row>
    <row r="237" spans="1:13" x14ac:dyDescent="0.25">
      <c r="A237" s="12" t="s">
        <v>11</v>
      </c>
      <c r="B237" s="12" t="s">
        <v>53</v>
      </c>
      <c r="C237" s="16" t="s">
        <v>237</v>
      </c>
      <c r="D237" s="13">
        <v>45108</v>
      </c>
      <c r="E237" s="13">
        <v>45138</v>
      </c>
      <c r="F237" s="14">
        <v>277</v>
      </c>
      <c r="G237" s="15" t="s">
        <v>232</v>
      </c>
      <c r="H237" s="14">
        <v>11.08</v>
      </c>
      <c r="I237" s="12" t="str">
        <f t="shared" si="12"/>
        <v>Dcycle Andina SASD - Bodega 2 (almacén)waste4510845138</v>
      </c>
      <c r="J237" s="12">
        <f>data_waste!L25</f>
        <v>277</v>
      </c>
      <c r="K237" s="12">
        <f>IF(Combinadas!$C460="electricity", Combinadas!$J460/6.6667,
IF(Combinadas!$C460="water", Combinadas!$J460/3.333,
IF(Combinadas!$C460="heat", Combinadas!$J460/0.8333, IF(Combinadas!$C460="waste",Combinadas!$J460/25,
"NA"))))</f>
        <v>0.14000000000000001</v>
      </c>
      <c r="L237" s="12">
        <f>data_waste!M25</f>
        <v>277000</v>
      </c>
      <c r="M237" s="12">
        <f>IF(Table4[[#This Row],[Type]]="waste", Table4[[#This Row],[Q_Tonnes]]/25, Table4[[#This Row],[CO2_Noduplicates]])</f>
        <v>11080</v>
      </c>
    </row>
    <row r="238" spans="1:13" x14ac:dyDescent="0.25">
      <c r="A238" s="12" t="s">
        <v>11</v>
      </c>
      <c r="B238" s="12" t="s">
        <v>48</v>
      </c>
      <c r="C238" s="12" t="s">
        <v>128</v>
      </c>
      <c r="D238" s="13">
        <v>45112</v>
      </c>
      <c r="E238" s="13">
        <v>45142</v>
      </c>
      <c r="F238" s="14">
        <v>1798</v>
      </c>
      <c r="G238" s="15" t="s">
        <v>129</v>
      </c>
      <c r="H238" s="14">
        <v>269.69865150674246</v>
      </c>
      <c r="I238" s="12" t="str">
        <f t="shared" si="12"/>
        <v>Dcycle Andina SASD - Bodega 1electricity4511245142</v>
      </c>
      <c r="J238" s="12">
        <f t="shared" ref="J238:J269" si="15">IF(F238=_xlfn.MAXIFS(F:F, I:I, I238), F238, 0)</f>
        <v>1798</v>
      </c>
      <c r="K238" s="12">
        <f>IF(Combinadas!$C196="electricity", Combinadas!$J196/6.6667,
IF(Combinadas!$C196="water", Combinadas!$J196/3.333,
IF(Combinadas!$C196="heat", Combinadas!$J196/0.8333, IF(Combinadas!$C196="waste",Combinadas!$J196/25,
"NA"))))</f>
        <v>159.89920050399749</v>
      </c>
      <c r="L238" s="12">
        <f>Combinadas!$J196</f>
        <v>1066</v>
      </c>
      <c r="M238" s="12">
        <f>IF(Table4[[#This Row],[Type]]="waste", Table4[[#This Row],[Q_Tonnes]]/25, Table4[[#This Row],[CO2_Noduplicates]])</f>
        <v>159.89920050399749</v>
      </c>
    </row>
    <row r="239" spans="1:13" x14ac:dyDescent="0.25">
      <c r="A239" s="12" t="s">
        <v>11</v>
      </c>
      <c r="B239" s="12" t="s">
        <v>53</v>
      </c>
      <c r="C239" s="12" t="s">
        <v>128</v>
      </c>
      <c r="D239" s="13">
        <v>45112</v>
      </c>
      <c r="E239" s="13">
        <v>45142</v>
      </c>
      <c r="F239" s="14">
        <v>467</v>
      </c>
      <c r="G239" s="15" t="s">
        <v>129</v>
      </c>
      <c r="H239" s="14">
        <v>70.049649751751247</v>
      </c>
      <c r="I239" s="12" t="str">
        <f t="shared" si="12"/>
        <v>Dcycle Andina SASD - Bodega 2 (almacén)electricity4511245142</v>
      </c>
      <c r="J239" s="12">
        <f t="shared" si="15"/>
        <v>467</v>
      </c>
      <c r="K239" s="12">
        <f>IF(Combinadas!$C224="electricity", Combinadas!$J224/6.6667,
IF(Combinadas!$C224="water", Combinadas!$J224/3.333,
IF(Combinadas!$C224="heat", Combinadas!$J224/0.8333, IF(Combinadas!$C224="waste",Combinadas!$J224/25,
"NA"))))</f>
        <v>2.52</v>
      </c>
      <c r="L239" s="12">
        <f>Combinadas!$J224</f>
        <v>63</v>
      </c>
      <c r="M239" s="12">
        <f>IF(Table4[[#This Row],[Type]]="waste", Table4[[#This Row],[Q_Tonnes]]/25, Table4[[#This Row],[CO2_Noduplicates]])</f>
        <v>2.52</v>
      </c>
    </row>
    <row r="240" spans="1:13" x14ac:dyDescent="0.25">
      <c r="A240" s="12" t="s">
        <v>11</v>
      </c>
      <c r="B240" s="12" t="s">
        <v>48</v>
      </c>
      <c r="C240" s="12" t="s">
        <v>130</v>
      </c>
      <c r="D240" s="13">
        <v>45121</v>
      </c>
      <c r="E240" s="13">
        <v>45121</v>
      </c>
      <c r="F240" s="14">
        <v>7.5708200000000003E-2</v>
      </c>
      <c r="G240" s="15" t="s">
        <v>133</v>
      </c>
      <c r="H240" s="14">
        <v>2.2714731473147315E-2</v>
      </c>
      <c r="I240" s="12" t="str">
        <f t="shared" si="12"/>
        <v>Dcycle Andina SASD - Bodega 1water4512145121</v>
      </c>
      <c r="J240" s="12">
        <f t="shared" si="15"/>
        <v>7.5708200000000003E-2</v>
      </c>
      <c r="K240" s="12">
        <f>IF(Combinadas!$C202="electricity", Combinadas!$J202/6.6667,
IF(Combinadas!$C202="water", Combinadas!$J202/3.333,
IF(Combinadas!$C202="heat", Combinadas!$J202/0.8333, IF(Combinadas!$C202="waste",Combinadas!$J202/25,
"NA"))))</f>
        <v>13.4</v>
      </c>
      <c r="L240" s="12">
        <f>Combinadas!$J202</f>
        <v>335</v>
      </c>
      <c r="M240" s="12">
        <f>IF(Table4[[#This Row],[Type]]="waste", Table4[[#This Row],[Q_Tonnes]]/25, Table4[[#This Row],[CO2_Noduplicates]])</f>
        <v>13.4</v>
      </c>
    </row>
    <row r="241" spans="1:13" x14ac:dyDescent="0.25">
      <c r="A241" s="16" t="s">
        <v>11</v>
      </c>
      <c r="B241" s="16" t="s">
        <v>48</v>
      </c>
      <c r="C241" s="16" t="s">
        <v>130</v>
      </c>
      <c r="D241" s="17">
        <v>45139</v>
      </c>
      <c r="E241" s="17">
        <v>45169</v>
      </c>
      <c r="F241" s="18">
        <v>27</v>
      </c>
      <c r="G241" s="19" t="s">
        <v>133</v>
      </c>
      <c r="H241" s="18">
        <v>8.1008100810081007</v>
      </c>
      <c r="I241" s="12" t="str">
        <f t="shared" si="12"/>
        <v>Dcycle Andina SASD - Bodega 1water4513945169</v>
      </c>
      <c r="J241" s="12">
        <f t="shared" si="15"/>
        <v>27</v>
      </c>
      <c r="K241" s="12">
        <f>IF(Combinadas!$C213="electricity", Combinadas!$J213/6.6667,
IF(Combinadas!$C213="water", Combinadas!$J213/3.333,
IF(Combinadas!$C213="heat", Combinadas!$J213/0.8333, IF(Combinadas!$C213="waste",Combinadas!$J213/25,
"NA"))))</f>
        <v>1.5001500150015001</v>
      </c>
      <c r="L241" s="12">
        <f>Combinadas!$J213</f>
        <v>5</v>
      </c>
      <c r="M241" s="12">
        <f>IF(Table4[[#This Row],[Type]]="waste", Table4[[#This Row],[Q_Tonnes]]/25, Table4[[#This Row],[CO2_Noduplicates]])</f>
        <v>1.5001500150015001</v>
      </c>
    </row>
    <row r="242" spans="1:13" x14ac:dyDescent="0.25">
      <c r="A242" s="16" t="s">
        <v>11</v>
      </c>
      <c r="B242" s="16" t="s">
        <v>53</v>
      </c>
      <c r="C242" s="16" t="s">
        <v>130</v>
      </c>
      <c r="D242" s="17">
        <v>45139</v>
      </c>
      <c r="E242" s="17">
        <v>45169</v>
      </c>
      <c r="F242" s="18">
        <v>5</v>
      </c>
      <c r="G242" s="19" t="s">
        <v>133</v>
      </c>
      <c r="H242" s="18">
        <v>1.5001500150015001</v>
      </c>
      <c r="I242" s="12" t="str">
        <f t="shared" si="12"/>
        <v>Dcycle Andina SASD - Bodega 2 (almacén)water4513945169</v>
      </c>
      <c r="J242" s="12">
        <f t="shared" si="15"/>
        <v>5</v>
      </c>
      <c r="K242" s="12">
        <f>IF(Combinadas!$C239="electricity", Combinadas!$J239/6.6667,
IF(Combinadas!$C239="water", Combinadas!$J239/3.333,
IF(Combinadas!$C239="heat", Combinadas!$J239/0.8333, IF(Combinadas!$C239="waste",Combinadas!$J239/25,
"NA"))))</f>
        <v>70.049649751751247</v>
      </c>
      <c r="L242" s="12">
        <f>Combinadas!$J239</f>
        <v>467</v>
      </c>
      <c r="M242" s="12">
        <f>IF(Table4[[#This Row],[Type]]="waste", Table4[[#This Row],[Q_Tonnes]]/25, Table4[[#This Row],[CO2_Noduplicates]])</f>
        <v>70.049649751751247</v>
      </c>
    </row>
    <row r="243" spans="1:13" hidden="1" x14ac:dyDescent="0.25">
      <c r="A243" s="16" t="s">
        <v>12</v>
      </c>
      <c r="B243" s="16" t="s">
        <v>169</v>
      </c>
      <c r="C243" s="16" t="s">
        <v>128</v>
      </c>
      <c r="D243" s="17">
        <v>44461</v>
      </c>
      <c r="E243" s="17">
        <v>44815</v>
      </c>
      <c r="F243" s="18">
        <v>9109</v>
      </c>
      <c r="G243" s="19" t="s">
        <v>129</v>
      </c>
      <c r="H243" s="18">
        <v>1366.3431682841588</v>
      </c>
      <c r="I243" s="12" t="str">
        <f t="shared" si="12"/>
        <v>Dcycle Deutschland  GmbHDcycle Deutschland GmbHelectricity4446144815</v>
      </c>
      <c r="J243" s="12">
        <f t="shared" si="15"/>
        <v>9109</v>
      </c>
      <c r="K243" s="12">
        <f>IF(Combinadas!$C243="electricity", Combinadas!$J243/6.6667,
IF(Combinadas!$C243="water", Combinadas!$J243/3.333,
IF(Combinadas!$C243="heat", Combinadas!$J243/0.8333, IF(Combinadas!$C243="waste",Combinadas!$J243/25,
"NA"))))</f>
        <v>1366.3431682841588</v>
      </c>
      <c r="L243" s="12">
        <f>Combinadas!$J243</f>
        <v>9109</v>
      </c>
      <c r="M243" s="12">
        <f>IF(Table4[[#This Row],[Type]]="waste", Table4[[#This Row],[Q_Tonnes]]/25, Table4[[#This Row],[CO2_Noduplicates]])</f>
        <v>1366.3431682841588</v>
      </c>
    </row>
    <row r="244" spans="1:13" x14ac:dyDescent="0.25">
      <c r="A244" s="12" t="s">
        <v>12</v>
      </c>
      <c r="B244" s="12" t="s">
        <v>169</v>
      </c>
      <c r="C244" s="12" t="s">
        <v>128</v>
      </c>
      <c r="D244" s="13">
        <v>44816</v>
      </c>
      <c r="E244" s="13">
        <v>45199</v>
      </c>
      <c r="F244" s="14">
        <v>8905</v>
      </c>
      <c r="G244" s="15" t="s">
        <v>129</v>
      </c>
      <c r="H244" s="14">
        <v>1335.7433212833937</v>
      </c>
      <c r="I244" s="12" t="str">
        <f t="shared" si="12"/>
        <v>Dcycle Deutschland  GmbHDcycle Deutschland GmbHelectricity4481645199</v>
      </c>
      <c r="J244" s="12">
        <f t="shared" si="15"/>
        <v>8905</v>
      </c>
      <c r="K244" s="12">
        <f>IF(Combinadas!$C244="electricity", Combinadas!$J244/6.6667,
IF(Combinadas!$C244="water", Combinadas!$J244/3.333,
IF(Combinadas!$C244="heat", Combinadas!$J244/0.8333, IF(Combinadas!$C244="waste",Combinadas!$J244/25,
"NA"))))</f>
        <v>1335.7433212833937</v>
      </c>
      <c r="L244" s="12">
        <f>Combinadas!$J244</f>
        <v>8905</v>
      </c>
      <c r="M244" s="12">
        <f>IF(Table4[[#This Row],[Type]]="waste", Table4[[#This Row],[Q_Tonnes]]/25, Table4[[#This Row],[CO2_Noduplicates]])</f>
        <v>1335.7433212833937</v>
      </c>
    </row>
    <row r="245" spans="1:13" hidden="1" x14ac:dyDescent="0.25">
      <c r="A245" s="16" t="s">
        <v>12</v>
      </c>
      <c r="B245" s="16" t="s">
        <v>169</v>
      </c>
      <c r="C245" s="16" t="s">
        <v>140</v>
      </c>
      <c r="D245" s="17">
        <v>44461</v>
      </c>
      <c r="E245" s="17">
        <v>44815</v>
      </c>
      <c r="F245" s="18">
        <v>1260.4454210754391</v>
      </c>
      <c r="G245" s="19" t="s">
        <v>211</v>
      </c>
      <c r="H245" s="18">
        <v>1512.5950090908905</v>
      </c>
      <c r="I245" s="12" t="str">
        <f t="shared" si="12"/>
        <v>Dcycle Deutschland  GmbHDcycle Deutschland GmbHheat4446144815</v>
      </c>
      <c r="J245" s="12">
        <f t="shared" si="15"/>
        <v>1260.4454210754391</v>
      </c>
      <c r="K245" s="12">
        <f>IF(Combinadas!$C245="electricity", Combinadas!$J245/6.6667,
IF(Combinadas!$C245="water", Combinadas!$J245/3.333,
IF(Combinadas!$C245="heat", Combinadas!$J245/0.8333, IF(Combinadas!$C245="waste",Combinadas!$J245/25,
"NA"))))</f>
        <v>1512.5950090908905</v>
      </c>
      <c r="L245" s="12">
        <f>Combinadas!$J245</f>
        <v>1260.4454210754391</v>
      </c>
      <c r="M245" s="12">
        <f>IF(Table4[[#This Row],[Type]]="waste", Table4[[#This Row],[Q_Tonnes]]/25, Table4[[#This Row],[CO2_Noduplicates]])</f>
        <v>1512.5950090908905</v>
      </c>
    </row>
    <row r="246" spans="1:13" x14ac:dyDescent="0.25">
      <c r="A246" s="12" t="s">
        <v>12</v>
      </c>
      <c r="B246" s="12" t="s">
        <v>169</v>
      </c>
      <c r="C246" s="12" t="s">
        <v>140</v>
      </c>
      <c r="D246" s="13">
        <v>44816</v>
      </c>
      <c r="E246" s="13">
        <v>45199</v>
      </c>
      <c r="F246" s="14">
        <v>1037.7007619314093</v>
      </c>
      <c r="G246" s="15" t="s">
        <v>211</v>
      </c>
      <c r="H246" s="14">
        <v>1245.290725946729</v>
      </c>
      <c r="I246" s="12" t="str">
        <f t="shared" si="12"/>
        <v>Dcycle Deutschland  GmbHDcycle Deutschland GmbHheat4481645199</v>
      </c>
      <c r="J246" s="12">
        <f t="shared" si="15"/>
        <v>1037.7007619314093</v>
      </c>
      <c r="K246" s="12">
        <f>IF(Combinadas!$C246="electricity", Combinadas!$J246/6.6667,
IF(Combinadas!$C246="water", Combinadas!$J246/3.333,
IF(Combinadas!$C246="heat", Combinadas!$J246/0.8333, IF(Combinadas!$C246="waste",Combinadas!$J246/25,
"NA"))))</f>
        <v>1245.290725946729</v>
      </c>
      <c r="L246" s="12">
        <f>Combinadas!$J246</f>
        <v>1037.7007619314093</v>
      </c>
      <c r="M246" s="12">
        <f>IF(Table4[[#This Row],[Type]]="waste", Table4[[#This Row],[Q_Tonnes]]/25, Table4[[#This Row],[CO2_Noduplicates]])</f>
        <v>1245.290725946729</v>
      </c>
    </row>
    <row r="247" spans="1:13" x14ac:dyDescent="0.25">
      <c r="A247" s="16" t="s">
        <v>12</v>
      </c>
      <c r="B247" s="16" t="s">
        <v>169</v>
      </c>
      <c r="C247" s="16" t="s">
        <v>130</v>
      </c>
      <c r="D247" s="17">
        <v>44562</v>
      </c>
      <c r="E247" s="17">
        <v>44926</v>
      </c>
      <c r="F247" s="18">
        <v>43</v>
      </c>
      <c r="G247" s="19" t="s">
        <v>133</v>
      </c>
      <c r="H247" s="18">
        <v>12.901290129012901</v>
      </c>
      <c r="I247" s="12" t="str">
        <f t="shared" si="12"/>
        <v>Dcycle Deutschland  GmbHDcycle Deutschland GmbHwater4456244926</v>
      </c>
      <c r="J247" s="12">
        <f t="shared" si="15"/>
        <v>43</v>
      </c>
      <c r="K247" s="12">
        <f>IF(Combinadas!$C247="electricity", Combinadas!$J247/6.6667,
IF(Combinadas!$C247="water", Combinadas!$J247/3.333,
IF(Combinadas!$C247="heat", Combinadas!$J247/0.8333, IF(Combinadas!$C247="waste",Combinadas!$J247/25,
"NA"))))</f>
        <v>12.901290129012901</v>
      </c>
      <c r="L247" s="12">
        <f>Combinadas!$J247</f>
        <v>43</v>
      </c>
      <c r="M247" s="12">
        <f>IF(Table4[[#This Row],[Type]]="waste", Table4[[#This Row],[Q_Tonnes]]/25, Table4[[#This Row],[CO2_Noduplicates]])</f>
        <v>12.901290129012901</v>
      </c>
    </row>
    <row r="248" spans="1:13" x14ac:dyDescent="0.25">
      <c r="A248" s="12" t="s">
        <v>12</v>
      </c>
      <c r="B248" s="12" t="s">
        <v>169</v>
      </c>
      <c r="C248" s="12" t="s">
        <v>130</v>
      </c>
      <c r="D248" s="13">
        <v>44927</v>
      </c>
      <c r="E248" s="13">
        <v>45291</v>
      </c>
      <c r="F248" s="14">
        <v>29</v>
      </c>
      <c r="G248" s="15" t="s">
        <v>133</v>
      </c>
      <c r="H248" s="14">
        <v>8.7008700870087008</v>
      </c>
      <c r="I248" s="12" t="str">
        <f t="shared" si="12"/>
        <v>Dcycle Deutschland  GmbHDcycle Deutschland GmbHwater4492745291</v>
      </c>
      <c r="J248" s="12">
        <f t="shared" si="15"/>
        <v>29</v>
      </c>
      <c r="K248" s="12">
        <f>IF(Combinadas!$C248="electricity", Combinadas!$J248/6.6667,
IF(Combinadas!$C248="water", Combinadas!$J248/3.333,
IF(Combinadas!$C248="heat", Combinadas!$J248/0.8333, IF(Combinadas!$C248="waste",Combinadas!$J248/25,
"NA"))))</f>
        <v>8.7008700870087008</v>
      </c>
      <c r="L248" s="12">
        <f>Combinadas!$J248</f>
        <v>29</v>
      </c>
      <c r="M248" s="12">
        <f>IF(Table4[[#This Row],[Type]]="waste", Table4[[#This Row],[Q_Tonnes]]/25, Table4[[#This Row],[CO2_Noduplicates]])</f>
        <v>8.7008700870087008</v>
      </c>
    </row>
    <row r="249" spans="1:13" x14ac:dyDescent="0.25">
      <c r="A249" s="16" t="s">
        <v>14</v>
      </c>
      <c r="B249" s="16" t="s">
        <v>14</v>
      </c>
      <c r="C249" s="16" t="s">
        <v>128</v>
      </c>
      <c r="D249" s="17">
        <v>44922</v>
      </c>
      <c r="E249" s="17">
        <v>44952</v>
      </c>
      <c r="F249" s="18">
        <v>2780</v>
      </c>
      <c r="G249" s="19" t="s">
        <v>129</v>
      </c>
      <c r="H249" s="18">
        <v>416.99791501042495</v>
      </c>
      <c r="I249" s="12" t="str">
        <f t="shared" si="12"/>
        <v>Dcycle France SARLDcycle France SARLelectricity4492244952</v>
      </c>
      <c r="J249" s="12">
        <f t="shared" si="15"/>
        <v>2780</v>
      </c>
      <c r="K249" s="12">
        <f>IF(Combinadas!$C249="electricity", Combinadas!$J249/6.6667,
IF(Combinadas!$C249="water", Combinadas!$J249/3.333,
IF(Combinadas!$C249="heat", Combinadas!$J249/0.8333, IF(Combinadas!$C249="waste",Combinadas!$J249/25,
"NA"))))</f>
        <v>416.99791501042495</v>
      </c>
      <c r="L249" s="12">
        <f>Combinadas!$J249</f>
        <v>2780</v>
      </c>
      <c r="M249" s="12">
        <f>IF(Table4[[#This Row],[Type]]="waste", Table4[[#This Row],[Q_Tonnes]]/25, Table4[[#This Row],[CO2_Noduplicates]])</f>
        <v>416.99791501042495</v>
      </c>
    </row>
    <row r="250" spans="1:13" x14ac:dyDescent="0.25">
      <c r="A250" s="12" t="s">
        <v>14</v>
      </c>
      <c r="B250" s="12" t="s">
        <v>14</v>
      </c>
      <c r="C250" s="12" t="s">
        <v>128</v>
      </c>
      <c r="D250" s="13">
        <v>44953</v>
      </c>
      <c r="E250" s="13">
        <v>44983</v>
      </c>
      <c r="F250" s="14">
        <v>2942</v>
      </c>
      <c r="G250" s="15" t="s">
        <v>129</v>
      </c>
      <c r="H250" s="14">
        <v>441.29779351103247</v>
      </c>
      <c r="I250" s="12" t="str">
        <f t="shared" si="12"/>
        <v>Dcycle France SARLDcycle France SARLelectricity4495344983</v>
      </c>
      <c r="J250" s="12">
        <f t="shared" si="15"/>
        <v>2942</v>
      </c>
      <c r="K250" s="12">
        <f>IF(Combinadas!$C250="electricity", Combinadas!$J250/6.6667,
IF(Combinadas!$C250="water", Combinadas!$J250/3.333,
IF(Combinadas!$C250="heat", Combinadas!$J250/0.8333, IF(Combinadas!$C250="waste",Combinadas!$J250/25,
"NA"))))</f>
        <v>441.29779351103247</v>
      </c>
      <c r="L250" s="12">
        <f>Combinadas!$J250</f>
        <v>2942</v>
      </c>
      <c r="M250" s="12">
        <f>IF(Table4[[#This Row],[Type]]="waste", Table4[[#This Row],[Q_Tonnes]]/25, Table4[[#This Row],[CO2_Noduplicates]])</f>
        <v>441.29779351103247</v>
      </c>
    </row>
    <row r="251" spans="1:13" x14ac:dyDescent="0.25">
      <c r="A251" s="16" t="s">
        <v>14</v>
      </c>
      <c r="B251" s="16" t="s">
        <v>14</v>
      </c>
      <c r="C251" s="16" t="s">
        <v>128</v>
      </c>
      <c r="D251" s="17">
        <v>44984</v>
      </c>
      <c r="E251" s="17">
        <v>45011</v>
      </c>
      <c r="F251" s="18">
        <v>2316</v>
      </c>
      <c r="G251" s="19" t="s">
        <v>129</v>
      </c>
      <c r="H251" s="18">
        <v>347.39826300868498</v>
      </c>
      <c r="I251" s="12" t="str">
        <f t="shared" si="12"/>
        <v>Dcycle France SARLDcycle France SARLelectricity4498445011</v>
      </c>
      <c r="J251" s="12">
        <f t="shared" si="15"/>
        <v>2316</v>
      </c>
      <c r="K251" s="12">
        <f>IF(Combinadas!$C251="electricity", Combinadas!$J251/6.6667,
IF(Combinadas!$C251="water", Combinadas!$J251/3.333,
IF(Combinadas!$C251="heat", Combinadas!$J251/0.8333, IF(Combinadas!$C251="waste",Combinadas!$J251/25,
"NA"))))</f>
        <v>347.39826300868498</v>
      </c>
      <c r="L251" s="12">
        <f>Combinadas!$J251</f>
        <v>2316</v>
      </c>
      <c r="M251" s="12">
        <f>IF(Table4[[#This Row],[Type]]="waste", Table4[[#This Row],[Q_Tonnes]]/25, Table4[[#This Row],[CO2_Noduplicates]])</f>
        <v>347.39826300868498</v>
      </c>
    </row>
    <row r="252" spans="1:13" x14ac:dyDescent="0.25">
      <c r="A252" s="12" t="s">
        <v>14</v>
      </c>
      <c r="B252" s="12" t="s">
        <v>14</v>
      </c>
      <c r="C252" s="12" t="s">
        <v>128</v>
      </c>
      <c r="D252" s="13">
        <v>45012</v>
      </c>
      <c r="E252" s="13">
        <v>45042</v>
      </c>
      <c r="F252" s="14">
        <v>7938.47</v>
      </c>
      <c r="G252" s="20" t="s">
        <v>129</v>
      </c>
      <c r="H252" s="14">
        <v>1190.7645461772693</v>
      </c>
      <c r="I252" s="12" t="str">
        <f t="shared" si="12"/>
        <v>Dcycle France SARLDcycle France SARLelectricity4501245042</v>
      </c>
      <c r="J252" s="12">
        <f t="shared" si="15"/>
        <v>7938.47</v>
      </c>
      <c r="K252" s="12">
        <f>IF(Combinadas!$C252="electricity", Combinadas!$J252/6.6667,
IF(Combinadas!$C252="water", Combinadas!$J252/3.333,
IF(Combinadas!$C252="heat", Combinadas!$J252/0.8333, IF(Combinadas!$C252="waste",Combinadas!$J252/25,
"NA"))))</f>
        <v>1190.7645461772693</v>
      </c>
      <c r="L252" s="12">
        <f>Combinadas!$J252</f>
        <v>7938.47</v>
      </c>
      <c r="M252" s="12">
        <f>IF(Table4[[#This Row],[Type]]="waste", Table4[[#This Row],[Q_Tonnes]]/25, Table4[[#This Row],[CO2_Noduplicates]])</f>
        <v>1190.7645461772693</v>
      </c>
    </row>
    <row r="253" spans="1:13" x14ac:dyDescent="0.25">
      <c r="A253" s="16" t="s">
        <v>14</v>
      </c>
      <c r="B253" s="16" t="s">
        <v>14</v>
      </c>
      <c r="C253" s="16" t="s">
        <v>128</v>
      </c>
      <c r="D253" s="17">
        <v>45043</v>
      </c>
      <c r="E253" s="17">
        <v>45072</v>
      </c>
      <c r="F253" s="18">
        <v>826</v>
      </c>
      <c r="G253" s="19" t="s">
        <v>129</v>
      </c>
      <c r="H253" s="18">
        <v>123.89938050309749</v>
      </c>
      <c r="I253" s="12" t="str">
        <f t="shared" si="12"/>
        <v>Dcycle France SARLDcycle France SARLelectricity4504345072</v>
      </c>
      <c r="J253" s="12">
        <f t="shared" si="15"/>
        <v>826</v>
      </c>
      <c r="K253" s="12">
        <f>IF(Combinadas!$C253="electricity", Combinadas!$J253/6.6667,
IF(Combinadas!$C253="water", Combinadas!$J253/3.333,
IF(Combinadas!$C253="heat", Combinadas!$J253/0.8333, IF(Combinadas!$C253="waste",Combinadas!$J253/25,
"NA"))))</f>
        <v>123.89938050309749</v>
      </c>
      <c r="L253" s="12">
        <f>Combinadas!$J253</f>
        <v>826</v>
      </c>
      <c r="M253" s="12">
        <f>IF(Table4[[#This Row],[Type]]="waste", Table4[[#This Row],[Q_Tonnes]]/25, Table4[[#This Row],[CO2_Noduplicates]])</f>
        <v>123.89938050309749</v>
      </c>
    </row>
    <row r="254" spans="1:13" x14ac:dyDescent="0.25">
      <c r="A254" s="12" t="s">
        <v>14</v>
      </c>
      <c r="B254" s="12" t="s">
        <v>14</v>
      </c>
      <c r="C254" s="12" t="s">
        <v>128</v>
      </c>
      <c r="D254" s="13">
        <v>45073</v>
      </c>
      <c r="E254" s="13">
        <v>45103</v>
      </c>
      <c r="F254" s="14">
        <v>328</v>
      </c>
      <c r="G254" s="15" t="s">
        <v>129</v>
      </c>
      <c r="H254" s="14">
        <v>49.199754001229998</v>
      </c>
      <c r="I254" s="12" t="str">
        <f t="shared" si="12"/>
        <v>Dcycle France SARLDcycle France SARLelectricity4507345103</v>
      </c>
      <c r="J254" s="12">
        <f t="shared" si="15"/>
        <v>328</v>
      </c>
      <c r="K254" s="12">
        <f>IF(Combinadas!$C254="electricity", Combinadas!$J254/6.6667,
IF(Combinadas!$C254="water", Combinadas!$J254/3.333,
IF(Combinadas!$C254="heat", Combinadas!$J254/0.8333, IF(Combinadas!$C254="waste",Combinadas!$J254/25,
"NA"))))</f>
        <v>49.199754001229998</v>
      </c>
      <c r="L254" s="12">
        <f>Combinadas!$J254</f>
        <v>328</v>
      </c>
      <c r="M254" s="12">
        <f>IF(Table4[[#This Row],[Type]]="waste", Table4[[#This Row],[Q_Tonnes]]/25, Table4[[#This Row],[CO2_Noduplicates]])</f>
        <v>49.199754001229998</v>
      </c>
    </row>
    <row r="255" spans="1:13" x14ac:dyDescent="0.25">
      <c r="A255" s="16" t="s">
        <v>14</v>
      </c>
      <c r="B255" s="16" t="s">
        <v>14</v>
      </c>
      <c r="C255" s="16" t="s">
        <v>128</v>
      </c>
      <c r="D255" s="17">
        <v>45104</v>
      </c>
      <c r="E255" s="17">
        <v>45133</v>
      </c>
      <c r="F255" s="18">
        <v>281</v>
      </c>
      <c r="G255" s="19" t="s">
        <v>129</v>
      </c>
      <c r="H255" s="18">
        <v>42.149789251053747</v>
      </c>
      <c r="I255" s="12" t="str">
        <f t="shared" si="12"/>
        <v>Dcycle France SARLDcycle France SARLelectricity4510445133</v>
      </c>
      <c r="J255" s="12">
        <f t="shared" si="15"/>
        <v>281</v>
      </c>
      <c r="K255" s="12">
        <f>IF(Combinadas!$C255="electricity", Combinadas!$J255/6.6667,
IF(Combinadas!$C255="water", Combinadas!$J255/3.333,
IF(Combinadas!$C255="heat", Combinadas!$J255/0.8333, IF(Combinadas!$C255="waste",Combinadas!$J255/25,
"NA"))))</f>
        <v>42.149789251053747</v>
      </c>
      <c r="L255" s="12">
        <f>Combinadas!$J255</f>
        <v>281</v>
      </c>
      <c r="M255" s="12">
        <f>IF(Table4[[#This Row],[Type]]="waste", Table4[[#This Row],[Q_Tonnes]]/25, Table4[[#This Row],[CO2_Noduplicates]])</f>
        <v>42.149789251053747</v>
      </c>
    </row>
    <row r="256" spans="1:13" x14ac:dyDescent="0.25">
      <c r="A256" s="12" t="s">
        <v>14</v>
      </c>
      <c r="B256" s="12" t="s">
        <v>14</v>
      </c>
      <c r="C256" s="12" t="s">
        <v>128</v>
      </c>
      <c r="D256" s="13">
        <v>45134</v>
      </c>
      <c r="E256" s="13">
        <v>45164</v>
      </c>
      <c r="F256" s="14">
        <v>278</v>
      </c>
      <c r="G256" s="15" t="s">
        <v>129</v>
      </c>
      <c r="H256" s="14">
        <v>41.699791501042498</v>
      </c>
      <c r="I256" s="12" t="str">
        <f t="shared" si="12"/>
        <v>Dcycle France SARLDcycle France SARLelectricity4513445164</v>
      </c>
      <c r="J256" s="12">
        <f t="shared" si="15"/>
        <v>278</v>
      </c>
      <c r="K256" s="12">
        <f>IF(Combinadas!$C256="electricity", Combinadas!$J256/6.6667,
IF(Combinadas!$C256="water", Combinadas!$J256/3.333,
IF(Combinadas!$C256="heat", Combinadas!$J256/0.8333, IF(Combinadas!$C256="waste",Combinadas!$J256/25,
"NA"))))</f>
        <v>41.699791501042498</v>
      </c>
      <c r="L256" s="12">
        <f>Combinadas!$J256</f>
        <v>278</v>
      </c>
      <c r="M256" s="12">
        <f>IF(Table4[[#This Row],[Type]]="waste", Table4[[#This Row],[Q_Tonnes]]/25, Table4[[#This Row],[CO2_Noduplicates]])</f>
        <v>41.699791501042498</v>
      </c>
    </row>
    <row r="257" spans="1:13" x14ac:dyDescent="0.25">
      <c r="A257" s="16" t="s">
        <v>14</v>
      </c>
      <c r="B257" s="16" t="s">
        <v>14</v>
      </c>
      <c r="C257" s="16" t="s">
        <v>128</v>
      </c>
      <c r="D257" s="17">
        <v>45165</v>
      </c>
      <c r="E257" s="17">
        <v>45195</v>
      </c>
      <c r="F257" s="18">
        <v>435</v>
      </c>
      <c r="G257" s="19" t="s">
        <v>129</v>
      </c>
      <c r="H257" s="18">
        <v>65.249673751631249</v>
      </c>
      <c r="I257" s="12" t="str">
        <f t="shared" si="12"/>
        <v>Dcycle France SARLDcycle France SARLelectricity4516545195</v>
      </c>
      <c r="J257" s="12">
        <f t="shared" si="15"/>
        <v>435</v>
      </c>
      <c r="K257" s="12">
        <f>IF(Combinadas!$C257="electricity", Combinadas!$J257/6.6667,
IF(Combinadas!$C257="water", Combinadas!$J257/3.333,
IF(Combinadas!$C257="heat", Combinadas!$J257/0.8333, IF(Combinadas!$C257="waste",Combinadas!$J257/25,
"NA"))))</f>
        <v>65.249673751631249</v>
      </c>
      <c r="L257" s="12">
        <f>Combinadas!$J257</f>
        <v>435</v>
      </c>
      <c r="M257" s="12">
        <f>IF(Table4[[#This Row],[Type]]="waste", Table4[[#This Row],[Q_Tonnes]]/25, Table4[[#This Row],[CO2_Noduplicates]])</f>
        <v>65.249673751631249</v>
      </c>
    </row>
    <row r="258" spans="1:13" x14ac:dyDescent="0.25">
      <c r="A258" s="12" t="s">
        <v>14</v>
      </c>
      <c r="B258" s="12" t="s">
        <v>14</v>
      </c>
      <c r="C258" s="12" t="s">
        <v>128</v>
      </c>
      <c r="D258" s="13">
        <v>45196</v>
      </c>
      <c r="E258" s="13">
        <v>45226</v>
      </c>
      <c r="F258" s="14">
        <v>818</v>
      </c>
      <c r="G258" s="15" t="s">
        <v>129</v>
      </c>
      <c r="H258" s="14">
        <v>122.69938650306749</v>
      </c>
      <c r="I258" s="12" t="str">
        <f t="shared" ref="I258:I321" si="16">A258&amp;B258&amp;C258&amp;D258&amp;E258</f>
        <v>Dcycle France SARLDcycle France SARLelectricity4519645226</v>
      </c>
      <c r="J258" s="12">
        <f t="shared" si="15"/>
        <v>818</v>
      </c>
      <c r="K258" s="12">
        <f>IF(Combinadas!$C258="electricity", Combinadas!$J258/6.6667,
IF(Combinadas!$C258="water", Combinadas!$J258/3.333,
IF(Combinadas!$C258="heat", Combinadas!$J258/0.8333, IF(Combinadas!$C258="waste",Combinadas!$J258/25,
"NA"))))</f>
        <v>122.69938650306749</v>
      </c>
      <c r="L258" s="12">
        <f>Combinadas!$J258</f>
        <v>818</v>
      </c>
      <c r="M258" s="12">
        <f>IF(Table4[[#This Row],[Type]]="waste", Table4[[#This Row],[Q_Tonnes]]/25, Table4[[#This Row],[CO2_Noduplicates]])</f>
        <v>122.69938650306749</v>
      </c>
    </row>
    <row r="259" spans="1:13" x14ac:dyDescent="0.25">
      <c r="A259" s="16" t="s">
        <v>14</v>
      </c>
      <c r="B259" s="16" t="s">
        <v>14</v>
      </c>
      <c r="C259" s="16" t="s">
        <v>128</v>
      </c>
      <c r="D259" s="17">
        <v>45226</v>
      </c>
      <c r="E259" s="17">
        <v>45257</v>
      </c>
      <c r="F259" s="18">
        <v>1460</v>
      </c>
      <c r="G259" s="19" t="s">
        <v>129</v>
      </c>
      <c r="H259" s="18">
        <v>218.998905005475</v>
      </c>
      <c r="I259" s="12" t="str">
        <f t="shared" si="16"/>
        <v>Dcycle France SARLDcycle France SARLelectricity4522645257</v>
      </c>
      <c r="J259" s="12">
        <f t="shared" si="15"/>
        <v>1460</v>
      </c>
      <c r="K259" s="12">
        <f>IF(Combinadas!$C259="electricity", Combinadas!$J259/6.6667,
IF(Combinadas!$C259="water", Combinadas!$J259/3.333,
IF(Combinadas!$C259="heat", Combinadas!$J259/0.8333, IF(Combinadas!$C259="waste",Combinadas!$J259/25,
"NA"))))</f>
        <v>218.998905005475</v>
      </c>
      <c r="L259" s="12">
        <f>Combinadas!$J259</f>
        <v>1460</v>
      </c>
      <c r="M259" s="12">
        <f>IF(Table4[[#This Row],[Type]]="waste", Table4[[#This Row],[Q_Tonnes]]/25, Table4[[#This Row],[CO2_Noduplicates]])</f>
        <v>218.998905005475</v>
      </c>
    </row>
    <row r="260" spans="1:13" x14ac:dyDescent="0.25">
      <c r="A260" s="12" t="s">
        <v>14</v>
      </c>
      <c r="B260" s="12" t="s">
        <v>14</v>
      </c>
      <c r="C260" s="12" t="s">
        <v>128</v>
      </c>
      <c r="D260" s="13">
        <v>45257</v>
      </c>
      <c r="E260" s="13">
        <v>45287</v>
      </c>
      <c r="F260" s="14">
        <v>2209</v>
      </c>
      <c r="G260" s="15" t="s">
        <v>129</v>
      </c>
      <c r="H260" s="14">
        <v>331.34834325828371</v>
      </c>
      <c r="I260" s="12" t="str">
        <f t="shared" si="16"/>
        <v>Dcycle France SARLDcycle France SARLelectricity4525745287</v>
      </c>
      <c r="J260" s="12">
        <f t="shared" si="15"/>
        <v>2209</v>
      </c>
      <c r="K260" s="12">
        <f>IF(Combinadas!$C260="electricity", Combinadas!$J260/6.6667,
IF(Combinadas!$C260="water", Combinadas!$J260/3.333,
IF(Combinadas!$C260="heat", Combinadas!$J260/0.8333, IF(Combinadas!$C260="waste",Combinadas!$J260/25,
"NA"))))</f>
        <v>331.34834325828371</v>
      </c>
      <c r="L260" s="12">
        <f>Combinadas!$J260</f>
        <v>2209</v>
      </c>
      <c r="M260" s="12">
        <f>IF(Table4[[#This Row],[Type]]="waste", Table4[[#This Row],[Q_Tonnes]]/25, Table4[[#This Row],[CO2_Noduplicates]])</f>
        <v>331.34834325828371</v>
      </c>
    </row>
    <row r="261" spans="1:13" x14ac:dyDescent="0.25">
      <c r="A261" s="16" t="s">
        <v>15</v>
      </c>
      <c r="B261" s="16" t="s">
        <v>15</v>
      </c>
      <c r="C261" s="16" t="s">
        <v>128</v>
      </c>
      <c r="D261" s="17">
        <v>44915</v>
      </c>
      <c r="E261" s="17">
        <v>44945</v>
      </c>
      <c r="F261" s="18">
        <v>514</v>
      </c>
      <c r="G261" s="19" t="s">
        <v>129</v>
      </c>
      <c r="H261" s="18">
        <v>77.099614501927491</v>
      </c>
      <c r="I261" s="12" t="str">
        <f t="shared" si="16"/>
        <v>Dcycle USA IncDcycle USA Incelectricity4491544945</v>
      </c>
      <c r="J261" s="12">
        <f t="shared" si="15"/>
        <v>0</v>
      </c>
      <c r="K261" s="12">
        <f>IF(Combinadas!$C261="electricity", Combinadas!$J261/6.6667,
IF(Combinadas!$C261="water", Combinadas!$J261/3.333,
IF(Combinadas!$C261="heat", Combinadas!$J261/0.8333, IF(Combinadas!$C261="waste",Combinadas!$J261/25,
"NA"))))</f>
        <v>0</v>
      </c>
      <c r="L261" s="12">
        <f>Combinadas!$J261</f>
        <v>0</v>
      </c>
      <c r="M261" s="12">
        <f>IF(Table4[[#This Row],[Type]]="waste", Table4[[#This Row],[Q_Tonnes]]/25, Table4[[#This Row],[CO2_Noduplicates]])</f>
        <v>0</v>
      </c>
    </row>
    <row r="262" spans="1:13" x14ac:dyDescent="0.25">
      <c r="A262" s="12" t="s">
        <v>15</v>
      </c>
      <c r="B262" s="12" t="s">
        <v>15</v>
      </c>
      <c r="C262" s="12" t="s">
        <v>128</v>
      </c>
      <c r="D262" s="13">
        <v>44915</v>
      </c>
      <c r="E262" s="13">
        <v>44945</v>
      </c>
      <c r="F262" s="14">
        <v>1179</v>
      </c>
      <c r="G262" s="15" t="s">
        <v>129</v>
      </c>
      <c r="H262" s="14">
        <v>176.84911575442123</v>
      </c>
      <c r="I262" s="12" t="str">
        <f t="shared" si="16"/>
        <v>Dcycle USA IncDcycle USA Incelectricity4491544945</v>
      </c>
      <c r="J262" s="12">
        <f t="shared" si="15"/>
        <v>1179</v>
      </c>
      <c r="K262" s="12">
        <f>IF(Combinadas!$C262="electricity", Combinadas!$J262/6.6667,
IF(Combinadas!$C262="water", Combinadas!$J262/3.333,
IF(Combinadas!$C262="heat", Combinadas!$J262/0.8333, IF(Combinadas!$C262="waste",Combinadas!$J262/25,
"NA"))))</f>
        <v>176.84911575442123</v>
      </c>
      <c r="L262" s="12">
        <f>Combinadas!$J262</f>
        <v>1179</v>
      </c>
      <c r="M262" s="12">
        <f>IF(Table4[[#This Row],[Type]]="waste", Table4[[#This Row],[Q_Tonnes]]/25, Table4[[#This Row],[CO2_Noduplicates]])</f>
        <v>176.84911575442123</v>
      </c>
    </row>
    <row r="263" spans="1:13" x14ac:dyDescent="0.25">
      <c r="A263" s="16" t="s">
        <v>15</v>
      </c>
      <c r="B263" s="16" t="s">
        <v>15</v>
      </c>
      <c r="C263" s="16" t="s">
        <v>128</v>
      </c>
      <c r="D263" s="17">
        <v>44946</v>
      </c>
      <c r="E263" s="17">
        <v>44974</v>
      </c>
      <c r="F263" s="18">
        <v>481</v>
      </c>
      <c r="G263" s="19" t="s">
        <v>129</v>
      </c>
      <c r="H263" s="18">
        <v>72.149639251803748</v>
      </c>
      <c r="I263" s="12" t="str">
        <f t="shared" si="16"/>
        <v>Dcycle USA IncDcycle USA Incelectricity4494644974</v>
      </c>
      <c r="J263" s="12">
        <f t="shared" si="15"/>
        <v>0</v>
      </c>
      <c r="K263" s="12">
        <f>IF(Combinadas!$C263="electricity", Combinadas!$J263/6.6667,
IF(Combinadas!$C263="water", Combinadas!$J263/3.333,
IF(Combinadas!$C263="heat", Combinadas!$J263/0.8333, IF(Combinadas!$C263="waste",Combinadas!$J263/25,
"NA"))))</f>
        <v>0</v>
      </c>
      <c r="L263" s="12">
        <f>Combinadas!$J263</f>
        <v>0</v>
      </c>
      <c r="M263" s="12">
        <f>IF(Table4[[#This Row],[Type]]="waste", Table4[[#This Row],[Q_Tonnes]]/25, Table4[[#This Row],[CO2_Noduplicates]])</f>
        <v>0</v>
      </c>
    </row>
    <row r="264" spans="1:13" x14ac:dyDescent="0.25">
      <c r="A264" s="12" t="s">
        <v>15</v>
      </c>
      <c r="B264" s="12" t="s">
        <v>15</v>
      </c>
      <c r="C264" s="12" t="s">
        <v>128</v>
      </c>
      <c r="D264" s="13">
        <v>44946</v>
      </c>
      <c r="E264" s="13">
        <v>44974</v>
      </c>
      <c r="F264" s="14">
        <v>907</v>
      </c>
      <c r="G264" s="15" t="s">
        <v>129</v>
      </c>
      <c r="H264" s="14">
        <v>136.04931975340125</v>
      </c>
      <c r="I264" s="12" t="str">
        <f t="shared" si="16"/>
        <v>Dcycle USA IncDcycle USA Incelectricity4494644974</v>
      </c>
      <c r="J264" s="12">
        <f t="shared" si="15"/>
        <v>907</v>
      </c>
      <c r="K264" s="12">
        <f>IF(Combinadas!$C264="electricity", Combinadas!$J264/6.6667,
IF(Combinadas!$C264="water", Combinadas!$J264/3.333,
IF(Combinadas!$C264="heat", Combinadas!$J264/0.8333, IF(Combinadas!$C264="waste",Combinadas!$J264/25,
"NA"))))</f>
        <v>136.04931975340125</v>
      </c>
      <c r="L264" s="12">
        <f>Combinadas!$J264</f>
        <v>907</v>
      </c>
      <c r="M264" s="12">
        <f>IF(Table4[[#This Row],[Type]]="waste", Table4[[#This Row],[Q_Tonnes]]/25, Table4[[#This Row],[CO2_Noduplicates]])</f>
        <v>136.04931975340125</v>
      </c>
    </row>
    <row r="265" spans="1:13" x14ac:dyDescent="0.25">
      <c r="A265" s="16" t="s">
        <v>15</v>
      </c>
      <c r="B265" s="16" t="s">
        <v>15</v>
      </c>
      <c r="C265" s="16" t="s">
        <v>128</v>
      </c>
      <c r="D265" s="17">
        <v>44975</v>
      </c>
      <c r="E265" s="17">
        <v>45006</v>
      </c>
      <c r="F265" s="18">
        <v>631</v>
      </c>
      <c r="G265" s="19" t="s">
        <v>129</v>
      </c>
      <c r="H265" s="18">
        <v>94.649526752366242</v>
      </c>
      <c r="I265" s="12" t="str">
        <f t="shared" si="16"/>
        <v>Dcycle USA IncDcycle USA Incelectricity4497545006</v>
      </c>
      <c r="J265" s="12">
        <f t="shared" si="15"/>
        <v>0</v>
      </c>
      <c r="K265" s="12">
        <f>IF(Combinadas!$C265="electricity", Combinadas!$J265/6.6667,
IF(Combinadas!$C265="water", Combinadas!$J265/3.333,
IF(Combinadas!$C265="heat", Combinadas!$J265/0.8333, IF(Combinadas!$C265="waste",Combinadas!$J265/25,
"NA"))))</f>
        <v>0</v>
      </c>
      <c r="L265" s="12">
        <f>Combinadas!$J265</f>
        <v>0</v>
      </c>
      <c r="M265" s="12">
        <f>IF(Table4[[#This Row],[Type]]="waste", Table4[[#This Row],[Q_Tonnes]]/25, Table4[[#This Row],[CO2_Noduplicates]])</f>
        <v>0</v>
      </c>
    </row>
    <row r="266" spans="1:13" x14ac:dyDescent="0.25">
      <c r="A266" s="12" t="s">
        <v>15</v>
      </c>
      <c r="B266" s="12" t="s">
        <v>15</v>
      </c>
      <c r="C266" s="12" t="s">
        <v>128</v>
      </c>
      <c r="D266" s="13">
        <v>44975</v>
      </c>
      <c r="E266" s="13">
        <v>45006</v>
      </c>
      <c r="F266" s="14">
        <v>735</v>
      </c>
      <c r="G266" s="15" t="s">
        <v>129</v>
      </c>
      <c r="H266" s="14">
        <v>110.24944875275624</v>
      </c>
      <c r="I266" s="12" t="str">
        <f t="shared" si="16"/>
        <v>Dcycle USA IncDcycle USA Incelectricity4497545006</v>
      </c>
      <c r="J266" s="12">
        <f t="shared" si="15"/>
        <v>735</v>
      </c>
      <c r="K266" s="12">
        <f>IF(Combinadas!$C266="electricity", Combinadas!$J266/6.6667,
IF(Combinadas!$C266="water", Combinadas!$J266/3.333,
IF(Combinadas!$C266="heat", Combinadas!$J266/0.8333, IF(Combinadas!$C266="waste",Combinadas!$J266/25,
"NA"))))</f>
        <v>110.24944875275624</v>
      </c>
      <c r="L266" s="12">
        <f>Combinadas!$J266</f>
        <v>735</v>
      </c>
      <c r="M266" s="12">
        <f>IF(Table4[[#This Row],[Type]]="waste", Table4[[#This Row],[Q_Tonnes]]/25, Table4[[#This Row],[CO2_Noduplicates]])</f>
        <v>110.24944875275624</v>
      </c>
    </row>
    <row r="267" spans="1:13" x14ac:dyDescent="0.25">
      <c r="A267" s="16" t="s">
        <v>15</v>
      </c>
      <c r="B267" s="16" t="s">
        <v>15</v>
      </c>
      <c r="C267" s="16" t="s">
        <v>128</v>
      </c>
      <c r="D267" s="17">
        <v>45007</v>
      </c>
      <c r="E267" s="17">
        <v>45035</v>
      </c>
      <c r="F267" s="18">
        <v>832</v>
      </c>
      <c r="G267" s="19" t="s">
        <v>129</v>
      </c>
      <c r="H267" s="18">
        <v>124.79937600311999</v>
      </c>
      <c r="I267" s="12" t="str">
        <f t="shared" si="16"/>
        <v>Dcycle USA IncDcycle USA Incelectricity4500745035</v>
      </c>
      <c r="J267" s="12">
        <f t="shared" si="15"/>
        <v>0</v>
      </c>
      <c r="K267" s="12">
        <f>IF(Combinadas!$C267="electricity", Combinadas!$J267/6.6667,
IF(Combinadas!$C267="water", Combinadas!$J267/3.333,
IF(Combinadas!$C267="heat", Combinadas!$J267/0.8333, IF(Combinadas!$C267="waste",Combinadas!$J267/25,
"NA"))))</f>
        <v>0</v>
      </c>
      <c r="L267" s="12">
        <f>Combinadas!$J267</f>
        <v>0</v>
      </c>
      <c r="M267" s="12">
        <f>IF(Table4[[#This Row],[Type]]="waste", Table4[[#This Row],[Q_Tonnes]]/25, Table4[[#This Row],[CO2_Noduplicates]])</f>
        <v>0</v>
      </c>
    </row>
    <row r="268" spans="1:13" x14ac:dyDescent="0.25">
      <c r="A268" s="12" t="s">
        <v>15</v>
      </c>
      <c r="B268" s="12" t="s">
        <v>15</v>
      </c>
      <c r="C268" s="12" t="s">
        <v>128</v>
      </c>
      <c r="D268" s="13">
        <v>45007</v>
      </c>
      <c r="E268" s="13">
        <v>45035</v>
      </c>
      <c r="F268" s="14">
        <v>1241</v>
      </c>
      <c r="G268" s="15" t="s">
        <v>129</v>
      </c>
      <c r="H268" s="14">
        <v>186.14906925465374</v>
      </c>
      <c r="I268" s="12" t="str">
        <f t="shared" si="16"/>
        <v>Dcycle USA IncDcycle USA Incelectricity4500745035</v>
      </c>
      <c r="J268" s="12">
        <f t="shared" si="15"/>
        <v>1241</v>
      </c>
      <c r="K268" s="12">
        <f>IF(Combinadas!$C268="electricity", Combinadas!$J268/6.6667,
IF(Combinadas!$C268="water", Combinadas!$J268/3.333,
IF(Combinadas!$C268="heat", Combinadas!$J268/0.8333, IF(Combinadas!$C268="waste",Combinadas!$J268/25,
"NA"))))</f>
        <v>186.14906925465374</v>
      </c>
      <c r="L268" s="12">
        <f>Combinadas!$J268</f>
        <v>1241</v>
      </c>
      <c r="M268" s="12">
        <f>IF(Table4[[#This Row],[Type]]="waste", Table4[[#This Row],[Q_Tonnes]]/25, Table4[[#This Row],[CO2_Noduplicates]])</f>
        <v>186.14906925465374</v>
      </c>
    </row>
    <row r="269" spans="1:13" x14ac:dyDescent="0.25">
      <c r="A269" s="16" t="s">
        <v>15</v>
      </c>
      <c r="B269" s="16" t="s">
        <v>15</v>
      </c>
      <c r="C269" s="16" t="s">
        <v>128</v>
      </c>
      <c r="D269" s="17">
        <v>45036</v>
      </c>
      <c r="E269" s="17">
        <v>45064</v>
      </c>
      <c r="F269" s="18">
        <v>1254</v>
      </c>
      <c r="G269" s="19" t="s">
        <v>129</v>
      </c>
      <c r="H269" s="18">
        <v>188.0990595047025</v>
      </c>
      <c r="I269" s="12" t="str">
        <f t="shared" si="16"/>
        <v>Dcycle USA IncDcycle USA Incelectricity4503645064</v>
      </c>
      <c r="J269" s="12">
        <f t="shared" si="15"/>
        <v>0</v>
      </c>
      <c r="K269" s="12">
        <f>IF(Combinadas!$C269="electricity", Combinadas!$J269/6.6667,
IF(Combinadas!$C269="water", Combinadas!$J269/3.333,
IF(Combinadas!$C269="heat", Combinadas!$J269/0.8333, IF(Combinadas!$C269="waste",Combinadas!$J269/25,
"NA"))))</f>
        <v>0</v>
      </c>
      <c r="L269" s="12">
        <f>Combinadas!$J269</f>
        <v>0</v>
      </c>
      <c r="M269" s="12">
        <f>IF(Table4[[#This Row],[Type]]="waste", Table4[[#This Row],[Q_Tonnes]]/25, Table4[[#This Row],[CO2_Noduplicates]])</f>
        <v>0</v>
      </c>
    </row>
    <row r="270" spans="1:13" x14ac:dyDescent="0.25">
      <c r="A270" s="12" t="s">
        <v>15</v>
      </c>
      <c r="B270" s="12" t="s">
        <v>15</v>
      </c>
      <c r="C270" s="12" t="s">
        <v>128</v>
      </c>
      <c r="D270" s="13">
        <v>45036</v>
      </c>
      <c r="E270" s="13">
        <v>45064</v>
      </c>
      <c r="F270" s="14">
        <v>1324</v>
      </c>
      <c r="G270" s="15" t="s">
        <v>129</v>
      </c>
      <c r="H270" s="14">
        <v>198.59900700496499</v>
      </c>
      <c r="I270" s="12" t="str">
        <f t="shared" si="16"/>
        <v>Dcycle USA IncDcycle USA Incelectricity4503645064</v>
      </c>
      <c r="J270" s="12">
        <f t="shared" ref="J270:J301" si="17">IF(F270=_xlfn.MAXIFS(F:F, I:I, I270), F270, 0)</f>
        <v>1324</v>
      </c>
      <c r="K270" s="12">
        <f>IF(Combinadas!$C270="electricity", Combinadas!$J270/6.6667,
IF(Combinadas!$C270="water", Combinadas!$J270/3.333,
IF(Combinadas!$C270="heat", Combinadas!$J270/0.8333, IF(Combinadas!$C270="waste",Combinadas!$J270/25,
"NA"))))</f>
        <v>198.59900700496499</v>
      </c>
      <c r="L270" s="12">
        <f>Combinadas!$J270</f>
        <v>1324</v>
      </c>
      <c r="M270" s="12">
        <f>IF(Table4[[#This Row],[Type]]="waste", Table4[[#This Row],[Q_Tonnes]]/25, Table4[[#This Row],[CO2_Noduplicates]])</f>
        <v>198.59900700496499</v>
      </c>
    </row>
    <row r="271" spans="1:13" x14ac:dyDescent="0.25">
      <c r="A271" s="16" t="s">
        <v>15</v>
      </c>
      <c r="B271" s="16" t="s">
        <v>15</v>
      </c>
      <c r="C271" s="16" t="s">
        <v>128</v>
      </c>
      <c r="D271" s="17">
        <v>45065</v>
      </c>
      <c r="E271" s="17">
        <v>45097</v>
      </c>
      <c r="F271" s="18">
        <v>1207</v>
      </c>
      <c r="G271" s="19" t="s">
        <v>129</v>
      </c>
      <c r="H271" s="18">
        <v>181.04909475452624</v>
      </c>
      <c r="I271" s="12" t="str">
        <f t="shared" si="16"/>
        <v>Dcycle USA IncDcycle USA Incelectricity4506545097</v>
      </c>
      <c r="J271" s="12">
        <f t="shared" si="17"/>
        <v>0</v>
      </c>
      <c r="K271" s="12">
        <f>IF(Combinadas!$C271="electricity", Combinadas!$J271/6.6667,
IF(Combinadas!$C271="water", Combinadas!$J271/3.333,
IF(Combinadas!$C271="heat", Combinadas!$J271/0.8333, IF(Combinadas!$C271="waste",Combinadas!$J271/25,
"NA"))))</f>
        <v>0</v>
      </c>
      <c r="L271" s="12">
        <f>Combinadas!$J271</f>
        <v>0</v>
      </c>
      <c r="M271" s="12">
        <f>IF(Table4[[#This Row],[Type]]="waste", Table4[[#This Row],[Q_Tonnes]]/25, Table4[[#This Row],[CO2_Noduplicates]])</f>
        <v>0</v>
      </c>
    </row>
    <row r="272" spans="1:13" x14ac:dyDescent="0.25">
      <c r="A272" s="12" t="s">
        <v>15</v>
      </c>
      <c r="B272" s="12" t="s">
        <v>15</v>
      </c>
      <c r="C272" s="12" t="s">
        <v>128</v>
      </c>
      <c r="D272" s="13">
        <v>45065</v>
      </c>
      <c r="E272" s="13">
        <v>45097</v>
      </c>
      <c r="F272" s="14">
        <v>2149</v>
      </c>
      <c r="G272" s="15" t="s">
        <v>129</v>
      </c>
      <c r="H272" s="14">
        <v>322.34838825805872</v>
      </c>
      <c r="I272" s="12" t="str">
        <f t="shared" si="16"/>
        <v>Dcycle USA IncDcycle USA Incelectricity4506545097</v>
      </c>
      <c r="J272" s="12">
        <f t="shared" si="17"/>
        <v>2149</v>
      </c>
      <c r="K272" s="12">
        <f>IF(Combinadas!$C272="electricity", Combinadas!$J272/6.6667,
IF(Combinadas!$C272="water", Combinadas!$J272/3.333,
IF(Combinadas!$C272="heat", Combinadas!$J272/0.8333, IF(Combinadas!$C272="waste",Combinadas!$J272/25,
"NA"))))</f>
        <v>322.34838825805872</v>
      </c>
      <c r="L272" s="12">
        <f>Combinadas!$J272</f>
        <v>2149</v>
      </c>
      <c r="M272" s="12">
        <f>IF(Table4[[#This Row],[Type]]="waste", Table4[[#This Row],[Q_Tonnes]]/25, Table4[[#This Row],[CO2_Noduplicates]])</f>
        <v>322.34838825805872</v>
      </c>
    </row>
    <row r="273" spans="1:13" x14ac:dyDescent="0.25">
      <c r="A273" s="16" t="s">
        <v>15</v>
      </c>
      <c r="B273" s="16" t="s">
        <v>15</v>
      </c>
      <c r="C273" s="16" t="s">
        <v>128</v>
      </c>
      <c r="D273" s="17">
        <v>45098</v>
      </c>
      <c r="E273" s="17">
        <v>45126</v>
      </c>
      <c r="F273" s="18">
        <v>1925</v>
      </c>
      <c r="G273" s="19" t="s">
        <v>129</v>
      </c>
      <c r="H273" s="18">
        <v>288.74855625721875</v>
      </c>
      <c r="I273" s="12" t="str">
        <f t="shared" si="16"/>
        <v>Dcycle USA IncDcycle USA Incelectricity4509845126</v>
      </c>
      <c r="J273" s="12">
        <f t="shared" si="17"/>
        <v>0</v>
      </c>
      <c r="K273" s="12">
        <f>IF(Combinadas!$C273="electricity", Combinadas!$J273/6.6667,
IF(Combinadas!$C273="water", Combinadas!$J273/3.333,
IF(Combinadas!$C273="heat", Combinadas!$J273/0.8333, IF(Combinadas!$C273="waste",Combinadas!$J273/25,
"NA"))))</f>
        <v>0</v>
      </c>
      <c r="L273" s="12">
        <f>Combinadas!$J273</f>
        <v>0</v>
      </c>
      <c r="M273" s="12">
        <f>IF(Table4[[#This Row],[Type]]="waste", Table4[[#This Row],[Q_Tonnes]]/25, Table4[[#This Row],[CO2_Noduplicates]])</f>
        <v>0</v>
      </c>
    </row>
    <row r="274" spans="1:13" x14ac:dyDescent="0.25">
      <c r="A274" s="12" t="s">
        <v>15</v>
      </c>
      <c r="B274" s="12" t="s">
        <v>15</v>
      </c>
      <c r="C274" s="12" t="s">
        <v>128</v>
      </c>
      <c r="D274" s="13">
        <v>45098</v>
      </c>
      <c r="E274" s="13">
        <v>45126</v>
      </c>
      <c r="F274" s="14">
        <v>2107</v>
      </c>
      <c r="G274" s="15" t="s">
        <v>129</v>
      </c>
      <c r="H274" s="14">
        <v>316.04841975790123</v>
      </c>
      <c r="I274" s="12" t="str">
        <f t="shared" si="16"/>
        <v>Dcycle USA IncDcycle USA Incelectricity4509845126</v>
      </c>
      <c r="J274" s="12">
        <f t="shared" si="17"/>
        <v>2107</v>
      </c>
      <c r="K274" s="12">
        <f>IF(Combinadas!$C274="electricity", Combinadas!$J274/6.6667,
IF(Combinadas!$C274="water", Combinadas!$J274/3.333,
IF(Combinadas!$C274="heat", Combinadas!$J274/0.8333, IF(Combinadas!$C274="waste",Combinadas!$J274/25,
"NA"))))</f>
        <v>316.04841975790123</v>
      </c>
      <c r="L274" s="12">
        <f>Combinadas!$J274</f>
        <v>2107</v>
      </c>
      <c r="M274" s="12">
        <f>IF(Table4[[#This Row],[Type]]="waste", Table4[[#This Row],[Q_Tonnes]]/25, Table4[[#This Row],[CO2_Noduplicates]])</f>
        <v>316.04841975790123</v>
      </c>
    </row>
    <row r="275" spans="1:13" x14ac:dyDescent="0.25">
      <c r="A275" s="16" t="s">
        <v>15</v>
      </c>
      <c r="B275" s="16" t="s">
        <v>15</v>
      </c>
      <c r="C275" s="16" t="s">
        <v>128</v>
      </c>
      <c r="D275" s="17">
        <v>45127</v>
      </c>
      <c r="E275" s="17">
        <v>45156</v>
      </c>
      <c r="F275" s="18">
        <v>1905</v>
      </c>
      <c r="G275" s="19" t="s">
        <v>129</v>
      </c>
      <c r="H275" s="18">
        <v>285.74857125714374</v>
      </c>
      <c r="I275" s="12" t="str">
        <f t="shared" si="16"/>
        <v>Dcycle USA IncDcycle USA Incelectricity4512745156</v>
      </c>
      <c r="J275" s="12">
        <f t="shared" si="17"/>
        <v>0</v>
      </c>
      <c r="K275" s="12">
        <f>IF(Combinadas!$C275="electricity", Combinadas!$J275/6.6667,
IF(Combinadas!$C275="water", Combinadas!$J275/3.333,
IF(Combinadas!$C275="heat", Combinadas!$J275/0.8333, IF(Combinadas!$C275="waste",Combinadas!$J275/25,
"NA"))))</f>
        <v>0</v>
      </c>
      <c r="L275" s="12">
        <f>Combinadas!$J275</f>
        <v>0</v>
      </c>
      <c r="M275" s="12">
        <f>IF(Table4[[#This Row],[Type]]="waste", Table4[[#This Row],[Q_Tonnes]]/25, Table4[[#This Row],[CO2_Noduplicates]])</f>
        <v>0</v>
      </c>
    </row>
    <row r="276" spans="1:13" x14ac:dyDescent="0.25">
      <c r="A276" s="12" t="s">
        <v>15</v>
      </c>
      <c r="B276" s="12" t="s">
        <v>15</v>
      </c>
      <c r="C276" s="12" t="s">
        <v>128</v>
      </c>
      <c r="D276" s="13">
        <v>45127</v>
      </c>
      <c r="E276" s="13">
        <v>45156</v>
      </c>
      <c r="F276" s="14">
        <v>2665</v>
      </c>
      <c r="G276" s="15" t="s">
        <v>129</v>
      </c>
      <c r="H276" s="14">
        <v>399.74800125999371</v>
      </c>
      <c r="I276" s="12" t="str">
        <f t="shared" si="16"/>
        <v>Dcycle USA IncDcycle USA Incelectricity4512745156</v>
      </c>
      <c r="J276" s="12">
        <f t="shared" si="17"/>
        <v>2665</v>
      </c>
      <c r="K276" s="12">
        <f>IF(Combinadas!$C276="electricity", Combinadas!$J276/6.6667,
IF(Combinadas!$C276="water", Combinadas!$J276/3.333,
IF(Combinadas!$C276="heat", Combinadas!$J276/0.8333, IF(Combinadas!$C276="waste",Combinadas!$J276/25,
"NA"))))</f>
        <v>399.74800125999371</v>
      </c>
      <c r="L276" s="12">
        <f>Combinadas!$J276</f>
        <v>2665</v>
      </c>
      <c r="M276" s="12">
        <f>IF(Table4[[#This Row],[Type]]="waste", Table4[[#This Row],[Q_Tonnes]]/25, Table4[[#This Row],[CO2_Noduplicates]])</f>
        <v>399.74800125999371</v>
      </c>
    </row>
    <row r="277" spans="1:13" x14ac:dyDescent="0.25">
      <c r="A277" s="16" t="s">
        <v>15</v>
      </c>
      <c r="B277" s="16" t="s">
        <v>15</v>
      </c>
      <c r="C277" s="16" t="s">
        <v>128</v>
      </c>
      <c r="D277" s="17">
        <v>45157</v>
      </c>
      <c r="E277" s="17">
        <v>45188</v>
      </c>
      <c r="F277" s="18">
        <v>1241</v>
      </c>
      <c r="G277" s="19" t="s">
        <v>129</v>
      </c>
      <c r="H277" s="18">
        <v>186.14906925465374</v>
      </c>
      <c r="I277" s="12" t="str">
        <f t="shared" si="16"/>
        <v>Dcycle USA IncDcycle USA Incelectricity4515745188</v>
      </c>
      <c r="J277" s="12">
        <f t="shared" si="17"/>
        <v>0</v>
      </c>
      <c r="K277" s="12">
        <f>IF(Combinadas!$C277="electricity", Combinadas!$J277/6.6667,
IF(Combinadas!$C277="water", Combinadas!$J277/3.333,
IF(Combinadas!$C277="heat", Combinadas!$J277/0.8333, IF(Combinadas!$C277="waste",Combinadas!$J277/25,
"NA"))))</f>
        <v>0</v>
      </c>
      <c r="L277" s="12">
        <f>Combinadas!$J277</f>
        <v>0</v>
      </c>
      <c r="M277" s="12">
        <f>IF(Table4[[#This Row],[Type]]="waste", Table4[[#This Row],[Q_Tonnes]]/25, Table4[[#This Row],[CO2_Noduplicates]])</f>
        <v>0</v>
      </c>
    </row>
    <row r="278" spans="1:13" x14ac:dyDescent="0.25">
      <c r="A278" s="12" t="s">
        <v>15</v>
      </c>
      <c r="B278" s="12" t="s">
        <v>15</v>
      </c>
      <c r="C278" s="12" t="s">
        <v>128</v>
      </c>
      <c r="D278" s="13">
        <v>45157</v>
      </c>
      <c r="E278" s="13">
        <v>45188</v>
      </c>
      <c r="F278" s="14">
        <v>1707</v>
      </c>
      <c r="G278" s="15" t="s">
        <v>129</v>
      </c>
      <c r="H278" s="14">
        <v>256.04871975640123</v>
      </c>
      <c r="I278" s="12" t="str">
        <f t="shared" si="16"/>
        <v>Dcycle USA IncDcycle USA Incelectricity4515745188</v>
      </c>
      <c r="J278" s="12">
        <f t="shared" si="17"/>
        <v>1707</v>
      </c>
      <c r="K278" s="12">
        <f>IF(Combinadas!$C278="electricity", Combinadas!$J278/6.6667,
IF(Combinadas!$C278="water", Combinadas!$J278/3.333,
IF(Combinadas!$C278="heat", Combinadas!$J278/0.8333, IF(Combinadas!$C278="waste",Combinadas!$J278/25,
"NA"))))</f>
        <v>256.04871975640123</v>
      </c>
      <c r="L278" s="12">
        <f>Combinadas!$J278</f>
        <v>1707</v>
      </c>
      <c r="M278" s="12">
        <f>IF(Table4[[#This Row],[Type]]="waste", Table4[[#This Row],[Q_Tonnes]]/25, Table4[[#This Row],[CO2_Noduplicates]])</f>
        <v>256.04871975640123</v>
      </c>
    </row>
    <row r="279" spans="1:13" x14ac:dyDescent="0.25">
      <c r="A279" s="16" t="s">
        <v>15</v>
      </c>
      <c r="B279" s="16" t="s">
        <v>15</v>
      </c>
      <c r="C279" s="16" t="s">
        <v>128</v>
      </c>
      <c r="D279" s="17">
        <v>45189</v>
      </c>
      <c r="E279" s="17">
        <v>45218</v>
      </c>
      <c r="F279" s="18">
        <v>401</v>
      </c>
      <c r="G279" s="19" t="s">
        <v>129</v>
      </c>
      <c r="H279" s="18">
        <v>60.149699251503748</v>
      </c>
      <c r="I279" s="12" t="str">
        <f t="shared" si="16"/>
        <v>Dcycle USA IncDcycle USA Incelectricity4518945218</v>
      </c>
      <c r="J279" s="12">
        <f t="shared" si="17"/>
        <v>0</v>
      </c>
      <c r="K279" s="12">
        <f>IF(Combinadas!$C279="electricity", Combinadas!$J279/6.6667,
IF(Combinadas!$C279="water", Combinadas!$J279/3.333,
IF(Combinadas!$C279="heat", Combinadas!$J279/0.8333, IF(Combinadas!$C279="waste",Combinadas!$J279/25,
"NA"))))</f>
        <v>0</v>
      </c>
      <c r="L279" s="12">
        <f>Combinadas!$J279</f>
        <v>0</v>
      </c>
      <c r="M279" s="12">
        <f>IF(Table4[[#This Row],[Type]]="waste", Table4[[#This Row],[Q_Tonnes]]/25, Table4[[#This Row],[CO2_Noduplicates]])</f>
        <v>0</v>
      </c>
    </row>
    <row r="280" spans="1:13" x14ac:dyDescent="0.25">
      <c r="A280" s="12" t="s">
        <v>15</v>
      </c>
      <c r="B280" s="12" t="s">
        <v>15</v>
      </c>
      <c r="C280" s="12" t="s">
        <v>128</v>
      </c>
      <c r="D280" s="13">
        <v>45189</v>
      </c>
      <c r="E280" s="13">
        <v>45218</v>
      </c>
      <c r="F280" s="14">
        <v>699</v>
      </c>
      <c r="G280" s="15" t="s">
        <v>129</v>
      </c>
      <c r="H280" s="14">
        <v>104.84947575262125</v>
      </c>
      <c r="I280" s="12" t="str">
        <f t="shared" si="16"/>
        <v>Dcycle USA IncDcycle USA Incelectricity4518945218</v>
      </c>
      <c r="J280" s="12">
        <f t="shared" si="17"/>
        <v>699</v>
      </c>
      <c r="K280" s="12">
        <f>IF(Combinadas!$C280="electricity", Combinadas!$J280/6.6667,
IF(Combinadas!$C280="water", Combinadas!$J280/3.333,
IF(Combinadas!$C280="heat", Combinadas!$J280/0.8333, IF(Combinadas!$C280="waste",Combinadas!$J280/25,
"NA"))))</f>
        <v>104.84947575262125</v>
      </c>
      <c r="L280" s="12">
        <f>Combinadas!$J280</f>
        <v>699</v>
      </c>
      <c r="M280" s="12">
        <f>IF(Table4[[#This Row],[Type]]="waste", Table4[[#This Row],[Q_Tonnes]]/25, Table4[[#This Row],[CO2_Noduplicates]])</f>
        <v>104.84947575262125</v>
      </c>
    </row>
    <row r="281" spans="1:13" x14ac:dyDescent="0.25">
      <c r="A281" s="16" t="s">
        <v>15</v>
      </c>
      <c r="B281" s="16" t="s">
        <v>15</v>
      </c>
      <c r="C281" s="16" t="s">
        <v>128</v>
      </c>
      <c r="D281" s="17">
        <v>45219</v>
      </c>
      <c r="E281" s="17">
        <v>45247</v>
      </c>
      <c r="F281" s="18">
        <v>227.18</v>
      </c>
      <c r="G281" s="19" t="s">
        <v>129</v>
      </c>
      <c r="H281" s="18">
        <v>34.076829615851921</v>
      </c>
      <c r="I281" s="12" t="str">
        <f t="shared" si="16"/>
        <v>Dcycle USA IncDcycle USA Incelectricity4521945247</v>
      </c>
      <c r="J281" s="12">
        <f t="shared" si="17"/>
        <v>0</v>
      </c>
      <c r="K281" s="12">
        <f>IF(Combinadas!$C281="electricity", Combinadas!$J281/6.6667,
IF(Combinadas!$C281="water", Combinadas!$J281/3.333,
IF(Combinadas!$C281="heat", Combinadas!$J281/0.8333, IF(Combinadas!$C281="waste",Combinadas!$J281/25,
"NA"))))</f>
        <v>0</v>
      </c>
      <c r="L281" s="12">
        <f>Combinadas!$J281</f>
        <v>0</v>
      </c>
      <c r="M281" s="12">
        <f>IF(Table4[[#This Row],[Type]]="waste", Table4[[#This Row],[Q_Tonnes]]/25, Table4[[#This Row],[CO2_Noduplicates]])</f>
        <v>0</v>
      </c>
    </row>
    <row r="282" spans="1:13" x14ac:dyDescent="0.25">
      <c r="A282" s="12" t="s">
        <v>15</v>
      </c>
      <c r="B282" s="12" t="s">
        <v>15</v>
      </c>
      <c r="C282" s="12" t="s">
        <v>128</v>
      </c>
      <c r="D282" s="13">
        <v>45219</v>
      </c>
      <c r="E282" s="13">
        <v>45247</v>
      </c>
      <c r="F282" s="14">
        <v>516</v>
      </c>
      <c r="G282" s="15" t="s">
        <v>129</v>
      </c>
      <c r="H282" s="14">
        <v>77.399613001934995</v>
      </c>
      <c r="I282" s="12" t="str">
        <f t="shared" si="16"/>
        <v>Dcycle USA IncDcycle USA Incelectricity4521945247</v>
      </c>
      <c r="J282" s="12">
        <f t="shared" si="17"/>
        <v>516</v>
      </c>
      <c r="K282" s="12">
        <f>IF(Combinadas!$C282="electricity", Combinadas!$J282/6.6667,
IF(Combinadas!$C282="water", Combinadas!$J282/3.333,
IF(Combinadas!$C282="heat", Combinadas!$J282/0.8333, IF(Combinadas!$C282="waste",Combinadas!$J282/25,
"NA"))))</f>
        <v>77.399613001934995</v>
      </c>
      <c r="L282" s="12">
        <f>Combinadas!$J282</f>
        <v>516</v>
      </c>
      <c r="M282" s="12">
        <f>IF(Table4[[#This Row],[Type]]="waste", Table4[[#This Row],[Q_Tonnes]]/25, Table4[[#This Row],[CO2_Noduplicates]])</f>
        <v>77.399613001934995</v>
      </c>
    </row>
    <row r="283" spans="1:13" x14ac:dyDescent="0.25">
      <c r="A283" s="16" t="s">
        <v>15</v>
      </c>
      <c r="B283" s="16" t="s">
        <v>15</v>
      </c>
      <c r="C283" s="16" t="s">
        <v>128</v>
      </c>
      <c r="D283" s="17">
        <v>45248</v>
      </c>
      <c r="E283" s="17">
        <v>45278</v>
      </c>
      <c r="F283" s="18">
        <v>280</v>
      </c>
      <c r="G283" s="19" t="s">
        <v>129</v>
      </c>
      <c r="H283" s="18">
        <v>41.999790001049995</v>
      </c>
      <c r="I283" s="12" t="str">
        <f t="shared" si="16"/>
        <v>Dcycle USA IncDcycle USA Incelectricity4524845278</v>
      </c>
      <c r="J283" s="12">
        <f t="shared" si="17"/>
        <v>0</v>
      </c>
      <c r="K283" s="12">
        <f>IF(Combinadas!$C283="electricity", Combinadas!$J283/6.6667,
IF(Combinadas!$C283="water", Combinadas!$J283/3.333,
IF(Combinadas!$C283="heat", Combinadas!$J283/0.8333, IF(Combinadas!$C283="waste",Combinadas!$J283/25,
"NA"))))</f>
        <v>0</v>
      </c>
      <c r="L283" s="12">
        <f>Combinadas!$J283</f>
        <v>0</v>
      </c>
      <c r="M283" s="12">
        <f>IF(Table4[[#This Row],[Type]]="waste", Table4[[#This Row],[Q_Tonnes]]/25, Table4[[#This Row],[CO2_Noduplicates]])</f>
        <v>0</v>
      </c>
    </row>
    <row r="284" spans="1:13" x14ac:dyDescent="0.25">
      <c r="A284" s="12" t="s">
        <v>15</v>
      </c>
      <c r="B284" s="12" t="s">
        <v>15</v>
      </c>
      <c r="C284" s="12" t="s">
        <v>128</v>
      </c>
      <c r="D284" s="13">
        <v>45248</v>
      </c>
      <c r="E284" s="13">
        <v>45278</v>
      </c>
      <c r="F284" s="14">
        <v>543</v>
      </c>
      <c r="G284" s="15" t="s">
        <v>129</v>
      </c>
      <c r="H284" s="14">
        <v>81.449592752036239</v>
      </c>
      <c r="I284" s="12" t="str">
        <f t="shared" si="16"/>
        <v>Dcycle USA IncDcycle USA Incelectricity4524845278</v>
      </c>
      <c r="J284" s="12">
        <f t="shared" si="17"/>
        <v>543</v>
      </c>
      <c r="K284" s="12">
        <f>IF(Combinadas!$C284="electricity", Combinadas!$J284/6.6667,
IF(Combinadas!$C284="water", Combinadas!$J284/3.333,
IF(Combinadas!$C284="heat", Combinadas!$J284/0.8333, IF(Combinadas!$C284="waste",Combinadas!$J284/25,
"NA"))))</f>
        <v>81.449592752036239</v>
      </c>
      <c r="L284" s="12">
        <f>Combinadas!$J284</f>
        <v>543</v>
      </c>
      <c r="M284" s="12">
        <f>IF(Table4[[#This Row],[Type]]="waste", Table4[[#This Row],[Q_Tonnes]]/25, Table4[[#This Row],[CO2_Noduplicates]])</f>
        <v>81.449592752036239</v>
      </c>
    </row>
    <row r="285" spans="1:13" x14ac:dyDescent="0.25">
      <c r="A285" s="16" t="s">
        <v>15</v>
      </c>
      <c r="B285" s="16" t="s">
        <v>15</v>
      </c>
      <c r="C285" s="16" t="s">
        <v>140</v>
      </c>
      <c r="D285" s="17">
        <v>44900</v>
      </c>
      <c r="E285" s="17">
        <v>44931</v>
      </c>
      <c r="F285" s="18">
        <v>138</v>
      </c>
      <c r="G285" s="19" t="s">
        <v>211</v>
      </c>
      <c r="H285" s="18">
        <v>165.60662426497058</v>
      </c>
      <c r="I285" s="12" t="str">
        <f t="shared" si="16"/>
        <v>Dcycle USA IncDcycle USA Incheat4490044931</v>
      </c>
      <c r="J285" s="12">
        <f t="shared" si="17"/>
        <v>0</v>
      </c>
      <c r="K285" s="12">
        <f>IF(Combinadas!$C285="electricity", Combinadas!$J285/6.6667,
IF(Combinadas!$C285="water", Combinadas!$J285/3.333,
IF(Combinadas!$C285="heat", Combinadas!$J285/0.8333, IF(Combinadas!$C285="waste",Combinadas!$J285/25,
"NA"))))</f>
        <v>0</v>
      </c>
      <c r="L285" s="12">
        <f>Combinadas!$J285</f>
        <v>0</v>
      </c>
      <c r="M285" s="12">
        <f>IF(Table4[[#This Row],[Type]]="waste", Table4[[#This Row],[Q_Tonnes]]/25, Table4[[#This Row],[CO2_Noduplicates]])</f>
        <v>0</v>
      </c>
    </row>
    <row r="286" spans="1:13" x14ac:dyDescent="0.25">
      <c r="A286" s="12" t="s">
        <v>15</v>
      </c>
      <c r="B286" s="12" t="s">
        <v>15</v>
      </c>
      <c r="C286" s="12" t="s">
        <v>140</v>
      </c>
      <c r="D286" s="13">
        <v>44900</v>
      </c>
      <c r="E286" s="13">
        <v>44931</v>
      </c>
      <c r="F286" s="14">
        <v>210</v>
      </c>
      <c r="G286" s="15" t="s">
        <v>211</v>
      </c>
      <c r="H286" s="14">
        <v>252.01008040321611</v>
      </c>
      <c r="I286" s="12" t="str">
        <f t="shared" si="16"/>
        <v>Dcycle USA IncDcycle USA Incheat4490044931</v>
      </c>
      <c r="J286" s="12">
        <f t="shared" si="17"/>
        <v>210</v>
      </c>
      <c r="K286" s="12">
        <f>IF(Combinadas!$C286="electricity", Combinadas!$J286/6.6667,
IF(Combinadas!$C286="water", Combinadas!$J286/3.333,
IF(Combinadas!$C286="heat", Combinadas!$J286/0.8333, IF(Combinadas!$C286="waste",Combinadas!$J286/25,
"NA"))))</f>
        <v>252.01008040321611</v>
      </c>
      <c r="L286" s="12">
        <f>Combinadas!$J286</f>
        <v>210</v>
      </c>
      <c r="M286" s="12">
        <f>IF(Table4[[#This Row],[Type]]="waste", Table4[[#This Row],[Q_Tonnes]]/25, Table4[[#This Row],[CO2_Noduplicates]])</f>
        <v>252.01008040321611</v>
      </c>
    </row>
    <row r="287" spans="1:13" x14ac:dyDescent="0.25">
      <c r="A287" s="16" t="s">
        <v>15</v>
      </c>
      <c r="B287" s="16" t="s">
        <v>15</v>
      </c>
      <c r="C287" s="16" t="s">
        <v>140</v>
      </c>
      <c r="D287" s="17">
        <v>44931</v>
      </c>
      <c r="E287" s="17">
        <v>44960</v>
      </c>
      <c r="F287" s="18">
        <v>53</v>
      </c>
      <c r="G287" s="19" t="s">
        <v>211</v>
      </c>
      <c r="H287" s="18">
        <v>63.602544101764067</v>
      </c>
      <c r="I287" s="12" t="str">
        <f t="shared" si="16"/>
        <v>Dcycle USA IncDcycle USA Incheat4493144960</v>
      </c>
      <c r="J287" s="12">
        <f t="shared" si="17"/>
        <v>0</v>
      </c>
      <c r="K287" s="12">
        <f>IF(Combinadas!$C287="electricity", Combinadas!$J287/6.6667,
IF(Combinadas!$C287="water", Combinadas!$J287/3.333,
IF(Combinadas!$C287="heat", Combinadas!$J287/0.8333, IF(Combinadas!$C287="waste",Combinadas!$J287/25,
"NA"))))</f>
        <v>0</v>
      </c>
      <c r="L287" s="12">
        <f>Combinadas!$J287</f>
        <v>0</v>
      </c>
      <c r="M287" s="12">
        <f>IF(Table4[[#This Row],[Type]]="waste", Table4[[#This Row],[Q_Tonnes]]/25, Table4[[#This Row],[CO2_Noduplicates]])</f>
        <v>0</v>
      </c>
    </row>
    <row r="288" spans="1:13" x14ac:dyDescent="0.25">
      <c r="A288" s="12" t="s">
        <v>15</v>
      </c>
      <c r="B288" s="12" t="s">
        <v>15</v>
      </c>
      <c r="C288" s="12" t="s">
        <v>140</v>
      </c>
      <c r="D288" s="13">
        <v>44931</v>
      </c>
      <c r="E288" s="13">
        <v>44960</v>
      </c>
      <c r="F288" s="14">
        <v>215</v>
      </c>
      <c r="G288" s="15" t="s">
        <v>211</v>
      </c>
      <c r="H288" s="14">
        <v>258.0103204128165</v>
      </c>
      <c r="I288" s="12" t="str">
        <f t="shared" si="16"/>
        <v>Dcycle USA IncDcycle USA Incheat4493144960</v>
      </c>
      <c r="J288" s="12">
        <f t="shared" si="17"/>
        <v>215</v>
      </c>
      <c r="K288" s="12">
        <f>IF(Combinadas!$C288="electricity", Combinadas!$J288/6.6667,
IF(Combinadas!$C288="water", Combinadas!$J288/3.333,
IF(Combinadas!$C288="heat", Combinadas!$J288/0.8333, IF(Combinadas!$C288="waste",Combinadas!$J288/25,
"NA"))))</f>
        <v>258.0103204128165</v>
      </c>
      <c r="L288" s="12">
        <f>Combinadas!$J288</f>
        <v>215</v>
      </c>
      <c r="M288" s="12">
        <f>IF(Table4[[#This Row],[Type]]="waste", Table4[[#This Row],[Q_Tonnes]]/25, Table4[[#This Row],[CO2_Noduplicates]])</f>
        <v>258.0103204128165</v>
      </c>
    </row>
    <row r="289" spans="1:13" x14ac:dyDescent="0.25">
      <c r="A289" s="16" t="s">
        <v>15</v>
      </c>
      <c r="B289" s="16" t="s">
        <v>15</v>
      </c>
      <c r="C289" s="16" t="s">
        <v>140</v>
      </c>
      <c r="D289" s="17">
        <v>44960</v>
      </c>
      <c r="E289" s="17">
        <v>44988</v>
      </c>
      <c r="F289" s="18">
        <v>29</v>
      </c>
      <c r="G289" s="19" t="s">
        <v>211</v>
      </c>
      <c r="H289" s="18">
        <v>34.801392055682228</v>
      </c>
      <c r="I289" s="12" t="str">
        <f t="shared" si="16"/>
        <v>Dcycle USA IncDcycle USA Incheat4496044988</v>
      </c>
      <c r="J289" s="12">
        <f t="shared" si="17"/>
        <v>0</v>
      </c>
      <c r="K289" s="12">
        <f>IF(Combinadas!$C289="electricity", Combinadas!$J289/6.6667,
IF(Combinadas!$C289="water", Combinadas!$J289/3.333,
IF(Combinadas!$C289="heat", Combinadas!$J289/0.8333, IF(Combinadas!$C289="waste",Combinadas!$J289/25,
"NA"))))</f>
        <v>0</v>
      </c>
      <c r="L289" s="12">
        <f>Combinadas!$J289</f>
        <v>0</v>
      </c>
      <c r="M289" s="12">
        <f>IF(Table4[[#This Row],[Type]]="waste", Table4[[#This Row],[Q_Tonnes]]/25, Table4[[#This Row],[CO2_Noduplicates]])</f>
        <v>0</v>
      </c>
    </row>
    <row r="290" spans="1:13" x14ac:dyDescent="0.25">
      <c r="A290" s="12" t="s">
        <v>15</v>
      </c>
      <c r="B290" s="12" t="s">
        <v>15</v>
      </c>
      <c r="C290" s="12" t="s">
        <v>140</v>
      </c>
      <c r="D290" s="13">
        <v>44960</v>
      </c>
      <c r="E290" s="13">
        <v>44988</v>
      </c>
      <c r="F290" s="14">
        <v>110</v>
      </c>
      <c r="G290" s="15" t="s">
        <v>211</v>
      </c>
      <c r="H290" s="14">
        <v>132.00528021120843</v>
      </c>
      <c r="I290" s="12" t="str">
        <f t="shared" si="16"/>
        <v>Dcycle USA IncDcycle USA Incheat4496044988</v>
      </c>
      <c r="J290" s="12">
        <f t="shared" si="17"/>
        <v>110</v>
      </c>
      <c r="K290" s="12">
        <f>IF(Combinadas!$C290="electricity", Combinadas!$J290/6.6667,
IF(Combinadas!$C290="water", Combinadas!$J290/3.333,
IF(Combinadas!$C290="heat", Combinadas!$J290/0.8333, IF(Combinadas!$C290="waste",Combinadas!$J290/25,
"NA"))))</f>
        <v>132.00528021120843</v>
      </c>
      <c r="L290" s="12">
        <f>Combinadas!$J290</f>
        <v>110</v>
      </c>
      <c r="M290" s="12">
        <f>IF(Table4[[#This Row],[Type]]="waste", Table4[[#This Row],[Q_Tonnes]]/25, Table4[[#This Row],[CO2_Noduplicates]])</f>
        <v>132.00528021120843</v>
      </c>
    </row>
    <row r="291" spans="1:13" x14ac:dyDescent="0.25">
      <c r="A291" s="16" t="s">
        <v>15</v>
      </c>
      <c r="B291" s="16" t="s">
        <v>15</v>
      </c>
      <c r="C291" s="16" t="s">
        <v>140</v>
      </c>
      <c r="D291" s="17">
        <v>44988</v>
      </c>
      <c r="E291" s="17">
        <v>45021</v>
      </c>
      <c r="F291" s="18">
        <v>61</v>
      </c>
      <c r="G291" s="19" t="s">
        <v>211</v>
      </c>
      <c r="H291" s="18">
        <v>73.202928117124685</v>
      </c>
      <c r="I291" s="12" t="str">
        <f t="shared" si="16"/>
        <v>Dcycle USA IncDcycle USA Incheat4498845021</v>
      </c>
      <c r="J291" s="12">
        <f t="shared" si="17"/>
        <v>0</v>
      </c>
      <c r="K291" s="12">
        <f>IF(Combinadas!$C291="electricity", Combinadas!$J291/6.6667,
IF(Combinadas!$C291="water", Combinadas!$J291/3.333,
IF(Combinadas!$C291="heat", Combinadas!$J291/0.8333, IF(Combinadas!$C291="waste",Combinadas!$J291/25,
"NA"))))</f>
        <v>0</v>
      </c>
      <c r="L291" s="12">
        <f>Combinadas!$J291</f>
        <v>0</v>
      </c>
      <c r="M291" s="12">
        <f>IF(Table4[[#This Row],[Type]]="waste", Table4[[#This Row],[Q_Tonnes]]/25, Table4[[#This Row],[CO2_Noduplicates]])</f>
        <v>0</v>
      </c>
    </row>
    <row r="292" spans="1:13" x14ac:dyDescent="0.25">
      <c r="A292" s="12" t="s">
        <v>15</v>
      </c>
      <c r="B292" s="12" t="s">
        <v>15</v>
      </c>
      <c r="C292" s="12" t="s">
        <v>140</v>
      </c>
      <c r="D292" s="13">
        <v>44988</v>
      </c>
      <c r="E292" s="13">
        <v>45021</v>
      </c>
      <c r="F292" s="14">
        <v>98</v>
      </c>
      <c r="G292" s="15" t="s">
        <v>211</v>
      </c>
      <c r="H292" s="14">
        <v>117.60470418816752</v>
      </c>
      <c r="I292" s="12" t="str">
        <f t="shared" si="16"/>
        <v>Dcycle USA IncDcycle USA Incheat4498845021</v>
      </c>
      <c r="J292" s="12">
        <f t="shared" si="17"/>
        <v>98</v>
      </c>
      <c r="K292" s="12">
        <f>IF(Combinadas!$C292="electricity", Combinadas!$J292/6.6667,
IF(Combinadas!$C292="water", Combinadas!$J292/3.333,
IF(Combinadas!$C292="heat", Combinadas!$J292/0.8333, IF(Combinadas!$C292="waste",Combinadas!$J292/25,
"NA"))))</f>
        <v>117.60470418816752</v>
      </c>
      <c r="L292" s="12">
        <f>Combinadas!$J292</f>
        <v>98</v>
      </c>
      <c r="M292" s="12">
        <f>IF(Table4[[#This Row],[Type]]="waste", Table4[[#This Row],[Q_Tonnes]]/25, Table4[[#This Row],[CO2_Noduplicates]])</f>
        <v>117.60470418816752</v>
      </c>
    </row>
    <row r="293" spans="1:13" x14ac:dyDescent="0.25">
      <c r="A293" s="16" t="s">
        <v>15</v>
      </c>
      <c r="B293" s="16" t="s">
        <v>15</v>
      </c>
      <c r="C293" s="16" t="s">
        <v>140</v>
      </c>
      <c r="D293" s="17">
        <v>45021</v>
      </c>
      <c r="E293" s="17">
        <v>45048</v>
      </c>
      <c r="F293" s="18">
        <v>1</v>
      </c>
      <c r="G293" s="19" t="s">
        <v>211</v>
      </c>
      <c r="H293" s="18">
        <v>1.2000480019200768</v>
      </c>
      <c r="I293" s="12" t="str">
        <f t="shared" si="16"/>
        <v>Dcycle USA IncDcycle USA Incheat4502145048</v>
      </c>
      <c r="J293" s="12">
        <f t="shared" si="17"/>
        <v>0</v>
      </c>
      <c r="K293" s="12">
        <f>IF(Combinadas!$C293="electricity", Combinadas!$J293/6.6667,
IF(Combinadas!$C293="water", Combinadas!$J293/3.333,
IF(Combinadas!$C293="heat", Combinadas!$J293/0.8333, IF(Combinadas!$C293="waste",Combinadas!$J293/25,
"NA"))))</f>
        <v>0</v>
      </c>
      <c r="L293" s="12">
        <f>Combinadas!$J293</f>
        <v>0</v>
      </c>
      <c r="M293" s="12">
        <f>IF(Table4[[#This Row],[Type]]="waste", Table4[[#This Row],[Q_Tonnes]]/25, Table4[[#This Row],[CO2_Noduplicates]])</f>
        <v>0</v>
      </c>
    </row>
    <row r="294" spans="1:13" x14ac:dyDescent="0.25">
      <c r="A294" s="12" t="s">
        <v>15</v>
      </c>
      <c r="B294" s="12" t="s">
        <v>15</v>
      </c>
      <c r="C294" s="12" t="s">
        <v>140</v>
      </c>
      <c r="D294" s="13">
        <v>45021</v>
      </c>
      <c r="E294" s="13">
        <v>45048</v>
      </c>
      <c r="F294" s="14">
        <v>3</v>
      </c>
      <c r="G294" s="15" t="s">
        <v>211</v>
      </c>
      <c r="H294" s="14">
        <v>3.6001440057602303</v>
      </c>
      <c r="I294" s="12" t="str">
        <f t="shared" si="16"/>
        <v>Dcycle USA IncDcycle USA Incheat4502145048</v>
      </c>
      <c r="J294" s="12">
        <f t="shared" si="17"/>
        <v>3</v>
      </c>
      <c r="K294" s="12">
        <f>IF(Combinadas!$C294="electricity", Combinadas!$J294/6.6667,
IF(Combinadas!$C294="water", Combinadas!$J294/3.333,
IF(Combinadas!$C294="heat", Combinadas!$J294/0.8333, IF(Combinadas!$C294="waste",Combinadas!$J294/25,
"NA"))))</f>
        <v>3.6001440057602303</v>
      </c>
      <c r="L294" s="12">
        <f>Combinadas!$J294</f>
        <v>3</v>
      </c>
      <c r="M294" s="12">
        <f>IF(Table4[[#This Row],[Type]]="waste", Table4[[#This Row],[Q_Tonnes]]/25, Table4[[#This Row],[CO2_Noduplicates]])</f>
        <v>3.6001440057602303</v>
      </c>
    </row>
    <row r="295" spans="1:13" x14ac:dyDescent="0.25">
      <c r="A295" s="16" t="s">
        <v>15</v>
      </c>
      <c r="B295" s="16" t="s">
        <v>15</v>
      </c>
      <c r="C295" s="16" t="s">
        <v>140</v>
      </c>
      <c r="D295" s="17">
        <v>45048</v>
      </c>
      <c r="E295" s="17">
        <v>45082</v>
      </c>
      <c r="F295" s="18">
        <v>0</v>
      </c>
      <c r="G295" s="19" t="s">
        <v>211</v>
      </c>
      <c r="H295" s="18">
        <v>0</v>
      </c>
      <c r="I295" s="12" t="str">
        <f t="shared" si="16"/>
        <v>Dcycle USA IncDcycle USA Incheat4504845082</v>
      </c>
      <c r="J295" s="12">
        <f t="shared" si="17"/>
        <v>0</v>
      </c>
      <c r="K295" s="12">
        <f>IF(Combinadas!$C295="electricity", Combinadas!$J295/6.6667,
IF(Combinadas!$C295="water", Combinadas!$J295/3.333,
IF(Combinadas!$C295="heat", Combinadas!$J295/0.8333, IF(Combinadas!$C295="waste",Combinadas!$J295/25,
"NA"))))</f>
        <v>0</v>
      </c>
      <c r="L295" s="12">
        <f>Combinadas!$J295</f>
        <v>0</v>
      </c>
      <c r="M295" s="12">
        <f>IF(Table4[[#This Row],[Type]]="waste", Table4[[#This Row],[Q_Tonnes]]/25, Table4[[#This Row],[CO2_Noduplicates]])</f>
        <v>0</v>
      </c>
    </row>
    <row r="296" spans="1:13" x14ac:dyDescent="0.25">
      <c r="A296" s="12" t="s">
        <v>15</v>
      </c>
      <c r="B296" s="12" t="s">
        <v>15</v>
      </c>
      <c r="C296" s="12" t="s">
        <v>140</v>
      </c>
      <c r="D296" s="13">
        <v>45082</v>
      </c>
      <c r="E296" s="13">
        <v>45113</v>
      </c>
      <c r="F296" s="14">
        <v>0</v>
      </c>
      <c r="G296" s="15" t="s">
        <v>211</v>
      </c>
      <c r="H296" s="14">
        <v>0</v>
      </c>
      <c r="I296" s="12" t="str">
        <f t="shared" si="16"/>
        <v>Dcycle USA IncDcycle USA Incheat4508245113</v>
      </c>
      <c r="J296" s="12">
        <f t="shared" si="17"/>
        <v>0</v>
      </c>
      <c r="K296" s="12">
        <f>IF(Combinadas!$C296="electricity", Combinadas!$J296/6.6667,
IF(Combinadas!$C296="water", Combinadas!$J296/3.333,
IF(Combinadas!$C296="heat", Combinadas!$J296/0.8333, IF(Combinadas!$C296="waste",Combinadas!$J296/25,
"NA"))))</f>
        <v>0</v>
      </c>
      <c r="L296" s="12">
        <f>Combinadas!$J296</f>
        <v>0</v>
      </c>
      <c r="M296" s="12">
        <f>IF(Table4[[#This Row],[Type]]="waste", Table4[[#This Row],[Q_Tonnes]]/25, Table4[[#This Row],[CO2_Noduplicates]])</f>
        <v>0</v>
      </c>
    </row>
    <row r="297" spans="1:13" x14ac:dyDescent="0.25">
      <c r="A297" s="16" t="s">
        <v>15</v>
      </c>
      <c r="B297" s="16" t="s">
        <v>15</v>
      </c>
      <c r="C297" s="16" t="s">
        <v>140</v>
      </c>
      <c r="D297" s="17">
        <v>45113</v>
      </c>
      <c r="E297" s="17">
        <v>45141</v>
      </c>
      <c r="F297" s="18">
        <v>0</v>
      </c>
      <c r="G297" s="19" t="s">
        <v>211</v>
      </c>
      <c r="H297" s="18">
        <v>0</v>
      </c>
      <c r="I297" s="12" t="str">
        <f t="shared" si="16"/>
        <v>Dcycle USA IncDcycle USA Incheat4511345141</v>
      </c>
      <c r="J297" s="12">
        <f t="shared" si="17"/>
        <v>0</v>
      </c>
      <c r="K297" s="12">
        <f>IF(Combinadas!$C297="electricity", Combinadas!$J297/6.6667,
IF(Combinadas!$C297="water", Combinadas!$J297/3.333,
IF(Combinadas!$C297="heat", Combinadas!$J297/0.8333, IF(Combinadas!$C297="waste",Combinadas!$J297/25,
"NA"))))</f>
        <v>0</v>
      </c>
      <c r="L297" s="12">
        <f>Combinadas!$J297</f>
        <v>0</v>
      </c>
      <c r="M297" s="12">
        <f>IF(Table4[[#This Row],[Type]]="waste", Table4[[#This Row],[Q_Tonnes]]/25, Table4[[#This Row],[CO2_Noduplicates]])</f>
        <v>0</v>
      </c>
    </row>
    <row r="298" spans="1:13" x14ac:dyDescent="0.25">
      <c r="A298" s="12" t="s">
        <v>15</v>
      </c>
      <c r="B298" s="12" t="s">
        <v>15</v>
      </c>
      <c r="C298" s="12" t="s">
        <v>140</v>
      </c>
      <c r="D298" s="13">
        <v>45141</v>
      </c>
      <c r="E298" s="13">
        <v>45174</v>
      </c>
      <c r="F298" s="14">
        <v>0</v>
      </c>
      <c r="G298" s="15" t="s">
        <v>211</v>
      </c>
      <c r="H298" s="14">
        <v>0</v>
      </c>
      <c r="I298" s="12" t="str">
        <f t="shared" si="16"/>
        <v>Dcycle USA IncDcycle USA Incheat4514145174</v>
      </c>
      <c r="J298" s="12">
        <f t="shared" si="17"/>
        <v>0</v>
      </c>
      <c r="K298" s="12">
        <f>IF(Combinadas!$C298="electricity", Combinadas!$J298/6.6667,
IF(Combinadas!$C298="water", Combinadas!$J298/3.333,
IF(Combinadas!$C298="heat", Combinadas!$J298/0.8333, IF(Combinadas!$C298="waste",Combinadas!$J298/25,
"NA"))))</f>
        <v>0</v>
      </c>
      <c r="L298" s="12">
        <f>Combinadas!$J298</f>
        <v>0</v>
      </c>
      <c r="M298" s="12">
        <f>IF(Table4[[#This Row],[Type]]="waste", Table4[[#This Row],[Q_Tonnes]]/25, Table4[[#This Row],[CO2_Noduplicates]])</f>
        <v>0</v>
      </c>
    </row>
    <row r="299" spans="1:13" x14ac:dyDescent="0.25">
      <c r="A299" s="16" t="s">
        <v>15</v>
      </c>
      <c r="B299" s="16" t="s">
        <v>15</v>
      </c>
      <c r="C299" s="16" t="s">
        <v>140</v>
      </c>
      <c r="D299" s="17">
        <v>45174</v>
      </c>
      <c r="E299" s="17">
        <v>45203</v>
      </c>
      <c r="F299" s="18">
        <v>0</v>
      </c>
      <c r="G299" s="19" t="s">
        <v>211</v>
      </c>
      <c r="H299" s="18">
        <v>0</v>
      </c>
      <c r="I299" s="12" t="str">
        <f t="shared" si="16"/>
        <v>Dcycle USA IncDcycle USA Incheat4517445203</v>
      </c>
      <c r="J299" s="12">
        <f t="shared" si="17"/>
        <v>0</v>
      </c>
      <c r="K299" s="12">
        <f>IF(Combinadas!$C299="electricity", Combinadas!$J299/6.6667,
IF(Combinadas!$C299="water", Combinadas!$J299/3.333,
IF(Combinadas!$C299="heat", Combinadas!$J299/0.8333, IF(Combinadas!$C299="waste",Combinadas!$J299/25,
"NA"))))</f>
        <v>0</v>
      </c>
      <c r="L299" s="12">
        <f>Combinadas!$J299</f>
        <v>0</v>
      </c>
      <c r="M299" s="12">
        <f>IF(Table4[[#This Row],[Type]]="waste", Table4[[#This Row],[Q_Tonnes]]/25, Table4[[#This Row],[CO2_Noduplicates]])</f>
        <v>0</v>
      </c>
    </row>
    <row r="300" spans="1:13" x14ac:dyDescent="0.25">
      <c r="A300" s="12" t="s">
        <v>15</v>
      </c>
      <c r="B300" s="12" t="s">
        <v>15</v>
      </c>
      <c r="C300" s="12" t="s">
        <v>140</v>
      </c>
      <c r="D300" s="13">
        <v>45174</v>
      </c>
      <c r="E300" s="13">
        <v>45204</v>
      </c>
      <c r="F300" s="14">
        <v>0</v>
      </c>
      <c r="G300" s="15" t="s">
        <v>211</v>
      </c>
      <c r="H300" s="14">
        <v>0</v>
      </c>
      <c r="I300" s="12" t="str">
        <f t="shared" si="16"/>
        <v>Dcycle USA IncDcycle USA Incheat4517445204</v>
      </c>
      <c r="J300" s="12">
        <f t="shared" si="17"/>
        <v>0</v>
      </c>
      <c r="K300" s="12">
        <f>IF(Combinadas!$C300="electricity", Combinadas!$J300/6.6667,
IF(Combinadas!$C300="water", Combinadas!$J300/3.333,
IF(Combinadas!$C300="heat", Combinadas!$J300/0.8333, IF(Combinadas!$C300="waste",Combinadas!$J300/25,
"NA"))))</f>
        <v>0</v>
      </c>
      <c r="L300" s="12">
        <f>Combinadas!$J300</f>
        <v>0</v>
      </c>
      <c r="M300" s="12">
        <f>IF(Table4[[#This Row],[Type]]="waste", Table4[[#This Row],[Q_Tonnes]]/25, Table4[[#This Row],[CO2_Noduplicates]])</f>
        <v>0</v>
      </c>
    </row>
    <row r="301" spans="1:13" x14ac:dyDescent="0.25">
      <c r="A301" s="16" t="s">
        <v>15</v>
      </c>
      <c r="B301" s="16" t="s">
        <v>15</v>
      </c>
      <c r="C301" s="16" t="s">
        <v>140</v>
      </c>
      <c r="D301" s="17">
        <v>45203</v>
      </c>
      <c r="E301" s="17">
        <v>45232</v>
      </c>
      <c r="F301" s="18">
        <v>3</v>
      </c>
      <c r="G301" s="19" t="s">
        <v>211</v>
      </c>
      <c r="H301" s="18">
        <v>3.6001440057602303</v>
      </c>
      <c r="I301" s="12" t="str">
        <f t="shared" si="16"/>
        <v>Dcycle USA IncDcycle USA Incheat4520345232</v>
      </c>
      <c r="J301" s="12">
        <f t="shared" si="17"/>
        <v>3</v>
      </c>
      <c r="K301" s="12">
        <f>IF(Combinadas!$C301="electricity", Combinadas!$J301/6.6667,
IF(Combinadas!$C301="water", Combinadas!$J301/3.333,
IF(Combinadas!$C301="heat", Combinadas!$J301/0.8333, IF(Combinadas!$C301="waste",Combinadas!$J301/25,
"NA"))))</f>
        <v>3.6001440057602303</v>
      </c>
      <c r="L301" s="12">
        <f>Combinadas!$J301</f>
        <v>3</v>
      </c>
      <c r="M301" s="12">
        <f>IF(Table4[[#This Row],[Type]]="waste", Table4[[#This Row],[Q_Tonnes]]/25, Table4[[#This Row],[CO2_Noduplicates]])</f>
        <v>3.6001440057602303</v>
      </c>
    </row>
    <row r="302" spans="1:13" x14ac:dyDescent="0.25">
      <c r="A302" s="12" t="s">
        <v>15</v>
      </c>
      <c r="B302" s="12" t="s">
        <v>15</v>
      </c>
      <c r="C302" s="12" t="s">
        <v>140</v>
      </c>
      <c r="D302" s="13">
        <v>45204</v>
      </c>
      <c r="E302" s="13">
        <v>45232</v>
      </c>
      <c r="F302" s="14">
        <v>33</v>
      </c>
      <c r="G302" s="15" t="s">
        <v>211</v>
      </c>
      <c r="H302" s="14">
        <v>39.60158406336253</v>
      </c>
      <c r="I302" s="12" t="str">
        <f t="shared" si="16"/>
        <v>Dcycle USA IncDcycle USA Incheat4520445232</v>
      </c>
      <c r="J302" s="12">
        <f t="shared" ref="J302:J333" si="18">IF(F302=_xlfn.MAXIFS(F:F, I:I, I302), F302, 0)</f>
        <v>33</v>
      </c>
      <c r="K302" s="12">
        <f>IF(Combinadas!$C302="electricity", Combinadas!$J302/6.6667,
IF(Combinadas!$C302="water", Combinadas!$J302/3.333,
IF(Combinadas!$C302="heat", Combinadas!$J302/0.8333, IF(Combinadas!$C302="waste",Combinadas!$J302/25,
"NA"))))</f>
        <v>39.60158406336253</v>
      </c>
      <c r="L302" s="12">
        <f>Combinadas!$J302</f>
        <v>33</v>
      </c>
      <c r="M302" s="12">
        <f>IF(Table4[[#This Row],[Type]]="waste", Table4[[#This Row],[Q_Tonnes]]/25, Table4[[#This Row],[CO2_Noduplicates]])</f>
        <v>39.60158406336253</v>
      </c>
    </row>
    <row r="303" spans="1:13" x14ac:dyDescent="0.25">
      <c r="A303" s="16" t="s">
        <v>15</v>
      </c>
      <c r="B303" s="16" t="s">
        <v>15</v>
      </c>
      <c r="C303" s="16" t="s">
        <v>140</v>
      </c>
      <c r="D303" s="17">
        <v>45232</v>
      </c>
      <c r="E303" s="17">
        <v>45264</v>
      </c>
      <c r="F303" s="18">
        <v>28</v>
      </c>
      <c r="G303" s="19" t="s">
        <v>211</v>
      </c>
      <c r="H303" s="18">
        <v>33.601344053762148</v>
      </c>
      <c r="I303" s="12" t="str">
        <f t="shared" si="16"/>
        <v>Dcycle USA IncDcycle USA Incheat4523245264</v>
      </c>
      <c r="J303" s="12">
        <f t="shared" si="18"/>
        <v>28</v>
      </c>
      <c r="K303" s="12">
        <f>IF(Combinadas!$C303="electricity", Combinadas!$J303/6.6667,
IF(Combinadas!$C303="water", Combinadas!$J303/3.333,
IF(Combinadas!$C303="heat", Combinadas!$J303/0.8333, IF(Combinadas!$C303="waste",Combinadas!$J303/25,
"NA"))))</f>
        <v>33.601344053762148</v>
      </c>
      <c r="L303" s="12">
        <f>Combinadas!$J303</f>
        <v>28</v>
      </c>
      <c r="M303" s="12">
        <f>IF(Table4[[#This Row],[Type]]="waste", Table4[[#This Row],[Q_Tonnes]]/25, Table4[[#This Row],[CO2_Noduplicates]])</f>
        <v>33.601344053762148</v>
      </c>
    </row>
    <row r="304" spans="1:13" x14ac:dyDescent="0.25">
      <c r="A304" s="12" t="s">
        <v>15</v>
      </c>
      <c r="B304" s="12" t="s">
        <v>15</v>
      </c>
      <c r="C304" s="12" t="s">
        <v>140</v>
      </c>
      <c r="D304" s="13">
        <v>45232</v>
      </c>
      <c r="E304" s="13">
        <v>45265</v>
      </c>
      <c r="F304" s="14">
        <v>185</v>
      </c>
      <c r="G304" s="15" t="s">
        <v>211</v>
      </c>
      <c r="H304" s="14">
        <v>222.00888035521419</v>
      </c>
      <c r="I304" s="12" t="str">
        <f t="shared" si="16"/>
        <v>Dcycle USA IncDcycle USA Incheat4523245265</v>
      </c>
      <c r="J304" s="12">
        <f t="shared" si="18"/>
        <v>185</v>
      </c>
      <c r="K304" s="12">
        <f>IF(Combinadas!$C304="electricity", Combinadas!$J304/6.6667,
IF(Combinadas!$C304="water", Combinadas!$J304/3.333,
IF(Combinadas!$C304="heat", Combinadas!$J304/0.8333, IF(Combinadas!$C304="waste",Combinadas!$J304/25,
"NA"))))</f>
        <v>222.00888035521419</v>
      </c>
      <c r="L304" s="12">
        <f>Combinadas!$J304</f>
        <v>185</v>
      </c>
      <c r="M304" s="12">
        <f>IF(Table4[[#This Row],[Type]]="waste", Table4[[#This Row],[Q_Tonnes]]/25, Table4[[#This Row],[CO2_Noduplicates]])</f>
        <v>222.00888035521419</v>
      </c>
    </row>
    <row r="305" spans="1:13" x14ac:dyDescent="0.25">
      <c r="A305" s="16" t="s">
        <v>17</v>
      </c>
      <c r="B305" s="16" t="s">
        <v>17</v>
      </c>
      <c r="C305" s="16" t="s">
        <v>128</v>
      </c>
      <c r="D305" s="17">
        <v>44927</v>
      </c>
      <c r="E305" s="17">
        <v>44957</v>
      </c>
      <c r="F305" s="18">
        <v>16234.4</v>
      </c>
      <c r="G305" s="21" t="s">
        <v>129</v>
      </c>
      <c r="H305" s="18">
        <v>2435.1478242608787</v>
      </c>
      <c r="I305" s="12" t="str">
        <f t="shared" si="16"/>
        <v>Dcycle LtdDcycle Ltdelectricity4492744957</v>
      </c>
      <c r="J305" s="12">
        <f t="shared" si="18"/>
        <v>16234.4</v>
      </c>
      <c r="K305" s="12">
        <f>IF(Combinadas!$C305="electricity", Combinadas!$J305/6.6667,
IF(Combinadas!$C305="water", Combinadas!$J305/3.333,
IF(Combinadas!$C305="heat", Combinadas!$J305/0.8333, IF(Combinadas!$C305="waste",Combinadas!$J305/25,
"NA"))))</f>
        <v>2435.1478242608787</v>
      </c>
      <c r="L305" s="12">
        <f>Combinadas!$J305</f>
        <v>16234.4</v>
      </c>
      <c r="M305" s="12">
        <f>IF(Table4[[#This Row],[Type]]="waste", Table4[[#This Row],[Q_Tonnes]]/25, Table4[[#This Row],[CO2_Noduplicates]])</f>
        <v>2435.1478242608787</v>
      </c>
    </row>
    <row r="306" spans="1:13" x14ac:dyDescent="0.25">
      <c r="A306" s="12" t="s">
        <v>17</v>
      </c>
      <c r="B306" s="12" t="s">
        <v>17</v>
      </c>
      <c r="C306" s="12" t="s">
        <v>128</v>
      </c>
      <c r="D306" s="13">
        <v>44958</v>
      </c>
      <c r="E306" s="13">
        <v>44985</v>
      </c>
      <c r="F306" s="14">
        <v>14869.4</v>
      </c>
      <c r="G306" s="20" t="s">
        <v>129</v>
      </c>
      <c r="H306" s="14">
        <v>2230.3988480057601</v>
      </c>
      <c r="I306" s="12" t="str">
        <f t="shared" si="16"/>
        <v>Dcycle LtdDcycle Ltdelectricity4495844985</v>
      </c>
      <c r="J306" s="12">
        <f t="shared" si="18"/>
        <v>14869.4</v>
      </c>
      <c r="K306" s="12">
        <f>IF(Combinadas!$C306="electricity", Combinadas!$J306/6.6667,
IF(Combinadas!$C306="water", Combinadas!$J306/3.333,
IF(Combinadas!$C306="heat", Combinadas!$J306/0.8333, IF(Combinadas!$C306="waste",Combinadas!$J306/25,
"NA"))))</f>
        <v>2230.3988480057601</v>
      </c>
      <c r="L306" s="12">
        <f>Combinadas!$J306</f>
        <v>14869.4</v>
      </c>
      <c r="M306" s="12">
        <f>IF(Table4[[#This Row],[Type]]="waste", Table4[[#This Row],[Q_Tonnes]]/25, Table4[[#This Row],[CO2_Noduplicates]])</f>
        <v>2230.3988480057601</v>
      </c>
    </row>
    <row r="307" spans="1:13" x14ac:dyDescent="0.25">
      <c r="A307" s="16" t="s">
        <v>17</v>
      </c>
      <c r="B307" s="16" t="s">
        <v>17</v>
      </c>
      <c r="C307" s="16" t="s">
        <v>128</v>
      </c>
      <c r="D307" s="17">
        <v>44986</v>
      </c>
      <c r="E307" s="17">
        <v>45016</v>
      </c>
      <c r="F307" s="18">
        <v>15430.3</v>
      </c>
      <c r="G307" s="21" t="s">
        <v>129</v>
      </c>
      <c r="H307" s="18">
        <v>2314.5334273328635</v>
      </c>
      <c r="I307" s="12" t="str">
        <f t="shared" si="16"/>
        <v>Dcycle LtdDcycle Ltdelectricity4498645016</v>
      </c>
      <c r="J307" s="12">
        <f t="shared" si="18"/>
        <v>15430.3</v>
      </c>
      <c r="K307" s="12">
        <f>IF(Combinadas!$C307="electricity", Combinadas!$J307/6.6667,
IF(Combinadas!$C307="water", Combinadas!$J307/3.333,
IF(Combinadas!$C307="heat", Combinadas!$J307/0.8333, IF(Combinadas!$C307="waste",Combinadas!$J307/25,
"NA"))))</f>
        <v>2314.5334273328635</v>
      </c>
      <c r="L307" s="12">
        <f>Combinadas!$J307</f>
        <v>15430.3</v>
      </c>
      <c r="M307" s="12">
        <f>IF(Table4[[#This Row],[Type]]="waste", Table4[[#This Row],[Q_Tonnes]]/25, Table4[[#This Row],[CO2_Noduplicates]])</f>
        <v>2314.5334273328635</v>
      </c>
    </row>
    <row r="308" spans="1:13" x14ac:dyDescent="0.25">
      <c r="A308" s="12" t="s">
        <v>17</v>
      </c>
      <c r="B308" s="12" t="s">
        <v>17</v>
      </c>
      <c r="C308" s="12" t="s">
        <v>128</v>
      </c>
      <c r="D308" s="13">
        <v>45017</v>
      </c>
      <c r="E308" s="13">
        <v>45046</v>
      </c>
      <c r="F308" s="14">
        <v>11215.6</v>
      </c>
      <c r="G308" s="20" t="s">
        <v>129</v>
      </c>
      <c r="H308" s="14">
        <v>1682.3315883420585</v>
      </c>
      <c r="I308" s="12" t="str">
        <f t="shared" si="16"/>
        <v>Dcycle LtdDcycle Ltdelectricity4501745046</v>
      </c>
      <c r="J308" s="12">
        <f t="shared" si="18"/>
        <v>11215.6</v>
      </c>
      <c r="K308" s="12">
        <f>IF(Combinadas!$C308="electricity", Combinadas!$J308/6.6667,
IF(Combinadas!$C308="water", Combinadas!$J308/3.333,
IF(Combinadas!$C308="heat", Combinadas!$J308/0.8333, IF(Combinadas!$C308="waste",Combinadas!$J308/25,
"NA"))))</f>
        <v>1682.3315883420585</v>
      </c>
      <c r="L308" s="12">
        <f>Combinadas!$J308</f>
        <v>11215.6</v>
      </c>
      <c r="M308" s="12">
        <f>IF(Table4[[#This Row],[Type]]="waste", Table4[[#This Row],[Q_Tonnes]]/25, Table4[[#This Row],[CO2_Noduplicates]])</f>
        <v>1682.3315883420585</v>
      </c>
    </row>
    <row r="309" spans="1:13" x14ac:dyDescent="0.25">
      <c r="A309" s="16" t="s">
        <v>17</v>
      </c>
      <c r="B309" s="16" t="s">
        <v>17</v>
      </c>
      <c r="C309" s="16" t="s">
        <v>128</v>
      </c>
      <c r="D309" s="17">
        <v>45047</v>
      </c>
      <c r="E309" s="17">
        <v>45077</v>
      </c>
      <c r="F309" s="18">
        <v>10225.4</v>
      </c>
      <c r="G309" s="21" t="s">
        <v>129</v>
      </c>
      <c r="H309" s="18">
        <v>1533.8023309883451</v>
      </c>
      <c r="I309" s="12" t="str">
        <f t="shared" si="16"/>
        <v>Dcycle LtdDcycle Ltdelectricity4504745077</v>
      </c>
      <c r="J309" s="12">
        <f t="shared" si="18"/>
        <v>10225.4</v>
      </c>
      <c r="K309" s="12">
        <f>IF(Combinadas!$C309="electricity", Combinadas!$J309/6.6667,
IF(Combinadas!$C309="water", Combinadas!$J309/3.333,
IF(Combinadas!$C309="heat", Combinadas!$J309/0.8333, IF(Combinadas!$C309="waste",Combinadas!$J309/25,
"NA"))))</f>
        <v>1533.8023309883451</v>
      </c>
      <c r="L309" s="12">
        <f>Combinadas!$J309</f>
        <v>10225.4</v>
      </c>
      <c r="M309" s="12">
        <f>IF(Table4[[#This Row],[Type]]="waste", Table4[[#This Row],[Q_Tonnes]]/25, Table4[[#This Row],[CO2_Noduplicates]])</f>
        <v>1533.8023309883451</v>
      </c>
    </row>
    <row r="310" spans="1:13" x14ac:dyDescent="0.25">
      <c r="A310" s="12" t="s">
        <v>17</v>
      </c>
      <c r="B310" s="12" t="s">
        <v>17</v>
      </c>
      <c r="C310" s="12" t="s">
        <v>128</v>
      </c>
      <c r="D310" s="13">
        <v>45078</v>
      </c>
      <c r="E310" s="13">
        <v>45107</v>
      </c>
      <c r="F310" s="14">
        <v>10765.9</v>
      </c>
      <c r="G310" s="20" t="s">
        <v>129</v>
      </c>
      <c r="H310" s="14">
        <v>1614.8769256153719</v>
      </c>
      <c r="I310" s="12" t="str">
        <f t="shared" si="16"/>
        <v>Dcycle LtdDcycle Ltdelectricity4507845107</v>
      </c>
      <c r="J310" s="12">
        <f t="shared" si="18"/>
        <v>10765.9</v>
      </c>
      <c r="K310" s="12">
        <f>IF(Combinadas!$C310="electricity", Combinadas!$J310/6.6667,
IF(Combinadas!$C310="water", Combinadas!$J310/3.333,
IF(Combinadas!$C310="heat", Combinadas!$J310/0.8333, IF(Combinadas!$C310="waste",Combinadas!$J310/25,
"NA"))))</f>
        <v>1614.8769256153719</v>
      </c>
      <c r="L310" s="12">
        <f>Combinadas!$J310</f>
        <v>10765.9</v>
      </c>
      <c r="M310" s="12">
        <f>IF(Table4[[#This Row],[Type]]="waste", Table4[[#This Row],[Q_Tonnes]]/25, Table4[[#This Row],[CO2_Noduplicates]])</f>
        <v>1614.8769256153719</v>
      </c>
    </row>
    <row r="311" spans="1:13" x14ac:dyDescent="0.25">
      <c r="A311" s="16" t="s">
        <v>17</v>
      </c>
      <c r="B311" s="16" t="s">
        <v>17</v>
      </c>
      <c r="C311" s="16" t="s">
        <v>128</v>
      </c>
      <c r="D311" s="17">
        <v>45108</v>
      </c>
      <c r="E311" s="17">
        <v>45138</v>
      </c>
      <c r="F311" s="18">
        <v>10246.4</v>
      </c>
      <c r="G311" s="21" t="s">
        <v>129</v>
      </c>
      <c r="H311" s="18">
        <v>1536.9523152384238</v>
      </c>
      <c r="I311" s="12" t="str">
        <f t="shared" si="16"/>
        <v>Dcycle LtdDcycle Ltdelectricity4510845138</v>
      </c>
      <c r="J311" s="12">
        <f t="shared" si="18"/>
        <v>10246.4</v>
      </c>
      <c r="K311" s="12">
        <f>IF(Combinadas!$C311="electricity", Combinadas!$J311/6.6667,
IF(Combinadas!$C311="water", Combinadas!$J311/3.333,
IF(Combinadas!$C311="heat", Combinadas!$J311/0.8333, IF(Combinadas!$C311="waste",Combinadas!$J311/25,
"NA"))))</f>
        <v>1536.9523152384238</v>
      </c>
      <c r="L311" s="12">
        <f>Combinadas!$J311</f>
        <v>10246.4</v>
      </c>
      <c r="M311" s="12">
        <f>IF(Table4[[#This Row],[Type]]="waste", Table4[[#This Row],[Q_Tonnes]]/25, Table4[[#This Row],[CO2_Noduplicates]])</f>
        <v>1536.9523152384238</v>
      </c>
    </row>
    <row r="312" spans="1:13" x14ac:dyDescent="0.25">
      <c r="A312" s="12" t="s">
        <v>17</v>
      </c>
      <c r="B312" s="12" t="s">
        <v>17</v>
      </c>
      <c r="C312" s="12" t="s">
        <v>128</v>
      </c>
      <c r="D312" s="13">
        <v>45139</v>
      </c>
      <c r="E312" s="13">
        <v>45169</v>
      </c>
      <c r="F312" s="14">
        <v>11314.7</v>
      </c>
      <c r="G312" s="20" t="s">
        <v>129</v>
      </c>
      <c r="H312" s="14">
        <v>1697.1965140174302</v>
      </c>
      <c r="I312" s="12" t="str">
        <f t="shared" si="16"/>
        <v>Dcycle LtdDcycle Ltdelectricity4513945169</v>
      </c>
      <c r="J312" s="12">
        <f t="shared" si="18"/>
        <v>11314.7</v>
      </c>
      <c r="K312" s="12">
        <f>IF(Combinadas!$C312="electricity", Combinadas!$J312/6.6667,
IF(Combinadas!$C312="water", Combinadas!$J312/3.333,
IF(Combinadas!$C312="heat", Combinadas!$J312/0.8333, IF(Combinadas!$C312="waste",Combinadas!$J312/25,
"NA"))))</f>
        <v>1697.1965140174302</v>
      </c>
      <c r="L312" s="12">
        <f>Combinadas!$J312</f>
        <v>11314.7</v>
      </c>
      <c r="M312" s="12">
        <f>IF(Table4[[#This Row],[Type]]="waste", Table4[[#This Row],[Q_Tonnes]]/25, Table4[[#This Row],[CO2_Noduplicates]])</f>
        <v>1697.1965140174302</v>
      </c>
    </row>
    <row r="313" spans="1:13" x14ac:dyDescent="0.25">
      <c r="A313" s="16" t="s">
        <v>17</v>
      </c>
      <c r="B313" s="16" t="s">
        <v>17</v>
      </c>
      <c r="C313" s="16" t="s">
        <v>128</v>
      </c>
      <c r="D313" s="17">
        <v>45170</v>
      </c>
      <c r="E313" s="17">
        <v>45199</v>
      </c>
      <c r="F313" s="18">
        <v>10600.4</v>
      </c>
      <c r="G313" s="21" t="s">
        <v>129</v>
      </c>
      <c r="H313" s="18">
        <v>1590.0520497397513</v>
      </c>
      <c r="I313" s="12" t="str">
        <f t="shared" si="16"/>
        <v>Dcycle LtdDcycle Ltdelectricity4517045199</v>
      </c>
      <c r="J313" s="12">
        <f t="shared" si="18"/>
        <v>10600.4</v>
      </c>
      <c r="K313" s="12">
        <f>IF(Combinadas!$C313="electricity", Combinadas!$J313/6.6667,
IF(Combinadas!$C313="water", Combinadas!$J313/3.333,
IF(Combinadas!$C313="heat", Combinadas!$J313/0.8333, IF(Combinadas!$C313="waste",Combinadas!$J313/25,
"NA"))))</f>
        <v>1590.0520497397513</v>
      </c>
      <c r="L313" s="12">
        <f>Combinadas!$J313</f>
        <v>10600.4</v>
      </c>
      <c r="M313" s="12">
        <f>IF(Table4[[#This Row],[Type]]="waste", Table4[[#This Row],[Q_Tonnes]]/25, Table4[[#This Row],[CO2_Noduplicates]])</f>
        <v>1590.0520497397513</v>
      </c>
    </row>
    <row r="314" spans="1:13" x14ac:dyDescent="0.25">
      <c r="A314" s="12" t="s">
        <v>17</v>
      </c>
      <c r="B314" s="12" t="s">
        <v>17</v>
      </c>
      <c r="C314" s="12" t="s">
        <v>128</v>
      </c>
      <c r="D314" s="13">
        <v>45200</v>
      </c>
      <c r="E314" s="13">
        <v>45230</v>
      </c>
      <c r="F314" s="14">
        <v>11864.5</v>
      </c>
      <c r="G314" s="20" t="s">
        <v>129</v>
      </c>
      <c r="H314" s="14">
        <v>1779.6661016694918</v>
      </c>
      <c r="I314" s="12" t="str">
        <f t="shared" si="16"/>
        <v>Dcycle LtdDcycle Ltdelectricity4520045230</v>
      </c>
      <c r="J314" s="12">
        <f t="shared" si="18"/>
        <v>11864.5</v>
      </c>
      <c r="K314" s="12">
        <f>IF(Combinadas!$C314="electricity", Combinadas!$J314/6.6667,
IF(Combinadas!$C314="water", Combinadas!$J314/3.333,
IF(Combinadas!$C314="heat", Combinadas!$J314/0.8333, IF(Combinadas!$C314="waste",Combinadas!$J314/25,
"NA"))))</f>
        <v>1779.6661016694918</v>
      </c>
      <c r="L314" s="12">
        <f>Combinadas!$J314</f>
        <v>11864.5</v>
      </c>
      <c r="M314" s="12">
        <f>IF(Table4[[#This Row],[Type]]="waste", Table4[[#This Row],[Q_Tonnes]]/25, Table4[[#This Row],[CO2_Noduplicates]])</f>
        <v>1779.6661016694918</v>
      </c>
    </row>
    <row r="315" spans="1:13" x14ac:dyDescent="0.25">
      <c r="A315" s="16" t="s">
        <v>17</v>
      </c>
      <c r="B315" s="16" t="s">
        <v>17</v>
      </c>
      <c r="C315" s="16" t="s">
        <v>128</v>
      </c>
      <c r="D315" s="17">
        <v>45231</v>
      </c>
      <c r="E315" s="17">
        <v>45260</v>
      </c>
      <c r="F315" s="18">
        <v>15621.8</v>
      </c>
      <c r="G315" s="21" t="s">
        <v>129</v>
      </c>
      <c r="H315" s="18">
        <v>2343.2582837085815</v>
      </c>
      <c r="I315" s="12" t="str">
        <f t="shared" si="16"/>
        <v>Dcycle LtdDcycle Ltdelectricity4523145260</v>
      </c>
      <c r="J315" s="12">
        <f t="shared" si="18"/>
        <v>15621.8</v>
      </c>
      <c r="K315" s="12">
        <f>IF(Combinadas!$C315="electricity", Combinadas!$J315/6.6667,
IF(Combinadas!$C315="water", Combinadas!$J315/3.333,
IF(Combinadas!$C315="heat", Combinadas!$J315/0.8333, IF(Combinadas!$C315="waste",Combinadas!$J315/25,
"NA"))))</f>
        <v>2343.2582837085815</v>
      </c>
      <c r="L315" s="12">
        <f>Combinadas!$J315</f>
        <v>15621.8</v>
      </c>
      <c r="M315" s="12">
        <f>IF(Table4[[#This Row],[Type]]="waste", Table4[[#This Row],[Q_Tonnes]]/25, Table4[[#This Row],[CO2_Noduplicates]])</f>
        <v>2343.2582837085815</v>
      </c>
    </row>
    <row r="316" spans="1:13" x14ac:dyDescent="0.25">
      <c r="A316" s="12" t="s">
        <v>17</v>
      </c>
      <c r="B316" s="12" t="s">
        <v>17</v>
      </c>
      <c r="C316" s="12" t="s">
        <v>128</v>
      </c>
      <c r="D316" s="13">
        <v>45261</v>
      </c>
      <c r="E316" s="13">
        <v>45291</v>
      </c>
      <c r="F316" s="14">
        <v>13489</v>
      </c>
      <c r="G316" s="15" t="s">
        <v>129</v>
      </c>
      <c r="H316" s="14">
        <v>2023.3398833005836</v>
      </c>
      <c r="I316" s="12" t="str">
        <f t="shared" si="16"/>
        <v>Dcycle LtdDcycle Ltdelectricity4526145291</v>
      </c>
      <c r="J316" s="12">
        <f t="shared" si="18"/>
        <v>13489</v>
      </c>
      <c r="K316" s="12">
        <f>IF(Combinadas!$C316="electricity", Combinadas!$J316/6.6667,
IF(Combinadas!$C316="water", Combinadas!$J316/3.333,
IF(Combinadas!$C316="heat", Combinadas!$J316/0.8333, IF(Combinadas!$C316="waste",Combinadas!$J316/25,
"NA"))))</f>
        <v>2023.3398833005836</v>
      </c>
      <c r="L316" s="12">
        <f>Combinadas!$J316</f>
        <v>13489</v>
      </c>
      <c r="M316" s="12">
        <f>IF(Table4[[#This Row],[Type]]="waste", Table4[[#This Row],[Q_Tonnes]]/25, Table4[[#This Row],[CO2_Noduplicates]])</f>
        <v>2023.3398833005836</v>
      </c>
    </row>
    <row r="317" spans="1:13" x14ac:dyDescent="0.25">
      <c r="A317" s="16" t="s">
        <v>17</v>
      </c>
      <c r="B317" s="16" t="s">
        <v>17</v>
      </c>
      <c r="C317" s="16" t="s">
        <v>140</v>
      </c>
      <c r="D317" s="17">
        <v>44927</v>
      </c>
      <c r="E317" s="17">
        <v>44957</v>
      </c>
      <c r="F317" s="18">
        <v>1278.7658963186395</v>
      </c>
      <c r="G317" s="21" t="s">
        <v>211</v>
      </c>
      <c r="H317" s="18">
        <v>1534.5804588007195</v>
      </c>
      <c r="I317" s="12" t="str">
        <f t="shared" si="16"/>
        <v>Dcycle LtdDcycle Ltdheat4492744957</v>
      </c>
      <c r="J317" s="12">
        <f t="shared" si="18"/>
        <v>1278.7658963186395</v>
      </c>
      <c r="K317" s="12">
        <f>IF(Combinadas!$C317="electricity", Combinadas!$J317/6.6667,
IF(Combinadas!$C317="water", Combinadas!$J317/3.333,
IF(Combinadas!$C317="heat", Combinadas!$J317/0.8333, IF(Combinadas!$C317="waste",Combinadas!$J317/25,
"NA"))))</f>
        <v>1534.5804588007195</v>
      </c>
      <c r="L317" s="12">
        <f>Combinadas!$J317</f>
        <v>1278.7658963186395</v>
      </c>
      <c r="M317" s="12">
        <f>IF(Table4[[#This Row],[Type]]="waste", Table4[[#This Row],[Q_Tonnes]]/25, Table4[[#This Row],[CO2_Noduplicates]])</f>
        <v>1534.5804588007195</v>
      </c>
    </row>
    <row r="318" spans="1:13" x14ac:dyDescent="0.25">
      <c r="A318" s="12" t="s">
        <v>17</v>
      </c>
      <c r="B318" s="12" t="s">
        <v>17</v>
      </c>
      <c r="C318" s="12" t="s">
        <v>140</v>
      </c>
      <c r="D318" s="13">
        <v>44958</v>
      </c>
      <c r="E318" s="13">
        <v>44985</v>
      </c>
      <c r="F318" s="14">
        <v>1049.8131852008557</v>
      </c>
      <c r="G318" s="20" t="s">
        <v>211</v>
      </c>
      <c r="H318" s="14">
        <v>1259.8262152896384</v>
      </c>
      <c r="I318" s="12" t="str">
        <f t="shared" si="16"/>
        <v>Dcycle LtdDcycle Ltdheat4495844985</v>
      </c>
      <c r="J318" s="12">
        <f t="shared" si="18"/>
        <v>1049.8131852008557</v>
      </c>
      <c r="K318" s="12">
        <f>IF(Combinadas!$C318="electricity", Combinadas!$J318/6.6667,
IF(Combinadas!$C318="water", Combinadas!$J318/3.333,
IF(Combinadas!$C318="heat", Combinadas!$J318/0.8333, IF(Combinadas!$C318="waste",Combinadas!$J318/25,
"NA"))))</f>
        <v>1259.8262152896384</v>
      </c>
      <c r="L318" s="12">
        <f>Combinadas!$J318</f>
        <v>1049.8131852008557</v>
      </c>
      <c r="M318" s="12">
        <f>IF(Table4[[#This Row],[Type]]="waste", Table4[[#This Row],[Q_Tonnes]]/25, Table4[[#This Row],[CO2_Noduplicates]])</f>
        <v>1259.8262152896384</v>
      </c>
    </row>
    <row r="319" spans="1:13" x14ac:dyDescent="0.25">
      <c r="A319" s="16" t="s">
        <v>17</v>
      </c>
      <c r="B319" s="16" t="s">
        <v>17</v>
      </c>
      <c r="C319" s="16" t="s">
        <v>140</v>
      </c>
      <c r="D319" s="17">
        <v>44986</v>
      </c>
      <c r="E319" s="17">
        <v>45016</v>
      </c>
      <c r="F319" s="18">
        <v>1105.7112440330159</v>
      </c>
      <c r="G319" s="21" t="s">
        <v>211</v>
      </c>
      <c r="H319" s="18">
        <v>1326.9065691023832</v>
      </c>
      <c r="I319" s="12" t="str">
        <f t="shared" si="16"/>
        <v>Dcycle LtdDcycle Ltdheat4498645016</v>
      </c>
      <c r="J319" s="12">
        <f t="shared" si="18"/>
        <v>1105.7112440330159</v>
      </c>
      <c r="K319" s="12">
        <f>IF(Combinadas!$C319="electricity", Combinadas!$J319/6.6667,
IF(Combinadas!$C319="water", Combinadas!$J319/3.333,
IF(Combinadas!$C319="heat", Combinadas!$J319/0.8333, IF(Combinadas!$C319="waste",Combinadas!$J319/25,
"NA"))))</f>
        <v>1326.9065691023832</v>
      </c>
      <c r="L319" s="12">
        <f>Combinadas!$J319</f>
        <v>1105.7112440330159</v>
      </c>
      <c r="M319" s="12">
        <f>IF(Table4[[#This Row],[Type]]="waste", Table4[[#This Row],[Q_Tonnes]]/25, Table4[[#This Row],[CO2_Noduplicates]])</f>
        <v>1326.9065691023832</v>
      </c>
    </row>
    <row r="320" spans="1:13" x14ac:dyDescent="0.25">
      <c r="A320" s="12" t="s">
        <v>17</v>
      </c>
      <c r="B320" s="12" t="s">
        <v>17</v>
      </c>
      <c r="C320" s="12" t="s">
        <v>140</v>
      </c>
      <c r="D320" s="13">
        <v>45017</v>
      </c>
      <c r="E320" s="13">
        <v>45046</v>
      </c>
      <c r="F320" s="14">
        <v>767.25946954833478</v>
      </c>
      <c r="G320" s="20" t="s">
        <v>211</v>
      </c>
      <c r="H320" s="14">
        <v>920.74819338573707</v>
      </c>
      <c r="I320" s="12" t="str">
        <f t="shared" si="16"/>
        <v>Dcycle LtdDcycle Ltdheat4501745046</v>
      </c>
      <c r="J320" s="12">
        <f t="shared" si="18"/>
        <v>767.25946954833478</v>
      </c>
      <c r="K320" s="12">
        <f>IF(Combinadas!$C320="electricity", Combinadas!$J320/6.6667,
IF(Combinadas!$C320="water", Combinadas!$J320/3.333,
IF(Combinadas!$C320="heat", Combinadas!$J320/0.8333, IF(Combinadas!$C320="waste",Combinadas!$J320/25,
"NA"))))</f>
        <v>920.74819338573707</v>
      </c>
      <c r="L320" s="12">
        <f>Combinadas!$J320</f>
        <v>767.25946954833478</v>
      </c>
      <c r="M320" s="12">
        <f>IF(Table4[[#This Row],[Type]]="waste", Table4[[#This Row],[Q_Tonnes]]/25, Table4[[#This Row],[CO2_Noduplicates]])</f>
        <v>920.74819338573707</v>
      </c>
    </row>
    <row r="321" spans="1:13" x14ac:dyDescent="0.25">
      <c r="A321" s="16" t="s">
        <v>17</v>
      </c>
      <c r="B321" s="16" t="s">
        <v>17</v>
      </c>
      <c r="C321" s="16" t="s">
        <v>140</v>
      </c>
      <c r="D321" s="17">
        <v>45047</v>
      </c>
      <c r="E321" s="17">
        <v>45077</v>
      </c>
      <c r="F321" s="18">
        <v>262.26170450163954</v>
      </c>
      <c r="G321" s="21" t="s">
        <v>211</v>
      </c>
      <c r="H321" s="18">
        <v>314.72663446734612</v>
      </c>
      <c r="I321" s="12" t="str">
        <f t="shared" si="16"/>
        <v>Dcycle LtdDcycle Ltdheat4504745077</v>
      </c>
      <c r="J321" s="12">
        <f t="shared" si="18"/>
        <v>262.26170450163954</v>
      </c>
      <c r="K321" s="12">
        <f>IF(Combinadas!$C321="electricity", Combinadas!$J321/6.6667,
IF(Combinadas!$C321="water", Combinadas!$J321/3.333,
IF(Combinadas!$C321="heat", Combinadas!$J321/0.8333, IF(Combinadas!$C321="waste",Combinadas!$J321/25,
"NA"))))</f>
        <v>314.72663446734612</v>
      </c>
      <c r="L321" s="12">
        <f>Combinadas!$J321</f>
        <v>262.26170450163954</v>
      </c>
      <c r="M321" s="12">
        <f>IF(Table4[[#This Row],[Type]]="waste", Table4[[#This Row],[Q_Tonnes]]/25, Table4[[#This Row],[CO2_Noduplicates]])</f>
        <v>314.72663446734612</v>
      </c>
    </row>
    <row r="322" spans="1:13" x14ac:dyDescent="0.25">
      <c r="A322" s="12" t="s">
        <v>17</v>
      </c>
      <c r="B322" s="12" t="s">
        <v>17</v>
      </c>
      <c r="C322" s="12" t="s">
        <v>140</v>
      </c>
      <c r="D322" s="13">
        <v>45078</v>
      </c>
      <c r="E322" s="13">
        <v>45107</v>
      </c>
      <c r="F322" s="14">
        <v>40.200838704614242</v>
      </c>
      <c r="G322" s="20" t="s">
        <v>211</v>
      </c>
      <c r="H322" s="14">
        <v>48.242936162983604</v>
      </c>
      <c r="I322" s="12" t="str">
        <f t="shared" ref="I322:I385" si="19">A322&amp;B322&amp;C322&amp;D322&amp;E322</f>
        <v>Dcycle LtdDcycle Ltdheat4507845107</v>
      </c>
      <c r="J322" s="12">
        <f t="shared" si="18"/>
        <v>40.200838704614242</v>
      </c>
      <c r="K322" s="12">
        <f>IF(Combinadas!$C322="electricity", Combinadas!$J322/6.6667,
IF(Combinadas!$C322="water", Combinadas!$J322/3.333,
IF(Combinadas!$C322="heat", Combinadas!$J322/0.8333, IF(Combinadas!$C322="waste",Combinadas!$J322/25,
"NA"))))</f>
        <v>48.242936162983604</v>
      </c>
      <c r="L322" s="12">
        <f>Combinadas!$J322</f>
        <v>40.200838704614242</v>
      </c>
      <c r="M322" s="12">
        <f>IF(Table4[[#This Row],[Type]]="waste", Table4[[#This Row],[Q_Tonnes]]/25, Table4[[#This Row],[CO2_Noduplicates]])</f>
        <v>48.242936162983604</v>
      </c>
    </row>
    <row r="323" spans="1:13" x14ac:dyDescent="0.25">
      <c r="A323" s="16" t="s">
        <v>17</v>
      </c>
      <c r="B323" s="16" t="s">
        <v>17</v>
      </c>
      <c r="C323" s="16" t="s">
        <v>140</v>
      </c>
      <c r="D323" s="17">
        <v>45108</v>
      </c>
      <c r="E323" s="17">
        <v>45138</v>
      </c>
      <c r="F323" s="18">
        <v>3.0630802774754242</v>
      </c>
      <c r="G323" s="19" t="s">
        <v>211</v>
      </c>
      <c r="H323" s="18">
        <v>3.6758433667051773</v>
      </c>
      <c r="I323" s="12" t="str">
        <f t="shared" si="19"/>
        <v>Dcycle LtdDcycle Ltdheat4510845138</v>
      </c>
      <c r="J323" s="12">
        <f t="shared" si="18"/>
        <v>3.0630802774754242</v>
      </c>
      <c r="K323" s="12">
        <f>IF(Combinadas!$C323="electricity", Combinadas!$J323/6.6667,
IF(Combinadas!$C323="water", Combinadas!$J323/3.333,
IF(Combinadas!$C323="heat", Combinadas!$J323/0.8333, IF(Combinadas!$C323="waste",Combinadas!$J323/25,
"NA"))))</f>
        <v>3.6758433667051773</v>
      </c>
      <c r="L323" s="12">
        <f>Combinadas!$J323</f>
        <v>3.0630802774754242</v>
      </c>
      <c r="M323" s="12">
        <f>IF(Table4[[#This Row],[Type]]="waste", Table4[[#This Row],[Q_Tonnes]]/25, Table4[[#This Row],[CO2_Noduplicates]])</f>
        <v>3.6758433667051773</v>
      </c>
    </row>
    <row r="324" spans="1:13" x14ac:dyDescent="0.25">
      <c r="A324" s="12" t="s">
        <v>17</v>
      </c>
      <c r="B324" s="12" t="s">
        <v>17</v>
      </c>
      <c r="C324" s="12" t="s">
        <v>140</v>
      </c>
      <c r="D324" s="13">
        <v>45139</v>
      </c>
      <c r="E324" s="13">
        <v>45169</v>
      </c>
      <c r="F324" s="14">
        <v>0</v>
      </c>
      <c r="G324" s="15" t="s">
        <v>211</v>
      </c>
      <c r="H324" s="14">
        <v>0</v>
      </c>
      <c r="I324" s="12" t="str">
        <f t="shared" si="19"/>
        <v>Dcycle LtdDcycle Ltdheat4513945169</v>
      </c>
      <c r="J324" s="12">
        <f t="shared" si="18"/>
        <v>0</v>
      </c>
      <c r="K324" s="12">
        <f>IF(Combinadas!$C324="electricity", Combinadas!$J324/6.6667,
IF(Combinadas!$C324="water", Combinadas!$J324/3.333,
IF(Combinadas!$C324="heat", Combinadas!$J324/0.8333, IF(Combinadas!$C324="waste",Combinadas!$J324/25,
"NA"))))</f>
        <v>0</v>
      </c>
      <c r="L324" s="12">
        <f>Combinadas!$J324</f>
        <v>0</v>
      </c>
      <c r="M324" s="12">
        <f>IF(Table4[[#This Row],[Type]]="waste", Table4[[#This Row],[Q_Tonnes]]/25, Table4[[#This Row],[CO2_Noduplicates]])</f>
        <v>0</v>
      </c>
    </row>
    <row r="325" spans="1:13" x14ac:dyDescent="0.25">
      <c r="A325" s="16" t="s">
        <v>17</v>
      </c>
      <c r="B325" s="16" t="s">
        <v>17</v>
      </c>
      <c r="C325" s="16" t="s">
        <v>140</v>
      </c>
      <c r="D325" s="17">
        <v>45170</v>
      </c>
      <c r="E325" s="17">
        <v>45199</v>
      </c>
      <c r="F325" s="18">
        <v>0</v>
      </c>
      <c r="G325" s="19" t="s">
        <v>211</v>
      </c>
      <c r="H325" s="18">
        <v>0</v>
      </c>
      <c r="I325" s="12" t="str">
        <f t="shared" si="19"/>
        <v>Dcycle LtdDcycle Ltdheat4517045199</v>
      </c>
      <c r="J325" s="12">
        <f t="shared" si="18"/>
        <v>0</v>
      </c>
      <c r="K325" s="12">
        <f>IF(Combinadas!$C325="electricity", Combinadas!$J325/6.6667,
IF(Combinadas!$C325="water", Combinadas!$J325/3.333,
IF(Combinadas!$C325="heat", Combinadas!$J325/0.8333, IF(Combinadas!$C325="waste",Combinadas!$J325/25,
"NA"))))</f>
        <v>0</v>
      </c>
      <c r="L325" s="12">
        <f>Combinadas!$J325</f>
        <v>0</v>
      </c>
      <c r="M325" s="12">
        <f>IF(Table4[[#This Row],[Type]]="waste", Table4[[#This Row],[Q_Tonnes]]/25, Table4[[#This Row],[CO2_Noduplicates]])</f>
        <v>0</v>
      </c>
    </row>
    <row r="326" spans="1:13" x14ac:dyDescent="0.25">
      <c r="A326" s="12" t="s">
        <v>17</v>
      </c>
      <c r="B326" s="12" t="s">
        <v>17</v>
      </c>
      <c r="C326" s="12" t="s">
        <v>140</v>
      </c>
      <c r="D326" s="13">
        <v>45200</v>
      </c>
      <c r="E326" s="13">
        <v>45230</v>
      </c>
      <c r="F326" s="14">
        <v>765.81988664862786</v>
      </c>
      <c r="G326" s="20" t="s">
        <v>211</v>
      </c>
      <c r="H326" s="14">
        <v>919.02062480334553</v>
      </c>
      <c r="I326" s="12" t="str">
        <f t="shared" si="19"/>
        <v>Dcycle LtdDcycle Ltdheat4520045230</v>
      </c>
      <c r="J326" s="12">
        <f t="shared" si="18"/>
        <v>765.81988664862786</v>
      </c>
      <c r="K326" s="12">
        <f>IF(Combinadas!$C326="electricity", Combinadas!$J326/6.6667,
IF(Combinadas!$C326="water", Combinadas!$J326/3.333,
IF(Combinadas!$C326="heat", Combinadas!$J326/0.8333, IF(Combinadas!$C326="waste",Combinadas!$J326/25,
"NA"))))</f>
        <v>919.02062480334553</v>
      </c>
      <c r="L326" s="12">
        <f>Combinadas!$J326</f>
        <v>765.81988664862786</v>
      </c>
      <c r="M326" s="12">
        <f>IF(Table4[[#This Row],[Type]]="waste", Table4[[#This Row],[Q_Tonnes]]/25, Table4[[#This Row],[CO2_Noduplicates]])</f>
        <v>919.02062480334553</v>
      </c>
    </row>
    <row r="327" spans="1:13" x14ac:dyDescent="0.25">
      <c r="A327" s="16" t="s">
        <v>17</v>
      </c>
      <c r="B327" s="16" t="s">
        <v>17</v>
      </c>
      <c r="C327" s="16" t="s">
        <v>140</v>
      </c>
      <c r="D327" s="17">
        <v>45231</v>
      </c>
      <c r="E327" s="17">
        <v>45260</v>
      </c>
      <c r="F327" s="18">
        <v>741.11734016671733</v>
      </c>
      <c r="G327" s="19" t="s">
        <v>211</v>
      </c>
      <c r="H327" s="18">
        <v>889.37638325539092</v>
      </c>
      <c r="I327" s="12" t="str">
        <f t="shared" si="19"/>
        <v>Dcycle LtdDcycle Ltdheat4523145260</v>
      </c>
      <c r="J327" s="12">
        <f t="shared" si="18"/>
        <v>741.11734016671733</v>
      </c>
      <c r="K327" s="12">
        <f>IF(Combinadas!$C327="electricity", Combinadas!$J327/6.6667,
IF(Combinadas!$C327="water", Combinadas!$J327/3.333,
IF(Combinadas!$C327="heat", Combinadas!$J327/0.8333, IF(Combinadas!$C327="waste",Combinadas!$J327/25,
"NA"))))</f>
        <v>889.37638325539092</v>
      </c>
      <c r="L327" s="12">
        <f>Combinadas!$J327</f>
        <v>741.11734016671733</v>
      </c>
      <c r="M327" s="12">
        <f>IF(Table4[[#This Row],[Type]]="waste", Table4[[#This Row],[Q_Tonnes]]/25, Table4[[#This Row],[CO2_Noduplicates]])</f>
        <v>889.37638325539092</v>
      </c>
    </row>
    <row r="328" spans="1:13" x14ac:dyDescent="0.25">
      <c r="A328" s="12" t="s">
        <v>17</v>
      </c>
      <c r="B328" s="12" t="s">
        <v>17</v>
      </c>
      <c r="C328" s="12" t="s">
        <v>140</v>
      </c>
      <c r="D328" s="13">
        <v>45261</v>
      </c>
      <c r="E328" s="13">
        <v>45291</v>
      </c>
      <c r="F328" s="14">
        <v>844.21522429718402</v>
      </c>
      <c r="G328" s="20" t="s">
        <v>211</v>
      </c>
      <c r="H328" s="14">
        <v>1013.0987931083451</v>
      </c>
      <c r="I328" s="12" t="str">
        <f t="shared" si="19"/>
        <v>Dcycle LtdDcycle Ltdheat4526145291</v>
      </c>
      <c r="J328" s="12">
        <f t="shared" si="18"/>
        <v>844.21522429718402</v>
      </c>
      <c r="K328" s="12">
        <f>IF(Combinadas!$C328="electricity", Combinadas!$J328/6.6667,
IF(Combinadas!$C328="water", Combinadas!$J328/3.333,
IF(Combinadas!$C328="heat", Combinadas!$J328/0.8333, IF(Combinadas!$C328="waste",Combinadas!$J328/25,
"NA"))))</f>
        <v>1013.0987931083451</v>
      </c>
      <c r="L328" s="12">
        <f>Combinadas!$J328</f>
        <v>844.21522429718402</v>
      </c>
      <c r="M328" s="12">
        <f>IF(Table4[[#This Row],[Type]]="waste", Table4[[#This Row],[Q_Tonnes]]/25, Table4[[#This Row],[CO2_Noduplicates]])</f>
        <v>1013.0987931083451</v>
      </c>
    </row>
    <row r="329" spans="1:13" x14ac:dyDescent="0.25">
      <c r="A329" s="16" t="s">
        <v>17</v>
      </c>
      <c r="B329" s="16" t="s">
        <v>17</v>
      </c>
      <c r="C329" s="16" t="s">
        <v>130</v>
      </c>
      <c r="D329" s="17">
        <v>44562</v>
      </c>
      <c r="E329" s="17">
        <v>44926</v>
      </c>
      <c r="F329" s="18">
        <v>586</v>
      </c>
      <c r="G329" s="19" t="s">
        <v>133</v>
      </c>
      <c r="H329" s="18">
        <v>175.81758175817581</v>
      </c>
      <c r="I329" s="12" t="str">
        <f t="shared" si="19"/>
        <v>Dcycle LtdDcycle Ltdwater4456244926</v>
      </c>
      <c r="J329" s="12">
        <f t="shared" si="18"/>
        <v>586</v>
      </c>
      <c r="K329" s="12">
        <f>IF(Combinadas!$C329="electricity", Combinadas!$J329/6.6667,
IF(Combinadas!$C329="water", Combinadas!$J329/3.333,
IF(Combinadas!$C329="heat", Combinadas!$J329/0.8333, IF(Combinadas!$C329="waste",Combinadas!$J329/25,
"NA"))))</f>
        <v>175.81758175817581</v>
      </c>
      <c r="L329" s="12">
        <f>Combinadas!$J329</f>
        <v>586</v>
      </c>
      <c r="M329" s="12">
        <f>IF(Table4[[#This Row],[Type]]="waste", Table4[[#This Row],[Q_Tonnes]]/25, Table4[[#This Row],[CO2_Noduplicates]])</f>
        <v>175.81758175817581</v>
      </c>
    </row>
    <row r="330" spans="1:13" x14ac:dyDescent="0.25">
      <c r="A330" s="12" t="s">
        <v>17</v>
      </c>
      <c r="B330" s="12" t="s">
        <v>17</v>
      </c>
      <c r="C330" s="12" t="s">
        <v>130</v>
      </c>
      <c r="D330" s="13">
        <v>44807</v>
      </c>
      <c r="E330" s="13">
        <v>44978</v>
      </c>
      <c r="F330" s="14">
        <v>319</v>
      </c>
      <c r="G330" s="15" t="s">
        <v>133</v>
      </c>
      <c r="H330" s="14">
        <v>95.709570957095707</v>
      </c>
      <c r="I330" s="12" t="str">
        <f t="shared" si="19"/>
        <v>Dcycle LtdDcycle Ltdwater4480744978</v>
      </c>
      <c r="J330" s="12">
        <f t="shared" si="18"/>
        <v>319</v>
      </c>
      <c r="K330" s="12">
        <f>IF(Combinadas!$C330="electricity", Combinadas!$J330/6.6667,
IF(Combinadas!$C330="water", Combinadas!$J330/3.333,
IF(Combinadas!$C330="heat", Combinadas!$J330/0.8333, IF(Combinadas!$C330="waste",Combinadas!$J330/25,
"NA"))))</f>
        <v>95.709570957095707</v>
      </c>
      <c r="L330" s="12">
        <f>Combinadas!$J330</f>
        <v>319</v>
      </c>
      <c r="M330" s="12">
        <f>IF(Table4[[#This Row],[Type]]="waste", Table4[[#This Row],[Q_Tonnes]]/25, Table4[[#This Row],[CO2_Noduplicates]])</f>
        <v>95.709570957095707</v>
      </c>
    </row>
    <row r="331" spans="1:13" x14ac:dyDescent="0.25">
      <c r="A331" s="16" t="s">
        <v>17</v>
      </c>
      <c r="B331" s="16" t="s">
        <v>17</v>
      </c>
      <c r="C331" s="16" t="s">
        <v>130</v>
      </c>
      <c r="D331" s="17">
        <v>44979</v>
      </c>
      <c r="E331" s="17">
        <v>45174</v>
      </c>
      <c r="F331" s="18">
        <v>326</v>
      </c>
      <c r="G331" s="19" t="s">
        <v>133</v>
      </c>
      <c r="H331" s="18">
        <v>97.809780978097805</v>
      </c>
      <c r="I331" s="12" t="str">
        <f t="shared" si="19"/>
        <v>Dcycle LtdDcycle Ltdwater4497945174</v>
      </c>
      <c r="J331" s="12">
        <f t="shared" si="18"/>
        <v>326</v>
      </c>
      <c r="K331" s="12">
        <f>IF(Combinadas!$C331="electricity", Combinadas!$J331/6.6667,
IF(Combinadas!$C331="water", Combinadas!$J331/3.333,
IF(Combinadas!$C331="heat", Combinadas!$J331/0.8333, IF(Combinadas!$C331="waste",Combinadas!$J331/25,
"NA"))))</f>
        <v>97.809780978097805</v>
      </c>
      <c r="L331" s="12">
        <f>Combinadas!$J331</f>
        <v>326</v>
      </c>
      <c r="M331" s="12">
        <f>IF(Table4[[#This Row],[Type]]="waste", Table4[[#This Row],[Q_Tonnes]]/25, Table4[[#This Row],[CO2_Noduplicates]])</f>
        <v>97.809780978097805</v>
      </c>
    </row>
    <row r="332" spans="1:13" x14ac:dyDescent="0.25">
      <c r="A332" s="12" t="s">
        <v>18</v>
      </c>
      <c r="B332" s="12" t="s">
        <v>214</v>
      </c>
      <c r="C332" s="12" t="s">
        <v>128</v>
      </c>
      <c r="D332" s="13">
        <v>44927</v>
      </c>
      <c r="E332" s="13">
        <v>44957</v>
      </c>
      <c r="F332" s="14">
        <v>335</v>
      </c>
      <c r="G332" s="15" t="s">
        <v>129</v>
      </c>
      <c r="H332" s="14">
        <v>50.249748751256249</v>
      </c>
      <c r="I332" s="12" t="str">
        <f t="shared" si="19"/>
        <v>Dcycle SpA ItalyCoges SpA (Modena)electricity4492744957</v>
      </c>
      <c r="J332" s="12">
        <f t="shared" si="18"/>
        <v>335</v>
      </c>
      <c r="K332" s="12">
        <f>IF(Combinadas!$C332="electricity", Combinadas!$J332/6.6667,
IF(Combinadas!$C332="water", Combinadas!$J332/3.333,
IF(Combinadas!$C332="heat", Combinadas!$J332/0.8333, IF(Combinadas!$C332="waste",Combinadas!$J332/25,
"NA"))))</f>
        <v>50.249748751256249</v>
      </c>
      <c r="L332" s="12">
        <f>Combinadas!$J332</f>
        <v>335</v>
      </c>
      <c r="M332" s="12">
        <f>IF(Table4[[#This Row],[Type]]="waste", Table4[[#This Row],[Q_Tonnes]]/25, Table4[[#This Row],[CO2_Noduplicates]])</f>
        <v>50.249748751256249</v>
      </c>
    </row>
    <row r="333" spans="1:13" x14ac:dyDescent="0.25">
      <c r="A333" s="16" t="s">
        <v>18</v>
      </c>
      <c r="B333" s="16" t="s">
        <v>214</v>
      </c>
      <c r="C333" s="16" t="s">
        <v>128</v>
      </c>
      <c r="D333" s="17">
        <v>44927</v>
      </c>
      <c r="E333" s="17">
        <v>45016</v>
      </c>
      <c r="F333" s="18">
        <v>726</v>
      </c>
      <c r="G333" s="19" t="s">
        <v>129</v>
      </c>
      <c r="H333" s="18">
        <v>108.89945550272249</v>
      </c>
      <c r="I333" s="12" t="str">
        <f t="shared" si="19"/>
        <v>Dcycle SpA ItalyCoges SpA (Modena)electricity4492745016</v>
      </c>
      <c r="J333" s="12">
        <f t="shared" si="18"/>
        <v>726</v>
      </c>
      <c r="K333" s="12">
        <f>IF(Combinadas!$C333="electricity", Combinadas!$J333/6.6667,
IF(Combinadas!$C333="water", Combinadas!$J333/3.333,
IF(Combinadas!$C333="heat", Combinadas!$J333/0.8333, IF(Combinadas!$C333="waste",Combinadas!$J333/25,
"NA"))))</f>
        <v>108.89945550272249</v>
      </c>
      <c r="L333" s="12">
        <f>Combinadas!$J333</f>
        <v>726</v>
      </c>
      <c r="M333" s="12">
        <f>IF(Table4[[#This Row],[Type]]="waste", Table4[[#This Row],[Q_Tonnes]]/25, Table4[[#This Row],[CO2_Noduplicates]])</f>
        <v>108.89945550272249</v>
      </c>
    </row>
    <row r="334" spans="1:13" x14ac:dyDescent="0.25">
      <c r="A334" s="12" t="s">
        <v>18</v>
      </c>
      <c r="B334" s="12" t="s">
        <v>214</v>
      </c>
      <c r="C334" s="12" t="s">
        <v>128</v>
      </c>
      <c r="D334" s="13">
        <v>44958</v>
      </c>
      <c r="E334" s="13">
        <v>44985</v>
      </c>
      <c r="F334" s="14">
        <v>130</v>
      </c>
      <c r="G334" s="15" t="s">
        <v>129</v>
      </c>
      <c r="H334" s="14">
        <v>19.499902500487497</v>
      </c>
      <c r="I334" s="12" t="str">
        <f t="shared" si="19"/>
        <v>Dcycle SpA ItalyCoges SpA (Modena)electricity4495844985</v>
      </c>
      <c r="J334" s="12">
        <f t="shared" ref="J334:J365" si="20">IF(F334=_xlfn.MAXIFS(F:F, I:I, I334), F334, 0)</f>
        <v>130</v>
      </c>
      <c r="K334" s="12">
        <f>IF(Combinadas!$C334="electricity", Combinadas!$J334/6.6667,
IF(Combinadas!$C334="water", Combinadas!$J334/3.333,
IF(Combinadas!$C334="heat", Combinadas!$J334/0.8333, IF(Combinadas!$C334="waste",Combinadas!$J334/25,
"NA"))))</f>
        <v>19.499902500487497</v>
      </c>
      <c r="L334" s="12">
        <f>Combinadas!$J334</f>
        <v>130</v>
      </c>
      <c r="M334" s="12">
        <f>IF(Table4[[#This Row],[Type]]="waste", Table4[[#This Row],[Q_Tonnes]]/25, Table4[[#This Row],[CO2_Noduplicates]])</f>
        <v>19.499902500487497</v>
      </c>
    </row>
    <row r="335" spans="1:13" x14ac:dyDescent="0.25">
      <c r="A335" s="16" t="s">
        <v>18</v>
      </c>
      <c r="B335" s="16" t="s">
        <v>214</v>
      </c>
      <c r="C335" s="16" t="s">
        <v>128</v>
      </c>
      <c r="D335" s="17">
        <v>45017</v>
      </c>
      <c r="E335" s="17">
        <v>45046</v>
      </c>
      <c r="F335" s="18">
        <v>264</v>
      </c>
      <c r="G335" s="19" t="s">
        <v>129</v>
      </c>
      <c r="H335" s="18">
        <v>39.599802000989996</v>
      </c>
      <c r="I335" s="12" t="str">
        <f t="shared" si="19"/>
        <v>Dcycle SpA ItalyCoges SpA (Modena)electricity4501745046</v>
      </c>
      <c r="J335" s="12">
        <f t="shared" si="20"/>
        <v>264</v>
      </c>
      <c r="K335" s="12">
        <f>IF(Combinadas!$C335="electricity", Combinadas!$J335/6.6667,
IF(Combinadas!$C335="water", Combinadas!$J335/3.333,
IF(Combinadas!$C335="heat", Combinadas!$J335/0.8333, IF(Combinadas!$C335="waste",Combinadas!$J335/25,
"NA"))))</f>
        <v>39.599802000989996</v>
      </c>
      <c r="L335" s="12">
        <f>Combinadas!$J335</f>
        <v>264</v>
      </c>
      <c r="M335" s="12">
        <f>IF(Table4[[#This Row],[Type]]="waste", Table4[[#This Row],[Q_Tonnes]]/25, Table4[[#This Row],[CO2_Noduplicates]])</f>
        <v>39.599802000989996</v>
      </c>
    </row>
    <row r="336" spans="1:13" x14ac:dyDescent="0.25">
      <c r="A336" s="12" t="s">
        <v>18</v>
      </c>
      <c r="B336" s="12" t="s">
        <v>214</v>
      </c>
      <c r="C336" s="12" t="s">
        <v>128</v>
      </c>
      <c r="D336" s="13">
        <v>45047</v>
      </c>
      <c r="E336" s="13">
        <v>45077</v>
      </c>
      <c r="F336" s="14">
        <v>211</v>
      </c>
      <c r="G336" s="15" t="s">
        <v>129</v>
      </c>
      <c r="H336" s="14">
        <v>31.649841750791246</v>
      </c>
      <c r="I336" s="12" t="str">
        <f t="shared" si="19"/>
        <v>Dcycle SpA ItalyCoges SpA (Modena)electricity4504745077</v>
      </c>
      <c r="J336" s="12">
        <f t="shared" si="20"/>
        <v>211</v>
      </c>
      <c r="K336" s="12">
        <f>IF(Combinadas!$C336="electricity", Combinadas!$J336/6.6667,
IF(Combinadas!$C336="water", Combinadas!$J336/3.333,
IF(Combinadas!$C336="heat", Combinadas!$J336/0.8333, IF(Combinadas!$C336="waste",Combinadas!$J336/25,
"NA"))))</f>
        <v>31.649841750791246</v>
      </c>
      <c r="L336" s="12">
        <f>Combinadas!$J336</f>
        <v>211</v>
      </c>
      <c r="M336" s="12">
        <f>IF(Table4[[#This Row],[Type]]="waste", Table4[[#This Row],[Q_Tonnes]]/25, Table4[[#This Row],[CO2_Noduplicates]])</f>
        <v>31.649841750791246</v>
      </c>
    </row>
    <row r="337" spans="1:13" x14ac:dyDescent="0.25">
      <c r="A337" s="16" t="s">
        <v>18</v>
      </c>
      <c r="B337" s="16" t="s">
        <v>214</v>
      </c>
      <c r="C337" s="16" t="s">
        <v>128</v>
      </c>
      <c r="D337" s="17">
        <v>45078</v>
      </c>
      <c r="E337" s="17">
        <v>45107</v>
      </c>
      <c r="F337" s="18">
        <v>345</v>
      </c>
      <c r="G337" s="19" t="s">
        <v>129</v>
      </c>
      <c r="H337" s="18">
        <v>51.749741251293749</v>
      </c>
      <c r="I337" s="12" t="str">
        <f t="shared" si="19"/>
        <v>Dcycle SpA ItalyCoges SpA (Modena)electricity4507845107</v>
      </c>
      <c r="J337" s="12">
        <f t="shared" si="20"/>
        <v>345</v>
      </c>
      <c r="K337" s="12">
        <f>IF(Combinadas!$C337="electricity", Combinadas!$J337/6.6667,
IF(Combinadas!$C337="water", Combinadas!$J337/3.333,
IF(Combinadas!$C337="heat", Combinadas!$J337/0.8333, IF(Combinadas!$C337="waste",Combinadas!$J337/25,
"NA"))))</f>
        <v>51.749741251293749</v>
      </c>
      <c r="L337" s="12">
        <f>Combinadas!$J337</f>
        <v>345</v>
      </c>
      <c r="M337" s="12">
        <f>IF(Table4[[#This Row],[Type]]="waste", Table4[[#This Row],[Q_Tonnes]]/25, Table4[[#This Row],[CO2_Noduplicates]])</f>
        <v>51.749741251293749</v>
      </c>
    </row>
    <row r="338" spans="1:13" x14ac:dyDescent="0.25">
      <c r="A338" s="12" t="s">
        <v>18</v>
      </c>
      <c r="B338" s="12" t="s">
        <v>214</v>
      </c>
      <c r="C338" s="12" t="s">
        <v>128</v>
      </c>
      <c r="D338" s="13">
        <v>45108</v>
      </c>
      <c r="E338" s="13">
        <v>45138</v>
      </c>
      <c r="F338" s="14">
        <v>535</v>
      </c>
      <c r="G338" s="15" t="s">
        <v>129</v>
      </c>
      <c r="H338" s="14">
        <v>80.24959875200625</v>
      </c>
      <c r="I338" s="12" t="str">
        <f t="shared" si="19"/>
        <v>Dcycle SpA ItalyCoges SpA (Modena)electricity4510845138</v>
      </c>
      <c r="J338" s="12">
        <f t="shared" si="20"/>
        <v>535</v>
      </c>
      <c r="K338" s="12">
        <f>IF(Combinadas!$C338="electricity", Combinadas!$J338/6.6667,
IF(Combinadas!$C338="water", Combinadas!$J338/3.333,
IF(Combinadas!$C338="heat", Combinadas!$J338/0.8333, IF(Combinadas!$C338="waste",Combinadas!$J338/25,
"NA"))))</f>
        <v>80.24959875200625</v>
      </c>
      <c r="L338" s="12">
        <f>Combinadas!$J338</f>
        <v>535</v>
      </c>
      <c r="M338" s="12">
        <f>IF(Table4[[#This Row],[Type]]="waste", Table4[[#This Row],[Q_Tonnes]]/25, Table4[[#This Row],[CO2_Noduplicates]])</f>
        <v>80.24959875200625</v>
      </c>
    </row>
    <row r="339" spans="1:13" x14ac:dyDescent="0.25">
      <c r="A339" s="16" t="s">
        <v>18</v>
      </c>
      <c r="B339" s="16" t="s">
        <v>214</v>
      </c>
      <c r="C339" s="16" t="s">
        <v>128</v>
      </c>
      <c r="D339" s="17">
        <v>45139</v>
      </c>
      <c r="E339" s="17">
        <v>45169</v>
      </c>
      <c r="F339" s="18">
        <v>335</v>
      </c>
      <c r="G339" s="19" t="s">
        <v>129</v>
      </c>
      <c r="H339" s="18">
        <v>50.249748751256249</v>
      </c>
      <c r="I339" s="12" t="str">
        <f t="shared" si="19"/>
        <v>Dcycle SpA ItalyCoges SpA (Modena)electricity4513945169</v>
      </c>
      <c r="J339" s="12">
        <f t="shared" si="20"/>
        <v>335</v>
      </c>
      <c r="K339" s="12">
        <f>IF(Combinadas!$C339="electricity", Combinadas!$J339/6.6667,
IF(Combinadas!$C339="water", Combinadas!$J339/3.333,
IF(Combinadas!$C339="heat", Combinadas!$J339/0.8333, IF(Combinadas!$C339="waste",Combinadas!$J339/25,
"NA"))))</f>
        <v>50.249748751256249</v>
      </c>
      <c r="L339" s="12">
        <f>Combinadas!$J339</f>
        <v>335</v>
      </c>
      <c r="M339" s="12">
        <f>IF(Table4[[#This Row],[Type]]="waste", Table4[[#This Row],[Q_Tonnes]]/25, Table4[[#This Row],[CO2_Noduplicates]])</f>
        <v>50.249748751256249</v>
      </c>
    </row>
    <row r="340" spans="1:13" x14ac:dyDescent="0.25">
      <c r="A340" s="12" t="s">
        <v>18</v>
      </c>
      <c r="B340" s="12" t="s">
        <v>214</v>
      </c>
      <c r="C340" s="12" t="s">
        <v>128</v>
      </c>
      <c r="D340" s="13">
        <v>45170</v>
      </c>
      <c r="E340" s="13">
        <v>45199</v>
      </c>
      <c r="F340" s="14">
        <v>295</v>
      </c>
      <c r="G340" s="15" t="s">
        <v>129</v>
      </c>
      <c r="H340" s="14">
        <v>44.249778751106248</v>
      </c>
      <c r="I340" s="12" t="str">
        <f t="shared" si="19"/>
        <v>Dcycle SpA ItalyCoges SpA (Modena)electricity4517045199</v>
      </c>
      <c r="J340" s="12">
        <f t="shared" si="20"/>
        <v>295</v>
      </c>
      <c r="K340" s="12">
        <f>IF(Combinadas!$C340="electricity", Combinadas!$J340/6.6667,
IF(Combinadas!$C340="water", Combinadas!$J340/3.333,
IF(Combinadas!$C340="heat", Combinadas!$J340/0.8333, IF(Combinadas!$C340="waste",Combinadas!$J340/25,
"NA"))))</f>
        <v>44.249778751106248</v>
      </c>
      <c r="L340" s="12">
        <f>Combinadas!$J340</f>
        <v>295</v>
      </c>
      <c r="M340" s="12">
        <f>IF(Table4[[#This Row],[Type]]="waste", Table4[[#This Row],[Q_Tonnes]]/25, Table4[[#This Row],[CO2_Noduplicates]])</f>
        <v>44.249778751106248</v>
      </c>
    </row>
    <row r="341" spans="1:13" x14ac:dyDescent="0.25">
      <c r="A341" s="16" t="s">
        <v>18</v>
      </c>
      <c r="B341" s="16" t="s">
        <v>214</v>
      </c>
      <c r="C341" s="16" t="s">
        <v>128</v>
      </c>
      <c r="D341" s="17">
        <v>45200</v>
      </c>
      <c r="E341" s="17">
        <v>45230</v>
      </c>
      <c r="F341" s="18">
        <v>243</v>
      </c>
      <c r="G341" s="19" t="s">
        <v>129</v>
      </c>
      <c r="H341" s="18">
        <v>36.449817750911251</v>
      </c>
      <c r="I341" s="12" t="str">
        <f t="shared" si="19"/>
        <v>Dcycle SpA ItalyCoges SpA (Modena)electricity4520045230</v>
      </c>
      <c r="J341" s="12">
        <f t="shared" si="20"/>
        <v>243</v>
      </c>
      <c r="K341" s="12">
        <f>IF(Combinadas!$C341="electricity", Combinadas!$J341/6.6667,
IF(Combinadas!$C341="water", Combinadas!$J341/3.333,
IF(Combinadas!$C341="heat", Combinadas!$J341/0.8333, IF(Combinadas!$C341="waste",Combinadas!$J341/25,
"NA"))))</f>
        <v>36.449817750911251</v>
      </c>
      <c r="L341" s="12">
        <f>Combinadas!$J341</f>
        <v>243</v>
      </c>
      <c r="M341" s="12">
        <f>IF(Table4[[#This Row],[Type]]="waste", Table4[[#This Row],[Q_Tonnes]]/25, Table4[[#This Row],[CO2_Noduplicates]])</f>
        <v>36.449817750911251</v>
      </c>
    </row>
    <row r="342" spans="1:13" x14ac:dyDescent="0.25">
      <c r="A342" s="12" t="s">
        <v>18</v>
      </c>
      <c r="B342" s="12" t="s">
        <v>214</v>
      </c>
      <c r="C342" s="12" t="s">
        <v>128</v>
      </c>
      <c r="D342" s="13">
        <v>45231</v>
      </c>
      <c r="E342" s="13">
        <v>45260</v>
      </c>
      <c r="F342" s="14">
        <v>259</v>
      </c>
      <c r="G342" s="15" t="s">
        <v>129</v>
      </c>
      <c r="H342" s="14">
        <v>38.84980575097125</v>
      </c>
      <c r="I342" s="12" t="str">
        <f t="shared" si="19"/>
        <v>Dcycle SpA ItalyCoges SpA (Modena)electricity4523145260</v>
      </c>
      <c r="J342" s="12">
        <f t="shared" si="20"/>
        <v>259</v>
      </c>
      <c r="K342" s="12">
        <f>IF(Combinadas!$C342="electricity", Combinadas!$J342/6.6667,
IF(Combinadas!$C342="water", Combinadas!$J342/3.333,
IF(Combinadas!$C342="heat", Combinadas!$J342/0.8333, IF(Combinadas!$C342="waste",Combinadas!$J342/25,
"NA"))))</f>
        <v>38.84980575097125</v>
      </c>
      <c r="L342" s="12">
        <f>Combinadas!$J342</f>
        <v>259</v>
      </c>
      <c r="M342" s="12">
        <f>IF(Table4[[#This Row],[Type]]="waste", Table4[[#This Row],[Q_Tonnes]]/25, Table4[[#This Row],[CO2_Noduplicates]])</f>
        <v>38.84980575097125</v>
      </c>
    </row>
    <row r="343" spans="1:13" x14ac:dyDescent="0.25">
      <c r="A343" s="16" t="s">
        <v>18</v>
      </c>
      <c r="B343" s="16" t="s">
        <v>214</v>
      </c>
      <c r="C343" s="16" t="s">
        <v>130</v>
      </c>
      <c r="D343" s="17">
        <v>44897</v>
      </c>
      <c r="E343" s="17">
        <v>44973</v>
      </c>
      <c r="F343" s="18">
        <v>316.89999999999998</v>
      </c>
      <c r="G343" s="19" t="s">
        <v>133</v>
      </c>
      <c r="H343" s="18">
        <v>95.079507950795062</v>
      </c>
      <c r="I343" s="12" t="str">
        <f t="shared" si="19"/>
        <v>Dcycle SpA ItalyCoges SpA (Modena)water4489744973</v>
      </c>
      <c r="J343" s="12">
        <f t="shared" si="20"/>
        <v>316.89999999999998</v>
      </c>
      <c r="K343" s="12">
        <f>IF(Combinadas!$C343="electricity", Combinadas!$J343/6.6667,
IF(Combinadas!$C343="water", Combinadas!$J343/3.333,
IF(Combinadas!$C343="heat", Combinadas!$J343/0.8333, IF(Combinadas!$C343="waste",Combinadas!$J343/25,
"NA"))))</f>
        <v>95.079507950795062</v>
      </c>
      <c r="L343" s="12">
        <f>Combinadas!$J343</f>
        <v>316.89999999999998</v>
      </c>
      <c r="M343" s="12">
        <f>IF(Table4[[#This Row],[Type]]="waste", Table4[[#This Row],[Q_Tonnes]]/25, Table4[[#This Row],[CO2_Noduplicates]])</f>
        <v>95.079507950795062</v>
      </c>
    </row>
    <row r="344" spans="1:13" x14ac:dyDescent="0.25">
      <c r="A344" s="12" t="s">
        <v>18</v>
      </c>
      <c r="B344" s="12" t="s">
        <v>214</v>
      </c>
      <c r="C344" s="12" t="s">
        <v>130</v>
      </c>
      <c r="D344" s="13">
        <v>44958</v>
      </c>
      <c r="E344" s="13">
        <v>45035</v>
      </c>
      <c r="F344" s="14">
        <v>147.28</v>
      </c>
      <c r="G344" s="15" t="s">
        <v>133</v>
      </c>
      <c r="H344" s="14">
        <v>44.188418841884186</v>
      </c>
      <c r="I344" s="12" t="str">
        <f t="shared" si="19"/>
        <v>Dcycle SpA ItalyCoges SpA (Modena)water4495845035</v>
      </c>
      <c r="J344" s="12">
        <f t="shared" si="20"/>
        <v>147.28</v>
      </c>
      <c r="K344" s="12">
        <f>IF(Combinadas!$C344="electricity", Combinadas!$J344/6.6667,
IF(Combinadas!$C344="water", Combinadas!$J344/3.333,
IF(Combinadas!$C344="heat", Combinadas!$J344/0.8333, IF(Combinadas!$C344="waste",Combinadas!$J344/25,
"NA"))))</f>
        <v>44.188418841884186</v>
      </c>
      <c r="L344" s="12">
        <f>Combinadas!$J344</f>
        <v>147.28</v>
      </c>
      <c r="M344" s="12">
        <f>IF(Table4[[#This Row],[Type]]="waste", Table4[[#This Row],[Q_Tonnes]]/25, Table4[[#This Row],[CO2_Noduplicates]])</f>
        <v>44.188418841884186</v>
      </c>
    </row>
    <row r="345" spans="1:13" x14ac:dyDescent="0.25">
      <c r="A345" s="16" t="s">
        <v>18</v>
      </c>
      <c r="B345" s="16" t="s">
        <v>214</v>
      </c>
      <c r="C345" s="16" t="s">
        <v>130</v>
      </c>
      <c r="D345" s="17">
        <v>45017</v>
      </c>
      <c r="E345" s="17">
        <v>45096</v>
      </c>
      <c r="F345" s="18">
        <v>33.520000000000003</v>
      </c>
      <c r="G345" s="19" t="s">
        <v>133</v>
      </c>
      <c r="H345" s="18">
        <v>10.057005700570057</v>
      </c>
      <c r="I345" s="12" t="str">
        <f t="shared" si="19"/>
        <v>Dcycle SpA ItalyCoges SpA (Modena)water4501745096</v>
      </c>
      <c r="J345" s="12">
        <f t="shared" si="20"/>
        <v>33.520000000000003</v>
      </c>
      <c r="K345" s="12">
        <f>IF(Combinadas!$C345="electricity", Combinadas!$J345/6.6667,
IF(Combinadas!$C345="water", Combinadas!$J345/3.333,
IF(Combinadas!$C345="heat", Combinadas!$J345/0.8333, IF(Combinadas!$C345="waste",Combinadas!$J345/25,
"NA"))))</f>
        <v>10.057005700570057</v>
      </c>
      <c r="L345" s="12">
        <f>Combinadas!$J345</f>
        <v>33.520000000000003</v>
      </c>
      <c r="M345" s="12">
        <f>IF(Table4[[#This Row],[Type]]="waste", Table4[[#This Row],[Q_Tonnes]]/25, Table4[[#This Row],[CO2_Noduplicates]])</f>
        <v>10.057005700570057</v>
      </c>
    </row>
    <row r="346" spans="1:13" x14ac:dyDescent="0.25">
      <c r="A346" s="12" t="s">
        <v>18</v>
      </c>
      <c r="B346" s="12" t="s">
        <v>214</v>
      </c>
      <c r="C346" s="12" t="s">
        <v>130</v>
      </c>
      <c r="D346" s="13">
        <v>45139</v>
      </c>
      <c r="E346" s="13">
        <v>45216</v>
      </c>
      <c r="F346" s="14">
        <v>14.22</v>
      </c>
      <c r="G346" s="15" t="s">
        <v>133</v>
      </c>
      <c r="H346" s="14">
        <v>4.2664266426642667</v>
      </c>
      <c r="I346" s="12" t="str">
        <f t="shared" si="19"/>
        <v>Dcycle SpA ItalyCoges SpA (Modena)water4513945216</v>
      </c>
      <c r="J346" s="12">
        <f t="shared" si="20"/>
        <v>14.22</v>
      </c>
      <c r="K346" s="12">
        <f>IF(Combinadas!$C346="electricity", Combinadas!$J346/6.6667,
IF(Combinadas!$C346="water", Combinadas!$J346/3.333,
IF(Combinadas!$C346="heat", Combinadas!$J346/0.8333, IF(Combinadas!$C346="waste",Combinadas!$J346/25,
"NA"))))</f>
        <v>4.2664266426642667</v>
      </c>
      <c r="L346" s="12">
        <f>Combinadas!$J346</f>
        <v>14.22</v>
      </c>
      <c r="M346" s="12">
        <f>IF(Table4[[#This Row],[Type]]="waste", Table4[[#This Row],[Q_Tonnes]]/25, Table4[[#This Row],[CO2_Noduplicates]])</f>
        <v>4.2664266426642667</v>
      </c>
    </row>
    <row r="347" spans="1:13" x14ac:dyDescent="0.25">
      <c r="A347" s="16" t="s">
        <v>18</v>
      </c>
      <c r="B347" s="16" t="s">
        <v>214</v>
      </c>
      <c r="C347" s="16" t="s">
        <v>130</v>
      </c>
      <c r="D347" s="17">
        <v>45200</v>
      </c>
      <c r="E347" s="17">
        <v>45279</v>
      </c>
      <c r="F347" s="18">
        <v>168.61</v>
      </c>
      <c r="G347" s="19" t="s">
        <v>133</v>
      </c>
      <c r="H347" s="18">
        <v>50.588058805880593</v>
      </c>
      <c r="I347" s="12" t="str">
        <f t="shared" si="19"/>
        <v>Dcycle SpA ItalyCoges SpA (Modena)water4520045279</v>
      </c>
      <c r="J347" s="12">
        <f t="shared" si="20"/>
        <v>168.61</v>
      </c>
      <c r="K347" s="12">
        <f>IF(Combinadas!$C347="electricity", Combinadas!$J347/6.6667,
IF(Combinadas!$C347="water", Combinadas!$J347/3.333,
IF(Combinadas!$C347="heat", Combinadas!$J347/0.8333, IF(Combinadas!$C347="waste",Combinadas!$J347/25,
"NA"))))</f>
        <v>50.588058805880593</v>
      </c>
      <c r="L347" s="12">
        <f>Combinadas!$J347</f>
        <v>168.61</v>
      </c>
      <c r="M347" s="12">
        <f>IF(Table4[[#This Row],[Type]]="waste", Table4[[#This Row],[Q_Tonnes]]/25, Table4[[#This Row],[CO2_Noduplicates]])</f>
        <v>50.588058805880593</v>
      </c>
    </row>
    <row r="348" spans="1:13" x14ac:dyDescent="0.25">
      <c r="A348" s="12" t="s">
        <v>18</v>
      </c>
      <c r="B348" s="12" t="s">
        <v>214</v>
      </c>
      <c r="C348" s="12" t="s">
        <v>130</v>
      </c>
      <c r="D348" s="13">
        <v>44819</v>
      </c>
      <c r="E348" s="13">
        <v>44973</v>
      </c>
      <c r="F348" s="14">
        <v>4</v>
      </c>
      <c r="G348" s="15" t="s">
        <v>133</v>
      </c>
      <c r="H348" s="14">
        <v>1.2001200120012001</v>
      </c>
      <c r="I348" s="12" t="str">
        <f t="shared" si="19"/>
        <v>Dcycle SpA ItalyCoges SpA (Modena)water4481944973</v>
      </c>
      <c r="J348" s="12">
        <f t="shared" si="20"/>
        <v>4</v>
      </c>
      <c r="K348" s="12">
        <f>IF(Combinadas!$C348="electricity", Combinadas!$J348/6.6667,
IF(Combinadas!$C348="water", Combinadas!$J348/3.333,
IF(Combinadas!$C348="heat", Combinadas!$J348/0.8333, IF(Combinadas!$C348="waste",Combinadas!$J348/25,
"NA"))))</f>
        <v>1.2001200120012001</v>
      </c>
      <c r="L348" s="12">
        <f>Combinadas!$J348</f>
        <v>4</v>
      </c>
      <c r="M348" s="12">
        <f>IF(Table4[[#This Row],[Type]]="waste", Table4[[#This Row],[Q_Tonnes]]/25, Table4[[#This Row],[CO2_Noduplicates]])</f>
        <v>1.2001200120012001</v>
      </c>
    </row>
    <row r="349" spans="1:13" x14ac:dyDescent="0.25">
      <c r="A349" s="16" t="s">
        <v>18</v>
      </c>
      <c r="B349" s="16" t="s">
        <v>214</v>
      </c>
      <c r="C349" s="16" t="s">
        <v>130</v>
      </c>
      <c r="D349" s="17">
        <v>44960</v>
      </c>
      <c r="E349" s="17">
        <v>45216</v>
      </c>
      <c r="F349" s="18">
        <v>7</v>
      </c>
      <c r="G349" s="19" t="s">
        <v>133</v>
      </c>
      <c r="H349" s="18">
        <v>2.1002100210021002</v>
      </c>
      <c r="I349" s="12" t="str">
        <f t="shared" si="19"/>
        <v>Dcycle SpA ItalyCoges SpA (Modena)water4496045216</v>
      </c>
      <c r="J349" s="12">
        <f t="shared" si="20"/>
        <v>7</v>
      </c>
      <c r="K349" s="12">
        <f>IF(Combinadas!$C349="electricity", Combinadas!$J349/6.6667,
IF(Combinadas!$C349="water", Combinadas!$J349/3.333,
IF(Combinadas!$C349="heat", Combinadas!$J349/0.8333, IF(Combinadas!$C349="waste",Combinadas!$J349/25,
"NA"))))</f>
        <v>2.1002100210021002</v>
      </c>
      <c r="L349" s="12">
        <f>Combinadas!$J349</f>
        <v>7</v>
      </c>
      <c r="M349" s="12">
        <f>IF(Table4[[#This Row],[Type]]="waste", Table4[[#This Row],[Q_Tonnes]]/25, Table4[[#This Row],[CO2_Noduplicates]])</f>
        <v>2.1002100210021002</v>
      </c>
    </row>
    <row r="350" spans="1:13" x14ac:dyDescent="0.25">
      <c r="A350" s="12" t="s">
        <v>18</v>
      </c>
      <c r="B350" s="12" t="s">
        <v>214</v>
      </c>
      <c r="C350" s="12" t="s">
        <v>130</v>
      </c>
      <c r="D350" s="13">
        <v>44974</v>
      </c>
      <c r="E350" s="13">
        <v>45035</v>
      </c>
      <c r="F350" s="14">
        <v>5</v>
      </c>
      <c r="G350" s="15" t="s">
        <v>133</v>
      </c>
      <c r="H350" s="14">
        <v>1.5001500150015001</v>
      </c>
      <c r="I350" s="12" t="str">
        <f t="shared" si="19"/>
        <v>Dcycle SpA ItalyCoges SpA (Modena)water4497445035</v>
      </c>
      <c r="J350" s="12">
        <f t="shared" si="20"/>
        <v>5</v>
      </c>
      <c r="K350" s="12">
        <f>IF(Combinadas!$C350="electricity", Combinadas!$J350/6.6667,
IF(Combinadas!$C350="water", Combinadas!$J350/3.333,
IF(Combinadas!$C350="heat", Combinadas!$J350/0.8333, IF(Combinadas!$C350="waste",Combinadas!$J350/25,
"NA"))))</f>
        <v>1.5001500150015001</v>
      </c>
      <c r="L350" s="12">
        <f>Combinadas!$J350</f>
        <v>5</v>
      </c>
      <c r="M350" s="12">
        <f>IF(Table4[[#This Row],[Type]]="waste", Table4[[#This Row],[Q_Tonnes]]/25, Table4[[#This Row],[CO2_Noduplicates]])</f>
        <v>1.5001500150015001</v>
      </c>
    </row>
    <row r="351" spans="1:13" x14ac:dyDescent="0.25">
      <c r="A351" s="16" t="s">
        <v>18</v>
      </c>
      <c r="B351" s="16" t="s">
        <v>214</v>
      </c>
      <c r="C351" s="16" t="s">
        <v>130</v>
      </c>
      <c r="D351" s="17">
        <v>45036</v>
      </c>
      <c r="E351" s="17">
        <v>45096</v>
      </c>
      <c r="F351" s="18">
        <v>5</v>
      </c>
      <c r="G351" s="19" t="s">
        <v>133</v>
      </c>
      <c r="H351" s="18">
        <v>1.5001500150015001</v>
      </c>
      <c r="I351" s="12" t="str">
        <f t="shared" si="19"/>
        <v>Dcycle SpA ItalyCoges SpA (Modena)water4503645096</v>
      </c>
      <c r="J351" s="12">
        <f t="shared" si="20"/>
        <v>5</v>
      </c>
      <c r="K351" s="12">
        <f>IF(Combinadas!$C351="electricity", Combinadas!$J351/6.6667,
IF(Combinadas!$C351="water", Combinadas!$J351/3.333,
IF(Combinadas!$C351="heat", Combinadas!$J351/0.8333, IF(Combinadas!$C351="waste",Combinadas!$J351/25,
"NA"))))</f>
        <v>1.5001500150015001</v>
      </c>
      <c r="L351" s="12">
        <f>Combinadas!$J351</f>
        <v>5</v>
      </c>
      <c r="M351" s="12">
        <f>IF(Table4[[#This Row],[Type]]="waste", Table4[[#This Row],[Q_Tonnes]]/25, Table4[[#This Row],[CO2_Noduplicates]])</f>
        <v>1.5001500150015001</v>
      </c>
    </row>
    <row r="352" spans="1:13" x14ac:dyDescent="0.25">
      <c r="A352" s="12" t="s">
        <v>18</v>
      </c>
      <c r="B352" s="12" t="s">
        <v>214</v>
      </c>
      <c r="C352" s="12" t="s">
        <v>130</v>
      </c>
      <c r="D352" s="13">
        <v>45217</v>
      </c>
      <c r="E352" s="13">
        <v>45279</v>
      </c>
      <c r="F352" s="14">
        <v>5</v>
      </c>
      <c r="G352" s="15" t="s">
        <v>133</v>
      </c>
      <c r="H352" s="14">
        <v>1.5001500150015001</v>
      </c>
      <c r="I352" s="12" t="str">
        <f t="shared" si="19"/>
        <v>Dcycle SpA ItalyCoges SpA (Modena)water4521745279</v>
      </c>
      <c r="J352" s="12">
        <f t="shared" si="20"/>
        <v>5</v>
      </c>
      <c r="K352" s="12">
        <f>IF(Combinadas!$C352="electricity", Combinadas!$J352/6.6667,
IF(Combinadas!$C352="water", Combinadas!$J352/3.333,
IF(Combinadas!$C352="heat", Combinadas!$J352/0.8333, IF(Combinadas!$C352="waste",Combinadas!$J352/25,
"NA"))))</f>
        <v>1.5001500150015001</v>
      </c>
      <c r="L352" s="12">
        <f>Combinadas!$J352</f>
        <v>5</v>
      </c>
      <c r="M352" s="12">
        <f>IF(Table4[[#This Row],[Type]]="waste", Table4[[#This Row],[Q_Tonnes]]/25, Table4[[#This Row],[CO2_Noduplicates]])</f>
        <v>1.5001500150015001</v>
      </c>
    </row>
    <row r="353" spans="1:13" x14ac:dyDescent="0.25">
      <c r="A353" s="16" t="s">
        <v>18</v>
      </c>
      <c r="B353" s="16" t="s">
        <v>18</v>
      </c>
      <c r="C353" s="16" t="s">
        <v>128</v>
      </c>
      <c r="D353" s="17">
        <v>44896</v>
      </c>
      <c r="E353" s="17">
        <v>44926</v>
      </c>
      <c r="F353" s="18">
        <v>25252.47</v>
      </c>
      <c r="G353" s="21" t="s">
        <v>129</v>
      </c>
      <c r="H353" s="18">
        <v>3787.8515607421969</v>
      </c>
      <c r="I353" s="12" t="str">
        <f t="shared" si="19"/>
        <v>Dcycle SpA ItalyDcycle SpA Italyelectricity4489644926</v>
      </c>
      <c r="J353" s="12">
        <f t="shared" si="20"/>
        <v>25252.47</v>
      </c>
      <c r="K353" s="12">
        <f>IF(Combinadas!$C353="electricity", Combinadas!$J353/6.6667,
IF(Combinadas!$C353="water", Combinadas!$J353/3.333,
IF(Combinadas!$C353="heat", Combinadas!$J353/0.8333, IF(Combinadas!$C353="waste",Combinadas!$J353/25,
"NA"))))</f>
        <v>3787.8515607421969</v>
      </c>
      <c r="L353" s="12">
        <f>Combinadas!$J353</f>
        <v>25252.47</v>
      </c>
      <c r="M353" s="12">
        <f>IF(Table4[[#This Row],[Type]]="waste", Table4[[#This Row],[Q_Tonnes]]/25, Table4[[#This Row],[CO2_Noduplicates]])</f>
        <v>3787.8515607421969</v>
      </c>
    </row>
    <row r="354" spans="1:13" x14ac:dyDescent="0.25">
      <c r="A354" s="12" t="s">
        <v>18</v>
      </c>
      <c r="B354" s="12" t="s">
        <v>18</v>
      </c>
      <c r="C354" s="12" t="s">
        <v>128</v>
      </c>
      <c r="D354" s="13">
        <v>44927</v>
      </c>
      <c r="E354" s="13">
        <v>44957</v>
      </c>
      <c r="F354" s="14">
        <v>8975.5</v>
      </c>
      <c r="G354" s="20" t="s">
        <v>129</v>
      </c>
      <c r="H354" s="14">
        <v>1346.318268408658</v>
      </c>
      <c r="I354" s="12" t="str">
        <f t="shared" si="19"/>
        <v>Dcycle SpA ItalyDcycle SpA Italyelectricity4492744957</v>
      </c>
      <c r="J354" s="12">
        <f t="shared" si="20"/>
        <v>0</v>
      </c>
      <c r="K354" s="12">
        <f>IF(Combinadas!$C354="electricity", Combinadas!$J354/6.6667,
IF(Combinadas!$C354="water", Combinadas!$J354/3.333,
IF(Combinadas!$C354="heat", Combinadas!$J354/0.8333, IF(Combinadas!$C354="waste",Combinadas!$J354/25,
"NA"))))</f>
        <v>0</v>
      </c>
      <c r="L354" s="12">
        <f>Combinadas!$J354</f>
        <v>0</v>
      </c>
      <c r="M354" s="12">
        <f>IF(Table4[[#This Row],[Type]]="waste", Table4[[#This Row],[Q_Tonnes]]/25, Table4[[#This Row],[CO2_Noduplicates]])</f>
        <v>0</v>
      </c>
    </row>
    <row r="355" spans="1:13" x14ac:dyDescent="0.25">
      <c r="A355" s="16" t="s">
        <v>18</v>
      </c>
      <c r="B355" s="16" t="s">
        <v>18</v>
      </c>
      <c r="C355" s="16" t="s">
        <v>128</v>
      </c>
      <c r="D355" s="17">
        <v>44927</v>
      </c>
      <c r="E355" s="17">
        <v>44957</v>
      </c>
      <c r="F355" s="18">
        <v>26485.86</v>
      </c>
      <c r="G355" s="21" t="s">
        <v>129</v>
      </c>
      <c r="H355" s="18">
        <v>3972.8591357043219</v>
      </c>
      <c r="I355" s="12" t="str">
        <f t="shared" si="19"/>
        <v>Dcycle SpA ItalyDcycle SpA Italyelectricity4492744957</v>
      </c>
      <c r="J355" s="12">
        <f t="shared" si="20"/>
        <v>26485.86</v>
      </c>
      <c r="K355" s="12">
        <f>IF(Combinadas!$C355="electricity", Combinadas!$J355/6.6667,
IF(Combinadas!$C355="water", Combinadas!$J355/3.333,
IF(Combinadas!$C355="heat", Combinadas!$J355/0.8333, IF(Combinadas!$C355="waste",Combinadas!$J355/25,
"NA"))))</f>
        <v>3972.8591357043219</v>
      </c>
      <c r="L355" s="12">
        <f>Combinadas!$J355</f>
        <v>26485.86</v>
      </c>
      <c r="M355" s="12">
        <f>IF(Table4[[#This Row],[Type]]="waste", Table4[[#This Row],[Q_Tonnes]]/25, Table4[[#This Row],[CO2_Noduplicates]])</f>
        <v>3972.8591357043219</v>
      </c>
    </row>
    <row r="356" spans="1:13" x14ac:dyDescent="0.25">
      <c r="A356" s="12" t="s">
        <v>18</v>
      </c>
      <c r="B356" s="12" t="s">
        <v>18</v>
      </c>
      <c r="C356" s="12" t="s">
        <v>128</v>
      </c>
      <c r="D356" s="13">
        <v>44958</v>
      </c>
      <c r="E356" s="13">
        <v>44985</v>
      </c>
      <c r="F356" s="14">
        <v>3052.2</v>
      </c>
      <c r="G356" s="20" t="s">
        <v>129</v>
      </c>
      <c r="H356" s="14">
        <v>457.82771086144567</v>
      </c>
      <c r="I356" s="12" t="str">
        <f t="shared" si="19"/>
        <v>Dcycle SpA ItalyDcycle SpA Italyelectricity4495844985</v>
      </c>
      <c r="J356" s="12">
        <f t="shared" si="20"/>
        <v>0</v>
      </c>
      <c r="K356" s="12">
        <f>IF(Combinadas!$C356="electricity", Combinadas!$J356/6.6667,
IF(Combinadas!$C356="water", Combinadas!$J356/3.333,
IF(Combinadas!$C356="heat", Combinadas!$J356/0.8333, IF(Combinadas!$C356="waste",Combinadas!$J356/25,
"NA"))))</f>
        <v>0</v>
      </c>
      <c r="L356" s="12">
        <f>Combinadas!$J356</f>
        <v>0</v>
      </c>
      <c r="M356" s="12">
        <f>IF(Table4[[#This Row],[Type]]="waste", Table4[[#This Row],[Q_Tonnes]]/25, Table4[[#This Row],[CO2_Noduplicates]])</f>
        <v>0</v>
      </c>
    </row>
    <row r="357" spans="1:13" x14ac:dyDescent="0.25">
      <c r="A357" s="16" t="s">
        <v>18</v>
      </c>
      <c r="B357" s="16" t="s">
        <v>18</v>
      </c>
      <c r="C357" s="16" t="s">
        <v>128</v>
      </c>
      <c r="D357" s="17">
        <v>44958</v>
      </c>
      <c r="E357" s="17">
        <v>44985</v>
      </c>
      <c r="F357" s="18">
        <v>24856.19</v>
      </c>
      <c r="G357" s="21" t="s">
        <v>129</v>
      </c>
      <c r="H357" s="18">
        <v>3728.4098579507104</v>
      </c>
      <c r="I357" s="12" t="str">
        <f t="shared" si="19"/>
        <v>Dcycle SpA ItalyDcycle SpA Italyelectricity4495844985</v>
      </c>
      <c r="J357" s="12">
        <f t="shared" si="20"/>
        <v>24856.19</v>
      </c>
      <c r="K357" s="12">
        <f>IF(Combinadas!$C357="electricity", Combinadas!$J357/6.6667,
IF(Combinadas!$C357="water", Combinadas!$J357/3.333,
IF(Combinadas!$C357="heat", Combinadas!$J357/0.8333, IF(Combinadas!$C357="waste",Combinadas!$J357/25,
"NA"))))</f>
        <v>3728.4098579507104</v>
      </c>
      <c r="L357" s="12">
        <f>Combinadas!$J357</f>
        <v>24856.19</v>
      </c>
      <c r="M357" s="12">
        <f>IF(Table4[[#This Row],[Type]]="waste", Table4[[#This Row],[Q_Tonnes]]/25, Table4[[#This Row],[CO2_Noduplicates]])</f>
        <v>3728.4098579507104</v>
      </c>
    </row>
    <row r="358" spans="1:13" x14ac:dyDescent="0.25">
      <c r="A358" s="12" t="s">
        <v>18</v>
      </c>
      <c r="B358" s="12" t="s">
        <v>18</v>
      </c>
      <c r="C358" s="12" t="s">
        <v>128</v>
      </c>
      <c r="D358" s="13">
        <v>44986</v>
      </c>
      <c r="E358" s="13">
        <v>45016</v>
      </c>
      <c r="F358" s="14">
        <v>3875.3</v>
      </c>
      <c r="G358" s="20" t="s">
        <v>129</v>
      </c>
      <c r="H358" s="14">
        <v>581.2920935395324</v>
      </c>
      <c r="I358" s="12" t="str">
        <f t="shared" si="19"/>
        <v>Dcycle SpA ItalyDcycle SpA Italyelectricity4498645016</v>
      </c>
      <c r="J358" s="12">
        <f t="shared" si="20"/>
        <v>0</v>
      </c>
      <c r="K358" s="12">
        <f>IF(Combinadas!$C358="electricity", Combinadas!$J358/6.6667,
IF(Combinadas!$C358="water", Combinadas!$J358/3.333,
IF(Combinadas!$C358="heat", Combinadas!$J358/0.8333, IF(Combinadas!$C358="waste",Combinadas!$J358/25,
"NA"))))</f>
        <v>0</v>
      </c>
      <c r="L358" s="12">
        <f>Combinadas!$J358</f>
        <v>0</v>
      </c>
      <c r="M358" s="12">
        <f>IF(Table4[[#This Row],[Type]]="waste", Table4[[#This Row],[Q_Tonnes]]/25, Table4[[#This Row],[CO2_Noduplicates]])</f>
        <v>0</v>
      </c>
    </row>
    <row r="359" spans="1:13" x14ac:dyDescent="0.25">
      <c r="A359" s="16" t="s">
        <v>18</v>
      </c>
      <c r="B359" s="16" t="s">
        <v>18</v>
      </c>
      <c r="C359" s="16" t="s">
        <v>128</v>
      </c>
      <c r="D359" s="17">
        <v>44986</v>
      </c>
      <c r="E359" s="17">
        <v>45016</v>
      </c>
      <c r="F359" s="18">
        <v>21487.37</v>
      </c>
      <c r="G359" s="21" t="s">
        <v>129</v>
      </c>
      <c r="H359" s="18">
        <v>3223.0893845530773</v>
      </c>
      <c r="I359" s="12" t="str">
        <f t="shared" si="19"/>
        <v>Dcycle SpA ItalyDcycle SpA Italyelectricity4498645016</v>
      </c>
      <c r="J359" s="12">
        <f t="shared" si="20"/>
        <v>21487.37</v>
      </c>
      <c r="K359" s="12">
        <f>IF(Combinadas!$C359="electricity", Combinadas!$J359/6.6667,
IF(Combinadas!$C359="water", Combinadas!$J359/3.333,
IF(Combinadas!$C359="heat", Combinadas!$J359/0.8333, IF(Combinadas!$C359="waste",Combinadas!$J359/25,
"NA"))))</f>
        <v>3223.0893845530773</v>
      </c>
      <c r="L359" s="12">
        <f>Combinadas!$J359</f>
        <v>21487.37</v>
      </c>
      <c r="M359" s="12">
        <f>IF(Table4[[#This Row],[Type]]="waste", Table4[[#This Row],[Q_Tonnes]]/25, Table4[[#This Row],[CO2_Noduplicates]])</f>
        <v>3223.0893845530773</v>
      </c>
    </row>
    <row r="360" spans="1:13" x14ac:dyDescent="0.25">
      <c r="A360" s="12" t="s">
        <v>18</v>
      </c>
      <c r="B360" s="12" t="s">
        <v>18</v>
      </c>
      <c r="C360" s="12" t="s">
        <v>128</v>
      </c>
      <c r="D360" s="13">
        <v>45017</v>
      </c>
      <c r="E360" s="13">
        <v>45046</v>
      </c>
      <c r="F360" s="14">
        <v>5063.3</v>
      </c>
      <c r="G360" s="20" t="s">
        <v>129</v>
      </c>
      <c r="H360" s="14">
        <v>759.49120254398736</v>
      </c>
      <c r="I360" s="12" t="str">
        <f t="shared" si="19"/>
        <v>Dcycle SpA ItalyDcycle SpA Italyelectricity4501745046</v>
      </c>
      <c r="J360" s="12">
        <f t="shared" si="20"/>
        <v>0</v>
      </c>
      <c r="K360" s="12">
        <f>IF(Combinadas!$C360="electricity", Combinadas!$J360/6.6667,
IF(Combinadas!$C360="water", Combinadas!$J360/3.333,
IF(Combinadas!$C360="heat", Combinadas!$J360/0.8333, IF(Combinadas!$C360="waste",Combinadas!$J360/25,
"NA"))))</f>
        <v>0</v>
      </c>
      <c r="L360" s="12">
        <f>Combinadas!$J360</f>
        <v>0</v>
      </c>
      <c r="M360" s="12">
        <f>IF(Table4[[#This Row],[Type]]="waste", Table4[[#This Row],[Q_Tonnes]]/25, Table4[[#This Row],[CO2_Noduplicates]])</f>
        <v>0</v>
      </c>
    </row>
    <row r="361" spans="1:13" x14ac:dyDescent="0.25">
      <c r="A361" s="16" t="s">
        <v>18</v>
      </c>
      <c r="B361" s="16" t="s">
        <v>18</v>
      </c>
      <c r="C361" s="16" t="s">
        <v>128</v>
      </c>
      <c r="D361" s="17">
        <v>45017</v>
      </c>
      <c r="E361" s="17">
        <v>45046</v>
      </c>
      <c r="F361" s="18">
        <v>17959.38</v>
      </c>
      <c r="G361" s="21" t="s">
        <v>129</v>
      </c>
      <c r="H361" s="18">
        <v>2693.8935305323475</v>
      </c>
      <c r="I361" s="12" t="str">
        <f t="shared" si="19"/>
        <v>Dcycle SpA ItalyDcycle SpA Italyelectricity4501745046</v>
      </c>
      <c r="J361" s="12">
        <f t="shared" si="20"/>
        <v>17959.38</v>
      </c>
      <c r="K361" s="12">
        <f>IF(Combinadas!$C361="electricity", Combinadas!$J361/6.6667,
IF(Combinadas!$C361="water", Combinadas!$J361/3.333,
IF(Combinadas!$C361="heat", Combinadas!$J361/0.8333, IF(Combinadas!$C361="waste",Combinadas!$J361/25,
"NA"))))</f>
        <v>2693.8935305323475</v>
      </c>
      <c r="L361" s="12">
        <f>Combinadas!$J361</f>
        <v>17959.38</v>
      </c>
      <c r="M361" s="12">
        <f>IF(Table4[[#This Row],[Type]]="waste", Table4[[#This Row],[Q_Tonnes]]/25, Table4[[#This Row],[CO2_Noduplicates]])</f>
        <v>2693.8935305323475</v>
      </c>
    </row>
    <row r="362" spans="1:13" x14ac:dyDescent="0.25">
      <c r="A362" s="12" t="s">
        <v>18</v>
      </c>
      <c r="B362" s="12" t="s">
        <v>18</v>
      </c>
      <c r="C362" s="12" t="s">
        <v>128</v>
      </c>
      <c r="D362" s="13">
        <v>45047</v>
      </c>
      <c r="E362" s="13">
        <v>45077</v>
      </c>
      <c r="F362" s="14">
        <v>4496.7</v>
      </c>
      <c r="G362" s="20" t="s">
        <v>129</v>
      </c>
      <c r="H362" s="14">
        <v>674.50162749186256</v>
      </c>
      <c r="I362" s="12" t="str">
        <f t="shared" si="19"/>
        <v>Dcycle SpA ItalyDcycle SpA Italyelectricity4504745077</v>
      </c>
      <c r="J362" s="12">
        <f t="shared" si="20"/>
        <v>0</v>
      </c>
      <c r="K362" s="12">
        <f>IF(Combinadas!$C362="electricity", Combinadas!$J362/6.6667,
IF(Combinadas!$C362="water", Combinadas!$J362/3.333,
IF(Combinadas!$C362="heat", Combinadas!$J362/0.8333, IF(Combinadas!$C362="waste",Combinadas!$J362/25,
"NA"))))</f>
        <v>0</v>
      </c>
      <c r="L362" s="12">
        <f>Combinadas!$J362</f>
        <v>0</v>
      </c>
      <c r="M362" s="12">
        <f>IF(Table4[[#This Row],[Type]]="waste", Table4[[#This Row],[Q_Tonnes]]/25, Table4[[#This Row],[CO2_Noduplicates]])</f>
        <v>0</v>
      </c>
    </row>
    <row r="363" spans="1:13" x14ac:dyDescent="0.25">
      <c r="A363" s="16" t="s">
        <v>18</v>
      </c>
      <c r="B363" s="16" t="s">
        <v>18</v>
      </c>
      <c r="C363" s="16" t="s">
        <v>128</v>
      </c>
      <c r="D363" s="17">
        <v>45047</v>
      </c>
      <c r="E363" s="17">
        <v>45077</v>
      </c>
      <c r="F363" s="18">
        <v>13334.7</v>
      </c>
      <c r="G363" s="21" t="s">
        <v>129</v>
      </c>
      <c r="H363" s="18">
        <v>2000.194999025005</v>
      </c>
      <c r="I363" s="12" t="str">
        <f t="shared" si="19"/>
        <v>Dcycle SpA ItalyDcycle SpA Italyelectricity4504745077</v>
      </c>
      <c r="J363" s="12">
        <f t="shared" si="20"/>
        <v>13334.7</v>
      </c>
      <c r="K363" s="12">
        <f>IF(Combinadas!$C363="electricity", Combinadas!$J363/6.6667,
IF(Combinadas!$C363="water", Combinadas!$J363/3.333,
IF(Combinadas!$C363="heat", Combinadas!$J363/0.8333, IF(Combinadas!$C363="waste",Combinadas!$J363/25,
"NA"))))</f>
        <v>2000.194999025005</v>
      </c>
      <c r="L363" s="12">
        <f>Combinadas!$J363</f>
        <v>13334.7</v>
      </c>
      <c r="M363" s="12">
        <f>IF(Table4[[#This Row],[Type]]="waste", Table4[[#This Row],[Q_Tonnes]]/25, Table4[[#This Row],[CO2_Noduplicates]])</f>
        <v>2000.194999025005</v>
      </c>
    </row>
    <row r="364" spans="1:13" x14ac:dyDescent="0.25">
      <c r="A364" s="12" t="s">
        <v>18</v>
      </c>
      <c r="B364" s="12" t="s">
        <v>18</v>
      </c>
      <c r="C364" s="12" t="s">
        <v>128</v>
      </c>
      <c r="D364" s="13">
        <v>45078</v>
      </c>
      <c r="E364" s="13">
        <v>45107</v>
      </c>
      <c r="F364" s="14">
        <v>11349.78</v>
      </c>
      <c r="G364" s="20" t="s">
        <v>129</v>
      </c>
      <c r="H364" s="14">
        <v>1702.4584877075617</v>
      </c>
      <c r="I364" s="12" t="str">
        <f t="shared" si="19"/>
        <v>Dcycle SpA ItalyDcycle SpA Italyelectricity4507845107</v>
      </c>
      <c r="J364" s="12">
        <f t="shared" si="20"/>
        <v>11349.78</v>
      </c>
      <c r="K364" s="12">
        <f>IF(Combinadas!$C364="electricity", Combinadas!$J364/6.6667,
IF(Combinadas!$C364="water", Combinadas!$J364/3.333,
IF(Combinadas!$C364="heat", Combinadas!$J364/0.8333, IF(Combinadas!$C364="waste",Combinadas!$J364/25,
"NA"))))</f>
        <v>1702.4584877075617</v>
      </c>
      <c r="L364" s="12">
        <f>Combinadas!$J364</f>
        <v>11349.78</v>
      </c>
      <c r="M364" s="12">
        <f>IF(Table4[[#This Row],[Type]]="waste", Table4[[#This Row],[Q_Tonnes]]/25, Table4[[#This Row],[CO2_Noduplicates]])</f>
        <v>1702.4584877075617</v>
      </c>
    </row>
    <row r="365" spans="1:13" x14ac:dyDescent="0.25">
      <c r="A365" s="16" t="s">
        <v>18</v>
      </c>
      <c r="B365" s="16" t="s">
        <v>18</v>
      </c>
      <c r="C365" s="16" t="s">
        <v>128</v>
      </c>
      <c r="D365" s="17">
        <v>45108</v>
      </c>
      <c r="E365" s="17">
        <v>45138</v>
      </c>
      <c r="F365" s="18">
        <v>15799.58</v>
      </c>
      <c r="G365" s="21" t="s">
        <v>129</v>
      </c>
      <c r="H365" s="18">
        <v>2369.9251503742485</v>
      </c>
      <c r="I365" s="12" t="str">
        <f t="shared" si="19"/>
        <v>Dcycle SpA ItalyDcycle SpA Italyelectricity4510845138</v>
      </c>
      <c r="J365" s="12">
        <f t="shared" si="20"/>
        <v>15799.58</v>
      </c>
      <c r="K365" s="12">
        <f>IF(Combinadas!$C365="electricity", Combinadas!$J365/6.6667,
IF(Combinadas!$C365="water", Combinadas!$J365/3.333,
IF(Combinadas!$C365="heat", Combinadas!$J365/0.8333, IF(Combinadas!$C365="waste",Combinadas!$J365/25,
"NA"))))</f>
        <v>2369.9251503742485</v>
      </c>
      <c r="L365" s="12">
        <f>Combinadas!$J365</f>
        <v>15799.58</v>
      </c>
      <c r="M365" s="12">
        <f>IF(Table4[[#This Row],[Type]]="waste", Table4[[#This Row],[Q_Tonnes]]/25, Table4[[#This Row],[CO2_Noduplicates]])</f>
        <v>2369.9251503742485</v>
      </c>
    </row>
    <row r="366" spans="1:13" x14ac:dyDescent="0.25">
      <c r="A366" s="12" t="s">
        <v>18</v>
      </c>
      <c r="B366" s="12" t="s">
        <v>18</v>
      </c>
      <c r="C366" s="12" t="s">
        <v>128</v>
      </c>
      <c r="D366" s="13">
        <v>45139</v>
      </c>
      <c r="E366" s="13">
        <v>45169</v>
      </c>
      <c r="F366" s="14">
        <v>10751.98</v>
      </c>
      <c r="G366" s="20" t="s">
        <v>129</v>
      </c>
      <c r="H366" s="14">
        <v>1612.7889360553197</v>
      </c>
      <c r="I366" s="12" t="str">
        <f t="shared" si="19"/>
        <v>Dcycle SpA ItalyDcycle SpA Italyelectricity4513945169</v>
      </c>
      <c r="J366" s="12">
        <f t="shared" ref="J366:J397" si="21">IF(F366=_xlfn.MAXIFS(F:F, I:I, I366), F366, 0)</f>
        <v>10751.98</v>
      </c>
      <c r="K366" s="12">
        <f>IF(Combinadas!$C366="electricity", Combinadas!$J366/6.6667,
IF(Combinadas!$C366="water", Combinadas!$J366/3.333,
IF(Combinadas!$C366="heat", Combinadas!$J366/0.8333, IF(Combinadas!$C366="waste",Combinadas!$J366/25,
"NA"))))</f>
        <v>1612.7889360553197</v>
      </c>
      <c r="L366" s="12">
        <f>Combinadas!$J366</f>
        <v>10751.98</v>
      </c>
      <c r="M366" s="12">
        <f>IF(Table4[[#This Row],[Type]]="waste", Table4[[#This Row],[Q_Tonnes]]/25, Table4[[#This Row],[CO2_Noduplicates]])</f>
        <v>1612.7889360553197</v>
      </c>
    </row>
    <row r="367" spans="1:13" x14ac:dyDescent="0.25">
      <c r="A367" s="16" t="s">
        <v>18</v>
      </c>
      <c r="B367" s="16" t="s">
        <v>18</v>
      </c>
      <c r="C367" s="16" t="s">
        <v>128</v>
      </c>
      <c r="D367" s="17">
        <v>45170</v>
      </c>
      <c r="E367" s="17">
        <v>45199</v>
      </c>
      <c r="F367" s="18">
        <v>10038.290000000001</v>
      </c>
      <c r="G367" s="21" t="s">
        <v>129</v>
      </c>
      <c r="H367" s="18">
        <v>1505.7359713201436</v>
      </c>
      <c r="I367" s="12" t="str">
        <f t="shared" si="19"/>
        <v>Dcycle SpA ItalyDcycle SpA Italyelectricity4517045199</v>
      </c>
      <c r="J367" s="12">
        <f t="shared" si="21"/>
        <v>10038.290000000001</v>
      </c>
      <c r="K367" s="12">
        <f>IF(Combinadas!$C367="electricity", Combinadas!$J367/6.6667,
IF(Combinadas!$C367="water", Combinadas!$J367/3.333,
IF(Combinadas!$C367="heat", Combinadas!$J367/0.8333, IF(Combinadas!$C367="waste",Combinadas!$J367/25,
"NA"))))</f>
        <v>1505.7359713201436</v>
      </c>
      <c r="L367" s="12">
        <f>Combinadas!$J367</f>
        <v>10038.290000000001</v>
      </c>
      <c r="M367" s="12">
        <f>IF(Table4[[#This Row],[Type]]="waste", Table4[[#This Row],[Q_Tonnes]]/25, Table4[[#This Row],[CO2_Noduplicates]])</f>
        <v>1505.7359713201436</v>
      </c>
    </row>
    <row r="368" spans="1:13" x14ac:dyDescent="0.25">
      <c r="A368" s="12" t="s">
        <v>18</v>
      </c>
      <c r="B368" s="12" t="s">
        <v>18</v>
      </c>
      <c r="C368" s="12" t="s">
        <v>128</v>
      </c>
      <c r="D368" s="13">
        <v>45200</v>
      </c>
      <c r="E368" s="13">
        <v>45230</v>
      </c>
      <c r="F368" s="14">
        <v>10860.8</v>
      </c>
      <c r="G368" s="20" t="s">
        <v>129</v>
      </c>
      <c r="H368" s="14">
        <v>1629.1118544407277</v>
      </c>
      <c r="I368" s="12" t="str">
        <f t="shared" si="19"/>
        <v>Dcycle SpA ItalyDcycle SpA Italyelectricity4520045230</v>
      </c>
      <c r="J368" s="12">
        <f t="shared" si="21"/>
        <v>10860.8</v>
      </c>
      <c r="K368" s="12">
        <f>IF(Combinadas!$C368="electricity", Combinadas!$J368/6.6667,
IF(Combinadas!$C368="water", Combinadas!$J368/3.333,
IF(Combinadas!$C368="heat", Combinadas!$J368/0.8333, IF(Combinadas!$C368="waste",Combinadas!$J368/25,
"NA"))))</f>
        <v>1629.1118544407277</v>
      </c>
      <c r="L368" s="12">
        <f>Combinadas!$J368</f>
        <v>10860.8</v>
      </c>
      <c r="M368" s="12">
        <f>IF(Table4[[#This Row],[Type]]="waste", Table4[[#This Row],[Q_Tonnes]]/25, Table4[[#This Row],[CO2_Noduplicates]])</f>
        <v>1629.1118544407277</v>
      </c>
    </row>
    <row r="369" spans="1:13" x14ac:dyDescent="0.25">
      <c r="A369" s="16" t="s">
        <v>18</v>
      </c>
      <c r="B369" s="16" t="s">
        <v>18</v>
      </c>
      <c r="C369" s="16" t="s">
        <v>128</v>
      </c>
      <c r="D369" s="17">
        <v>45231</v>
      </c>
      <c r="E369" s="17">
        <v>45260</v>
      </c>
      <c r="F369" s="18">
        <v>25423.759999999998</v>
      </c>
      <c r="G369" s="21" t="s">
        <v>129</v>
      </c>
      <c r="H369" s="18">
        <v>3813.5449322753384</v>
      </c>
      <c r="I369" s="12" t="str">
        <f t="shared" si="19"/>
        <v>Dcycle SpA ItalyDcycle SpA Italyelectricity4523145260</v>
      </c>
      <c r="J369" s="12">
        <f t="shared" si="21"/>
        <v>25423.759999999998</v>
      </c>
      <c r="K369" s="12">
        <f>IF(Combinadas!$C369="electricity", Combinadas!$J369/6.6667,
IF(Combinadas!$C369="water", Combinadas!$J369/3.333,
IF(Combinadas!$C369="heat", Combinadas!$J369/0.8333, IF(Combinadas!$C369="waste",Combinadas!$J369/25,
"NA"))))</f>
        <v>3813.5449322753384</v>
      </c>
      <c r="L369" s="12">
        <f>Combinadas!$J369</f>
        <v>25423.759999999998</v>
      </c>
      <c r="M369" s="12">
        <f>IF(Table4[[#This Row],[Type]]="waste", Table4[[#This Row],[Q_Tonnes]]/25, Table4[[#This Row],[CO2_Noduplicates]])</f>
        <v>3813.5449322753384</v>
      </c>
    </row>
    <row r="370" spans="1:13" x14ac:dyDescent="0.25">
      <c r="A370" s="12" t="s">
        <v>18</v>
      </c>
      <c r="B370" s="12" t="s">
        <v>18</v>
      </c>
      <c r="C370" s="12" t="s">
        <v>128</v>
      </c>
      <c r="D370" s="13">
        <v>45261</v>
      </c>
      <c r="E370" s="13">
        <v>45291</v>
      </c>
      <c r="F370" s="14">
        <v>23643.38</v>
      </c>
      <c r="G370" s="20" t="s">
        <v>129</v>
      </c>
      <c r="H370" s="14">
        <v>3546.4892675536626</v>
      </c>
      <c r="I370" s="12" t="str">
        <f t="shared" si="19"/>
        <v>Dcycle SpA ItalyDcycle SpA Italyelectricity4526145291</v>
      </c>
      <c r="J370" s="12">
        <f t="shared" si="21"/>
        <v>23643.38</v>
      </c>
      <c r="K370" s="12">
        <f>IF(Combinadas!$C370="electricity", Combinadas!$J370/6.6667,
IF(Combinadas!$C370="water", Combinadas!$J370/3.333,
IF(Combinadas!$C370="heat", Combinadas!$J370/0.8333, IF(Combinadas!$C370="waste",Combinadas!$J370/25,
"NA"))))</f>
        <v>3546.4892675536626</v>
      </c>
      <c r="L370" s="12">
        <f>Combinadas!$J370</f>
        <v>23643.38</v>
      </c>
      <c r="M370" s="12">
        <f>IF(Table4[[#This Row],[Type]]="waste", Table4[[#This Row],[Q_Tonnes]]/25, Table4[[#This Row],[CO2_Noduplicates]])</f>
        <v>3546.4892675536626</v>
      </c>
    </row>
    <row r="371" spans="1:13" x14ac:dyDescent="0.25">
      <c r="A371" s="16" t="s">
        <v>18</v>
      </c>
      <c r="B371" s="16" t="s">
        <v>18</v>
      </c>
      <c r="C371" s="16" t="s">
        <v>130</v>
      </c>
      <c r="D371" s="17">
        <v>44927</v>
      </c>
      <c r="E371" s="17">
        <v>44957</v>
      </c>
      <c r="F371" s="18">
        <v>8101</v>
      </c>
      <c r="G371" s="19" t="s">
        <v>133</v>
      </c>
      <c r="H371" s="18">
        <v>2430.5430543054304</v>
      </c>
      <c r="I371" s="12" t="str">
        <f t="shared" si="19"/>
        <v>Dcycle SpA ItalyDcycle SpA Italywater4492744957</v>
      </c>
      <c r="J371" s="12">
        <f t="shared" si="21"/>
        <v>0</v>
      </c>
      <c r="K371" s="12">
        <f>IF(Combinadas!$C371="electricity", Combinadas!$J371/6.6667,
IF(Combinadas!$C371="water", Combinadas!$J371/3.333,
IF(Combinadas!$C371="heat", Combinadas!$J371/0.8333, IF(Combinadas!$C371="waste",Combinadas!$J371/25,
"NA"))))</f>
        <v>0</v>
      </c>
      <c r="L371" s="12">
        <f>Combinadas!$J371</f>
        <v>0</v>
      </c>
      <c r="M371" s="12">
        <f>IF(Table4[[#This Row],[Type]]="waste", Table4[[#This Row],[Q_Tonnes]]/25, Table4[[#This Row],[CO2_Noduplicates]])</f>
        <v>0</v>
      </c>
    </row>
    <row r="372" spans="1:13" x14ac:dyDescent="0.25">
      <c r="A372" s="12" t="s">
        <v>18</v>
      </c>
      <c r="B372" s="12" t="s">
        <v>18</v>
      </c>
      <c r="C372" s="12" t="s">
        <v>130</v>
      </c>
      <c r="D372" s="13">
        <v>44927</v>
      </c>
      <c r="E372" s="13">
        <v>44957</v>
      </c>
      <c r="F372" s="14">
        <v>16918</v>
      </c>
      <c r="G372" s="15" t="s">
        <v>133</v>
      </c>
      <c r="H372" s="14">
        <v>5075.9075907590759</v>
      </c>
      <c r="I372" s="12" t="str">
        <f t="shared" si="19"/>
        <v>Dcycle SpA ItalyDcycle SpA Italywater4492744957</v>
      </c>
      <c r="J372" s="12">
        <f t="shared" si="21"/>
        <v>16918</v>
      </c>
      <c r="K372" s="12">
        <f>IF(Combinadas!$C372="electricity", Combinadas!$J372/6.6667,
IF(Combinadas!$C372="water", Combinadas!$J372/3.333,
IF(Combinadas!$C372="heat", Combinadas!$J372/0.8333, IF(Combinadas!$C372="waste",Combinadas!$J372/25,
"NA"))))</f>
        <v>5075.9075907590759</v>
      </c>
      <c r="L372" s="12">
        <f>Combinadas!$J372</f>
        <v>16918</v>
      </c>
      <c r="M372" s="12">
        <f>IF(Table4[[#This Row],[Type]]="waste", Table4[[#This Row],[Q_Tonnes]]/25, Table4[[#This Row],[CO2_Noduplicates]])</f>
        <v>5075.9075907590759</v>
      </c>
    </row>
    <row r="373" spans="1:13" x14ac:dyDescent="0.25">
      <c r="A373" s="16" t="s">
        <v>18</v>
      </c>
      <c r="B373" s="16" t="s">
        <v>18</v>
      </c>
      <c r="C373" s="16" t="s">
        <v>130</v>
      </c>
      <c r="D373" s="17">
        <v>44958</v>
      </c>
      <c r="E373" s="17">
        <v>44985</v>
      </c>
      <c r="F373" s="18">
        <v>0</v>
      </c>
      <c r="G373" s="19" t="s">
        <v>133</v>
      </c>
      <c r="H373" s="18">
        <v>0</v>
      </c>
      <c r="I373" s="12" t="str">
        <f t="shared" si="19"/>
        <v>Dcycle SpA ItalyDcycle SpA Italywater4495844985</v>
      </c>
      <c r="J373" s="12">
        <f t="shared" si="21"/>
        <v>0</v>
      </c>
      <c r="K373" s="12">
        <f>IF(Combinadas!$C373="electricity", Combinadas!$J373/6.6667,
IF(Combinadas!$C373="water", Combinadas!$J373/3.333,
IF(Combinadas!$C373="heat", Combinadas!$J373/0.8333, IF(Combinadas!$C373="waste",Combinadas!$J373/25,
"NA"))))</f>
        <v>0</v>
      </c>
      <c r="L373" s="12">
        <f>Combinadas!$J373</f>
        <v>0</v>
      </c>
      <c r="M373" s="12">
        <f>IF(Table4[[#This Row],[Type]]="waste", Table4[[#This Row],[Q_Tonnes]]/25, Table4[[#This Row],[CO2_Noduplicates]])</f>
        <v>0</v>
      </c>
    </row>
    <row r="374" spans="1:13" x14ac:dyDescent="0.25">
      <c r="A374" s="12" t="s">
        <v>18</v>
      </c>
      <c r="B374" s="12" t="s">
        <v>18</v>
      </c>
      <c r="C374" s="12" t="s">
        <v>130</v>
      </c>
      <c r="D374" s="13">
        <v>44958</v>
      </c>
      <c r="E374" s="13">
        <v>44985</v>
      </c>
      <c r="F374" s="14">
        <v>15259</v>
      </c>
      <c r="G374" s="15" t="s">
        <v>133</v>
      </c>
      <c r="H374" s="14">
        <v>4578.1578157815775</v>
      </c>
      <c r="I374" s="12" t="str">
        <f t="shared" si="19"/>
        <v>Dcycle SpA ItalyDcycle SpA Italywater4495844985</v>
      </c>
      <c r="J374" s="12">
        <f t="shared" si="21"/>
        <v>15259</v>
      </c>
      <c r="K374" s="12">
        <f>IF(Combinadas!$C374="electricity", Combinadas!$J374/6.6667,
IF(Combinadas!$C374="water", Combinadas!$J374/3.333,
IF(Combinadas!$C374="heat", Combinadas!$J374/0.8333, IF(Combinadas!$C374="waste",Combinadas!$J374/25,
"NA"))))</f>
        <v>4578.1578157815775</v>
      </c>
      <c r="L374" s="12">
        <f>Combinadas!$J374</f>
        <v>15259</v>
      </c>
      <c r="M374" s="12">
        <f>IF(Table4[[#This Row],[Type]]="waste", Table4[[#This Row],[Q_Tonnes]]/25, Table4[[#This Row],[CO2_Noduplicates]])</f>
        <v>4578.1578157815775</v>
      </c>
    </row>
    <row r="375" spans="1:13" x14ac:dyDescent="0.25">
      <c r="A375" s="16" t="s">
        <v>18</v>
      </c>
      <c r="B375" s="16" t="s">
        <v>18</v>
      </c>
      <c r="C375" s="16" t="s">
        <v>130</v>
      </c>
      <c r="D375" s="17">
        <v>44986</v>
      </c>
      <c r="E375" s="17">
        <v>45016</v>
      </c>
      <c r="F375" s="18">
        <v>0</v>
      </c>
      <c r="G375" s="19" t="s">
        <v>133</v>
      </c>
      <c r="H375" s="18">
        <v>0</v>
      </c>
      <c r="I375" s="12" t="str">
        <f t="shared" si="19"/>
        <v>Dcycle SpA ItalyDcycle SpA Italywater4498645016</v>
      </c>
      <c r="J375" s="12">
        <f t="shared" si="21"/>
        <v>0</v>
      </c>
      <c r="K375" s="12">
        <f>IF(Combinadas!$C375="electricity", Combinadas!$J375/6.6667,
IF(Combinadas!$C375="water", Combinadas!$J375/3.333,
IF(Combinadas!$C375="heat", Combinadas!$J375/0.8333, IF(Combinadas!$C375="waste",Combinadas!$J375/25,
"NA"))))</f>
        <v>0</v>
      </c>
      <c r="L375" s="12">
        <f>Combinadas!$J375</f>
        <v>0</v>
      </c>
      <c r="M375" s="12">
        <f>IF(Table4[[#This Row],[Type]]="waste", Table4[[#This Row],[Q_Tonnes]]/25, Table4[[#This Row],[CO2_Noduplicates]])</f>
        <v>0</v>
      </c>
    </row>
    <row r="376" spans="1:13" x14ac:dyDescent="0.25">
      <c r="A376" s="12" t="s">
        <v>18</v>
      </c>
      <c r="B376" s="12" t="s">
        <v>18</v>
      </c>
      <c r="C376" s="12" t="s">
        <v>130</v>
      </c>
      <c r="D376" s="13">
        <v>44986</v>
      </c>
      <c r="E376" s="13">
        <v>45016</v>
      </c>
      <c r="F376" s="14">
        <v>8547</v>
      </c>
      <c r="G376" s="15" t="s">
        <v>133</v>
      </c>
      <c r="H376" s="14">
        <v>2564.3564356435641</v>
      </c>
      <c r="I376" s="12" t="str">
        <f t="shared" si="19"/>
        <v>Dcycle SpA ItalyDcycle SpA Italywater4498645016</v>
      </c>
      <c r="J376" s="12">
        <f t="shared" si="21"/>
        <v>8547</v>
      </c>
      <c r="K376" s="12">
        <f>IF(Combinadas!$C376="electricity", Combinadas!$J376/6.6667,
IF(Combinadas!$C376="water", Combinadas!$J376/3.333,
IF(Combinadas!$C376="heat", Combinadas!$J376/0.8333, IF(Combinadas!$C376="waste",Combinadas!$J376/25,
"NA"))))</f>
        <v>2564.3564356435641</v>
      </c>
      <c r="L376" s="12">
        <f>Combinadas!$J376</f>
        <v>8547</v>
      </c>
      <c r="M376" s="12">
        <f>IF(Table4[[#This Row],[Type]]="waste", Table4[[#This Row],[Q_Tonnes]]/25, Table4[[#This Row],[CO2_Noduplicates]])</f>
        <v>2564.3564356435641</v>
      </c>
    </row>
    <row r="377" spans="1:13" x14ac:dyDescent="0.25">
      <c r="A377" s="16" t="s">
        <v>18</v>
      </c>
      <c r="B377" s="16" t="s">
        <v>18</v>
      </c>
      <c r="C377" s="16" t="s">
        <v>130</v>
      </c>
      <c r="D377" s="17">
        <v>45017</v>
      </c>
      <c r="E377" s="17">
        <v>45046</v>
      </c>
      <c r="F377" s="18">
        <v>0</v>
      </c>
      <c r="G377" s="19" t="s">
        <v>133</v>
      </c>
      <c r="H377" s="18">
        <v>0</v>
      </c>
      <c r="I377" s="12" t="str">
        <f t="shared" si="19"/>
        <v>Dcycle SpA ItalyDcycle SpA Italywater4501745046</v>
      </c>
      <c r="J377" s="12">
        <f t="shared" si="21"/>
        <v>0</v>
      </c>
      <c r="K377" s="12">
        <f>IF(Combinadas!$C377="electricity", Combinadas!$J377/6.6667,
IF(Combinadas!$C377="water", Combinadas!$J377/3.333,
IF(Combinadas!$C377="heat", Combinadas!$J377/0.8333, IF(Combinadas!$C377="waste",Combinadas!$J377/25,
"NA"))))</f>
        <v>0</v>
      </c>
      <c r="L377" s="12">
        <f>Combinadas!$J377</f>
        <v>0</v>
      </c>
      <c r="M377" s="12">
        <f>IF(Table4[[#This Row],[Type]]="waste", Table4[[#This Row],[Q_Tonnes]]/25, Table4[[#This Row],[CO2_Noduplicates]])</f>
        <v>0</v>
      </c>
    </row>
    <row r="378" spans="1:13" x14ac:dyDescent="0.25">
      <c r="A378" s="12" t="s">
        <v>18</v>
      </c>
      <c r="B378" s="12" t="s">
        <v>18</v>
      </c>
      <c r="C378" s="12" t="s">
        <v>130</v>
      </c>
      <c r="D378" s="13">
        <v>45017</v>
      </c>
      <c r="E378" s="13">
        <v>45046</v>
      </c>
      <c r="F378" s="14">
        <v>1668</v>
      </c>
      <c r="G378" s="15" t="s">
        <v>133</v>
      </c>
      <c r="H378" s="14">
        <v>500.4500450045004</v>
      </c>
      <c r="I378" s="12" t="str">
        <f t="shared" si="19"/>
        <v>Dcycle SpA ItalyDcycle SpA Italywater4501745046</v>
      </c>
      <c r="J378" s="12">
        <f t="shared" si="21"/>
        <v>1668</v>
      </c>
      <c r="K378" s="12">
        <f>IF(Combinadas!$C378="electricity", Combinadas!$J378/6.6667,
IF(Combinadas!$C378="water", Combinadas!$J378/3.333,
IF(Combinadas!$C378="heat", Combinadas!$J378/0.8333, IF(Combinadas!$C378="waste",Combinadas!$J378/25,
"NA"))))</f>
        <v>500.4500450045004</v>
      </c>
      <c r="L378" s="12">
        <f>Combinadas!$J378</f>
        <v>1668</v>
      </c>
      <c r="M378" s="12">
        <f>IF(Table4[[#This Row],[Type]]="waste", Table4[[#This Row],[Q_Tonnes]]/25, Table4[[#This Row],[CO2_Noduplicates]])</f>
        <v>500.4500450045004</v>
      </c>
    </row>
    <row r="379" spans="1:13" x14ac:dyDescent="0.25">
      <c r="A379" s="16" t="s">
        <v>18</v>
      </c>
      <c r="B379" s="16" t="s">
        <v>18</v>
      </c>
      <c r="C379" s="16" t="s">
        <v>130</v>
      </c>
      <c r="D379" s="17">
        <v>45047</v>
      </c>
      <c r="E379" s="17">
        <v>45076</v>
      </c>
      <c r="F379" s="18">
        <v>2</v>
      </c>
      <c r="G379" s="19" t="s">
        <v>133</v>
      </c>
      <c r="H379" s="18">
        <v>0.60006000600060005</v>
      </c>
      <c r="I379" s="12" t="str">
        <f t="shared" si="19"/>
        <v>Dcycle SpA ItalyDcycle SpA Italywater4504745076</v>
      </c>
      <c r="J379" s="12">
        <f t="shared" si="21"/>
        <v>2</v>
      </c>
      <c r="K379" s="12">
        <f>IF(Combinadas!$C379="electricity", Combinadas!$J379/6.6667,
IF(Combinadas!$C379="water", Combinadas!$J379/3.333,
IF(Combinadas!$C379="heat", Combinadas!$J379/0.8333, IF(Combinadas!$C379="waste",Combinadas!$J379/25,
"NA"))))</f>
        <v>0.60006000600060005</v>
      </c>
      <c r="L379" s="12">
        <f>Combinadas!$J379</f>
        <v>2</v>
      </c>
      <c r="M379" s="12">
        <f>IF(Table4[[#This Row],[Type]]="waste", Table4[[#This Row],[Q_Tonnes]]/25, Table4[[#This Row],[CO2_Noduplicates]])</f>
        <v>0.60006000600060005</v>
      </c>
    </row>
    <row r="380" spans="1:13" x14ac:dyDescent="0.25">
      <c r="A380" s="12" t="s">
        <v>18</v>
      </c>
      <c r="B380" s="12" t="s">
        <v>18</v>
      </c>
      <c r="C380" s="12" t="s">
        <v>130</v>
      </c>
      <c r="D380" s="13">
        <v>45047</v>
      </c>
      <c r="E380" s="13">
        <v>45077</v>
      </c>
      <c r="F380" s="14">
        <v>0</v>
      </c>
      <c r="G380" s="15" t="s">
        <v>133</v>
      </c>
      <c r="H380" s="14">
        <v>0</v>
      </c>
      <c r="I380" s="12" t="str">
        <f t="shared" si="19"/>
        <v>Dcycle SpA ItalyDcycle SpA Italywater4504745077</v>
      </c>
      <c r="J380" s="12">
        <f t="shared" si="21"/>
        <v>0</v>
      </c>
      <c r="K380" s="12">
        <f>IF(Combinadas!$C380="electricity", Combinadas!$J380/6.6667,
IF(Combinadas!$C380="water", Combinadas!$J380/3.333,
IF(Combinadas!$C380="heat", Combinadas!$J380/0.8333, IF(Combinadas!$C380="waste",Combinadas!$J380/25,
"NA"))))</f>
        <v>0</v>
      </c>
      <c r="L380" s="12">
        <f>Combinadas!$J380</f>
        <v>0</v>
      </c>
      <c r="M380" s="12">
        <f>IF(Table4[[#This Row],[Type]]="waste", Table4[[#This Row],[Q_Tonnes]]/25, Table4[[#This Row],[CO2_Noduplicates]])</f>
        <v>0</v>
      </c>
    </row>
    <row r="381" spans="1:13" x14ac:dyDescent="0.25">
      <c r="A381" s="16" t="s">
        <v>18</v>
      </c>
      <c r="B381" s="16" t="s">
        <v>18</v>
      </c>
      <c r="C381" s="16" t="s">
        <v>130</v>
      </c>
      <c r="D381" s="17">
        <v>45078</v>
      </c>
      <c r="E381" s="17">
        <v>45107</v>
      </c>
      <c r="F381" s="18">
        <v>0</v>
      </c>
      <c r="G381" s="19" t="s">
        <v>133</v>
      </c>
      <c r="H381" s="18">
        <v>0</v>
      </c>
      <c r="I381" s="12" t="str">
        <f t="shared" si="19"/>
        <v>Dcycle SpA ItalyDcycle SpA Italywater4507845107</v>
      </c>
      <c r="J381" s="12">
        <f t="shared" si="21"/>
        <v>0</v>
      </c>
      <c r="K381" s="12">
        <f>IF(Combinadas!$C381="electricity", Combinadas!$J381/6.6667,
IF(Combinadas!$C381="water", Combinadas!$J381/3.333,
IF(Combinadas!$C381="heat", Combinadas!$J381/0.8333, IF(Combinadas!$C381="waste",Combinadas!$J381/25,
"NA"))))</f>
        <v>0</v>
      </c>
      <c r="L381" s="12">
        <f>Combinadas!$J381</f>
        <v>0</v>
      </c>
      <c r="M381" s="12">
        <f>IF(Table4[[#This Row],[Type]]="waste", Table4[[#This Row],[Q_Tonnes]]/25, Table4[[#This Row],[CO2_Noduplicates]])</f>
        <v>0</v>
      </c>
    </row>
    <row r="382" spans="1:13" x14ac:dyDescent="0.25">
      <c r="A382" s="12" t="s">
        <v>18</v>
      </c>
      <c r="B382" s="12" t="s">
        <v>18</v>
      </c>
      <c r="C382" s="12" t="s">
        <v>130</v>
      </c>
      <c r="D382" s="13">
        <v>45108</v>
      </c>
      <c r="E382" s="13">
        <v>45138</v>
      </c>
      <c r="F382" s="14">
        <v>0</v>
      </c>
      <c r="G382" s="15" t="s">
        <v>133</v>
      </c>
      <c r="H382" s="14">
        <v>0</v>
      </c>
      <c r="I382" s="12" t="str">
        <f t="shared" si="19"/>
        <v>Dcycle SpA ItalyDcycle SpA Italywater4510845138</v>
      </c>
      <c r="J382" s="12">
        <f t="shared" si="21"/>
        <v>0</v>
      </c>
      <c r="K382" s="12">
        <f>IF(Combinadas!$C382="electricity", Combinadas!$J382/6.6667,
IF(Combinadas!$C382="water", Combinadas!$J382/3.333,
IF(Combinadas!$C382="heat", Combinadas!$J382/0.8333, IF(Combinadas!$C382="waste",Combinadas!$J382/25,
"NA"))))</f>
        <v>0</v>
      </c>
      <c r="L382" s="12">
        <f>Combinadas!$J382</f>
        <v>0</v>
      </c>
      <c r="M382" s="12">
        <f>IF(Table4[[#This Row],[Type]]="waste", Table4[[#This Row],[Q_Tonnes]]/25, Table4[[#This Row],[CO2_Noduplicates]])</f>
        <v>0</v>
      </c>
    </row>
    <row r="383" spans="1:13" x14ac:dyDescent="0.25">
      <c r="A383" s="16" t="s">
        <v>18</v>
      </c>
      <c r="B383" s="16" t="s">
        <v>18</v>
      </c>
      <c r="C383" s="16" t="s">
        <v>130</v>
      </c>
      <c r="D383" s="17">
        <v>45139</v>
      </c>
      <c r="E383" s="17">
        <v>45169</v>
      </c>
      <c r="F383" s="18">
        <v>0</v>
      </c>
      <c r="G383" s="19" t="s">
        <v>133</v>
      </c>
      <c r="H383" s="18">
        <v>0</v>
      </c>
      <c r="I383" s="12" t="str">
        <f t="shared" si="19"/>
        <v>Dcycle SpA ItalyDcycle SpA Italywater4513945169</v>
      </c>
      <c r="J383" s="12">
        <f t="shared" si="21"/>
        <v>0</v>
      </c>
      <c r="K383" s="12">
        <f>IF(Combinadas!$C383="electricity", Combinadas!$J383/6.6667,
IF(Combinadas!$C383="water", Combinadas!$J383/3.333,
IF(Combinadas!$C383="heat", Combinadas!$J383/0.8333, IF(Combinadas!$C383="waste",Combinadas!$J383/25,
"NA"))))</f>
        <v>0</v>
      </c>
      <c r="L383" s="12">
        <f>Combinadas!$J383</f>
        <v>0</v>
      </c>
      <c r="M383" s="12">
        <f>IF(Table4[[#This Row],[Type]]="waste", Table4[[#This Row],[Q_Tonnes]]/25, Table4[[#This Row],[CO2_Noduplicates]])</f>
        <v>0</v>
      </c>
    </row>
    <row r="384" spans="1:13" x14ac:dyDescent="0.25">
      <c r="A384" s="12" t="s">
        <v>18</v>
      </c>
      <c r="B384" s="12" t="s">
        <v>18</v>
      </c>
      <c r="C384" s="12" t="s">
        <v>130</v>
      </c>
      <c r="D384" s="13">
        <v>45170</v>
      </c>
      <c r="E384" s="13">
        <v>45199</v>
      </c>
      <c r="F384" s="14">
        <v>0</v>
      </c>
      <c r="G384" s="15" t="s">
        <v>133</v>
      </c>
      <c r="H384" s="14">
        <v>0</v>
      </c>
      <c r="I384" s="12" t="str">
        <f t="shared" si="19"/>
        <v>Dcycle SpA ItalyDcycle SpA Italywater4517045199</v>
      </c>
      <c r="J384" s="12">
        <f t="shared" si="21"/>
        <v>0</v>
      </c>
      <c r="K384" s="12">
        <f>IF(Combinadas!$C384="electricity", Combinadas!$J384/6.6667,
IF(Combinadas!$C384="water", Combinadas!$J384/3.333,
IF(Combinadas!$C384="heat", Combinadas!$J384/0.8333, IF(Combinadas!$C384="waste",Combinadas!$J384/25,
"NA"))))</f>
        <v>0</v>
      </c>
      <c r="L384" s="12">
        <f>Combinadas!$J384</f>
        <v>0</v>
      </c>
      <c r="M384" s="12">
        <f>IF(Table4[[#This Row],[Type]]="waste", Table4[[#This Row],[Q_Tonnes]]/25, Table4[[#This Row],[CO2_Noduplicates]])</f>
        <v>0</v>
      </c>
    </row>
    <row r="385" spans="1:13" x14ac:dyDescent="0.25">
      <c r="A385" s="16" t="s">
        <v>18</v>
      </c>
      <c r="B385" s="16" t="s">
        <v>18</v>
      </c>
      <c r="C385" s="16" t="s">
        <v>130</v>
      </c>
      <c r="D385" s="17">
        <v>45200</v>
      </c>
      <c r="E385" s="17">
        <v>45230</v>
      </c>
      <c r="F385" s="18">
        <v>4</v>
      </c>
      <c r="G385" s="19" t="s">
        <v>133</v>
      </c>
      <c r="H385" s="18">
        <v>1.2001200120012001</v>
      </c>
      <c r="I385" s="12" t="str">
        <f t="shared" si="19"/>
        <v>Dcycle SpA ItalyDcycle SpA Italywater4520045230</v>
      </c>
      <c r="J385" s="12">
        <f t="shared" si="21"/>
        <v>4</v>
      </c>
      <c r="K385" s="12">
        <f>IF(Combinadas!$C385="electricity", Combinadas!$J385/6.6667,
IF(Combinadas!$C385="water", Combinadas!$J385/3.333,
IF(Combinadas!$C385="heat", Combinadas!$J385/0.8333, IF(Combinadas!$C385="waste",Combinadas!$J385/25,
"NA"))))</f>
        <v>1.2001200120012001</v>
      </c>
      <c r="L385" s="12">
        <f>Combinadas!$J385</f>
        <v>4</v>
      </c>
      <c r="M385" s="12">
        <f>IF(Table4[[#This Row],[Type]]="waste", Table4[[#This Row],[Q_Tonnes]]/25, Table4[[#This Row],[CO2_Noduplicates]])</f>
        <v>1.2001200120012001</v>
      </c>
    </row>
    <row r="386" spans="1:13" x14ac:dyDescent="0.25">
      <c r="A386" s="12" t="s">
        <v>18</v>
      </c>
      <c r="B386" s="12" t="s">
        <v>18</v>
      </c>
      <c r="C386" s="12" t="s">
        <v>130</v>
      </c>
      <c r="D386" s="13">
        <v>45231</v>
      </c>
      <c r="E386" s="13">
        <v>45260</v>
      </c>
      <c r="F386" s="14">
        <v>12285</v>
      </c>
      <c r="G386" s="15" t="s">
        <v>133</v>
      </c>
      <c r="H386" s="14">
        <v>3685.8685868586858</v>
      </c>
      <c r="I386" s="12" t="str">
        <f t="shared" ref="I386:I449" si="22">A386&amp;B386&amp;C386&amp;D386&amp;E386</f>
        <v>Dcycle SpA ItalyDcycle SpA Italywater4523145260</v>
      </c>
      <c r="J386" s="12">
        <f t="shared" si="21"/>
        <v>12285</v>
      </c>
      <c r="K386" s="12">
        <f>IF(Combinadas!$C386="electricity", Combinadas!$J386/6.6667,
IF(Combinadas!$C386="water", Combinadas!$J386/3.333,
IF(Combinadas!$C386="heat", Combinadas!$J386/0.8333, IF(Combinadas!$C386="waste",Combinadas!$J386/25,
"NA"))))</f>
        <v>3685.8685868586858</v>
      </c>
      <c r="L386" s="12">
        <f>Combinadas!$J386</f>
        <v>12285</v>
      </c>
      <c r="M386" s="12">
        <f>IF(Table4[[#This Row],[Type]]="waste", Table4[[#This Row],[Q_Tonnes]]/25, Table4[[#This Row],[CO2_Noduplicates]])</f>
        <v>3685.8685868586858</v>
      </c>
    </row>
    <row r="387" spans="1:13" x14ac:dyDescent="0.25">
      <c r="A387" s="16" t="s">
        <v>18</v>
      </c>
      <c r="B387" s="16" t="s">
        <v>18</v>
      </c>
      <c r="C387" s="16" t="s">
        <v>130</v>
      </c>
      <c r="D387" s="17">
        <v>45261</v>
      </c>
      <c r="E387" s="17">
        <v>45291</v>
      </c>
      <c r="F387" s="18">
        <v>13681</v>
      </c>
      <c r="G387" s="19" t="s">
        <v>133</v>
      </c>
      <c r="H387" s="18">
        <v>4104.7104710471049</v>
      </c>
      <c r="I387" s="12" t="str">
        <f t="shared" si="22"/>
        <v>Dcycle SpA ItalyDcycle SpA Italywater4526145291</v>
      </c>
      <c r="J387" s="12">
        <f t="shared" si="21"/>
        <v>13681</v>
      </c>
      <c r="K387" s="12">
        <f>IF(Combinadas!$C387="electricity", Combinadas!$J387/6.6667,
IF(Combinadas!$C387="water", Combinadas!$J387/3.333,
IF(Combinadas!$C387="heat", Combinadas!$J387/0.8333, IF(Combinadas!$C387="waste",Combinadas!$J387/25,
"NA"))))</f>
        <v>4104.7104710471049</v>
      </c>
      <c r="L387" s="12">
        <f>Combinadas!$J387</f>
        <v>13681</v>
      </c>
      <c r="M387" s="12">
        <f>IF(Table4[[#This Row],[Type]]="waste", Table4[[#This Row],[Q_Tonnes]]/25, Table4[[#This Row],[CO2_Noduplicates]])</f>
        <v>4104.7104710471049</v>
      </c>
    </row>
    <row r="388" spans="1:13" x14ac:dyDescent="0.25">
      <c r="A388" s="12" t="s">
        <v>18</v>
      </c>
      <c r="B388" s="12" t="s">
        <v>18</v>
      </c>
      <c r="C388" s="12" t="s">
        <v>130</v>
      </c>
      <c r="D388" s="13">
        <v>44897</v>
      </c>
      <c r="E388" s="13">
        <v>44957</v>
      </c>
      <c r="F388" s="14">
        <v>309</v>
      </c>
      <c r="G388" s="15" t="s">
        <v>133</v>
      </c>
      <c r="H388" s="14">
        <v>92.709270927092703</v>
      </c>
      <c r="I388" s="12" t="str">
        <f t="shared" si="22"/>
        <v>Dcycle SpA ItalyDcycle SpA Italywater4489744957</v>
      </c>
      <c r="J388" s="12">
        <f t="shared" si="21"/>
        <v>309</v>
      </c>
      <c r="K388" s="12">
        <f>IF(Combinadas!$C388="electricity", Combinadas!$J388/6.6667,
IF(Combinadas!$C388="water", Combinadas!$J388/3.333,
IF(Combinadas!$C388="heat", Combinadas!$J388/0.8333, IF(Combinadas!$C388="waste",Combinadas!$J388/25,
"NA"))))</f>
        <v>92.709270927092703</v>
      </c>
      <c r="L388" s="12">
        <f>Combinadas!$J388</f>
        <v>309</v>
      </c>
      <c r="M388" s="12">
        <f>IF(Table4[[#This Row],[Type]]="waste", Table4[[#This Row],[Q_Tonnes]]/25, Table4[[#This Row],[CO2_Noduplicates]])</f>
        <v>92.709270927092703</v>
      </c>
    </row>
    <row r="389" spans="1:13" x14ac:dyDescent="0.25">
      <c r="A389" s="16" t="s">
        <v>18</v>
      </c>
      <c r="B389" s="16" t="s">
        <v>18</v>
      </c>
      <c r="C389" s="16" t="s">
        <v>130</v>
      </c>
      <c r="D389" s="17">
        <v>44909</v>
      </c>
      <c r="E389" s="17">
        <v>45005</v>
      </c>
      <c r="F389" s="18">
        <v>0</v>
      </c>
      <c r="G389" s="19" t="s">
        <v>133</v>
      </c>
      <c r="H389" s="18">
        <v>0</v>
      </c>
      <c r="I389" s="12" t="str">
        <f t="shared" si="22"/>
        <v>Dcycle SpA ItalyDcycle SpA Italywater4490945005</v>
      </c>
      <c r="J389" s="12">
        <f t="shared" si="21"/>
        <v>0</v>
      </c>
      <c r="K389" s="12">
        <f>IF(Combinadas!$C389="electricity", Combinadas!$J389/6.6667,
IF(Combinadas!$C389="water", Combinadas!$J389/3.333,
IF(Combinadas!$C389="heat", Combinadas!$J389/0.8333, IF(Combinadas!$C389="waste",Combinadas!$J389/25,
"NA"))))</f>
        <v>0</v>
      </c>
      <c r="L389" s="12">
        <f>Combinadas!$J389</f>
        <v>0</v>
      </c>
      <c r="M389" s="12">
        <f>IF(Table4[[#This Row],[Type]]="waste", Table4[[#This Row],[Q_Tonnes]]/25, Table4[[#This Row],[CO2_Noduplicates]])</f>
        <v>0</v>
      </c>
    </row>
    <row r="390" spans="1:13" x14ac:dyDescent="0.25">
      <c r="A390" s="12" t="s">
        <v>18</v>
      </c>
      <c r="B390" s="12" t="s">
        <v>18</v>
      </c>
      <c r="C390" s="12" t="s">
        <v>130</v>
      </c>
      <c r="D390" s="13">
        <v>44927</v>
      </c>
      <c r="E390" s="13">
        <v>44957</v>
      </c>
      <c r="F390" s="14">
        <v>68</v>
      </c>
      <c r="G390" s="15" t="s">
        <v>133</v>
      </c>
      <c r="H390" s="14">
        <v>20.402040204020402</v>
      </c>
      <c r="I390" s="12" t="str">
        <f t="shared" si="22"/>
        <v>Dcycle SpA ItalyDcycle SpA Italywater4492744957</v>
      </c>
      <c r="J390" s="12">
        <f t="shared" si="21"/>
        <v>0</v>
      </c>
      <c r="K390" s="12">
        <f>IF(Combinadas!$C390="electricity", Combinadas!$J390/6.6667,
IF(Combinadas!$C390="water", Combinadas!$J390/3.333,
IF(Combinadas!$C390="heat", Combinadas!$J390/0.8333, IF(Combinadas!$C390="waste",Combinadas!$J390/25,
"NA"))))</f>
        <v>0</v>
      </c>
      <c r="L390" s="12">
        <f>Combinadas!$J390</f>
        <v>0</v>
      </c>
      <c r="M390" s="12">
        <f>IF(Table4[[#This Row],[Type]]="waste", Table4[[#This Row],[Q_Tonnes]]/25, Table4[[#This Row],[CO2_Noduplicates]])</f>
        <v>0</v>
      </c>
    </row>
    <row r="391" spans="1:13" x14ac:dyDescent="0.25">
      <c r="A391" s="16" t="s">
        <v>18</v>
      </c>
      <c r="B391" s="16" t="s">
        <v>18</v>
      </c>
      <c r="C391" s="16" t="s">
        <v>130</v>
      </c>
      <c r="D391" s="17">
        <v>44958</v>
      </c>
      <c r="E391" s="17">
        <v>45021</v>
      </c>
      <c r="F391" s="18">
        <v>0</v>
      </c>
      <c r="G391" s="19" t="s">
        <v>133</v>
      </c>
      <c r="H391" s="18">
        <v>0</v>
      </c>
      <c r="I391" s="12" t="str">
        <f t="shared" si="22"/>
        <v>Dcycle SpA ItalyDcycle SpA Italywater4495845021</v>
      </c>
      <c r="J391" s="12">
        <f t="shared" si="21"/>
        <v>0</v>
      </c>
      <c r="K391" s="12">
        <f>IF(Combinadas!$C391="electricity", Combinadas!$J391/6.6667,
IF(Combinadas!$C391="water", Combinadas!$J391/3.333,
IF(Combinadas!$C391="heat", Combinadas!$J391/0.8333, IF(Combinadas!$C391="waste",Combinadas!$J391/25,
"NA"))))</f>
        <v>0</v>
      </c>
      <c r="L391" s="12">
        <f>Combinadas!$J391</f>
        <v>0</v>
      </c>
      <c r="M391" s="12">
        <f>IF(Table4[[#This Row],[Type]]="waste", Table4[[#This Row],[Q_Tonnes]]/25, Table4[[#This Row],[CO2_Noduplicates]])</f>
        <v>0</v>
      </c>
    </row>
    <row r="392" spans="1:13" x14ac:dyDescent="0.25">
      <c r="A392" s="12" t="s">
        <v>18</v>
      </c>
      <c r="B392" s="12" t="s">
        <v>18</v>
      </c>
      <c r="C392" s="12" t="s">
        <v>130</v>
      </c>
      <c r="D392" s="13">
        <v>44959</v>
      </c>
      <c r="E392" s="13">
        <v>45022</v>
      </c>
      <c r="F392" s="14">
        <v>264</v>
      </c>
      <c r="G392" s="15" t="s">
        <v>133</v>
      </c>
      <c r="H392" s="14">
        <v>79.207920792079207</v>
      </c>
      <c r="I392" s="12" t="str">
        <f t="shared" si="22"/>
        <v>Dcycle SpA ItalyDcycle SpA Italywater4495945022</v>
      </c>
      <c r="J392" s="12">
        <f t="shared" si="21"/>
        <v>264</v>
      </c>
      <c r="K392" s="12">
        <f>IF(Combinadas!$C392="electricity", Combinadas!$J392/6.6667,
IF(Combinadas!$C392="water", Combinadas!$J392/3.333,
IF(Combinadas!$C392="heat", Combinadas!$J392/0.8333, IF(Combinadas!$C392="waste",Combinadas!$J392/25,
"NA"))))</f>
        <v>79.207920792079207</v>
      </c>
      <c r="L392" s="12">
        <f>Combinadas!$J392</f>
        <v>264</v>
      </c>
      <c r="M392" s="12">
        <f>IF(Table4[[#This Row],[Type]]="waste", Table4[[#This Row],[Q_Tonnes]]/25, Table4[[#This Row],[CO2_Noduplicates]])</f>
        <v>79.207920792079207</v>
      </c>
    </row>
    <row r="393" spans="1:13" x14ac:dyDescent="0.25">
      <c r="A393" s="16" t="s">
        <v>18</v>
      </c>
      <c r="B393" s="16" t="s">
        <v>18</v>
      </c>
      <c r="C393" s="16" t="s">
        <v>130</v>
      </c>
      <c r="D393" s="17">
        <v>45006</v>
      </c>
      <c r="E393" s="17">
        <v>45082</v>
      </c>
      <c r="F393" s="18">
        <v>79</v>
      </c>
      <c r="G393" s="19" t="s">
        <v>133</v>
      </c>
      <c r="H393" s="18">
        <v>23.7023702370237</v>
      </c>
      <c r="I393" s="12" t="str">
        <f t="shared" si="22"/>
        <v>Dcycle SpA ItalyDcycle SpA Italywater4500645082</v>
      </c>
      <c r="J393" s="12">
        <f t="shared" si="21"/>
        <v>79</v>
      </c>
      <c r="K393" s="12">
        <f>IF(Combinadas!$C393="electricity", Combinadas!$J393/6.6667,
IF(Combinadas!$C393="water", Combinadas!$J393/3.333,
IF(Combinadas!$C393="heat", Combinadas!$J393/0.8333, IF(Combinadas!$C393="waste",Combinadas!$J393/25,
"NA"))))</f>
        <v>23.7023702370237</v>
      </c>
      <c r="L393" s="12">
        <f>Combinadas!$J393</f>
        <v>79</v>
      </c>
      <c r="M393" s="12">
        <f>IF(Table4[[#This Row],[Type]]="waste", Table4[[#This Row],[Q_Tonnes]]/25, Table4[[#This Row],[CO2_Noduplicates]])</f>
        <v>23.7023702370237</v>
      </c>
    </row>
    <row r="394" spans="1:13" x14ac:dyDescent="0.25">
      <c r="A394" s="12" t="s">
        <v>18</v>
      </c>
      <c r="B394" s="12" t="s">
        <v>18</v>
      </c>
      <c r="C394" s="12" t="s">
        <v>130</v>
      </c>
      <c r="D394" s="13">
        <v>45022</v>
      </c>
      <c r="E394" s="13">
        <v>45077</v>
      </c>
      <c r="F394" s="14">
        <v>255</v>
      </c>
      <c r="G394" s="15" t="s">
        <v>133</v>
      </c>
      <c r="H394" s="14">
        <v>76.507650765076505</v>
      </c>
      <c r="I394" s="12" t="str">
        <f t="shared" si="22"/>
        <v>Dcycle SpA ItalyDcycle SpA Italywater4502245077</v>
      </c>
      <c r="J394" s="12">
        <f t="shared" si="21"/>
        <v>255</v>
      </c>
      <c r="K394" s="12">
        <f>IF(Combinadas!$C394="electricity", Combinadas!$J394/6.6667,
IF(Combinadas!$C394="water", Combinadas!$J394/3.333,
IF(Combinadas!$C394="heat", Combinadas!$J394/0.8333, IF(Combinadas!$C394="waste",Combinadas!$J394/25,
"NA"))))</f>
        <v>76.507650765076505</v>
      </c>
      <c r="L394" s="12">
        <f>Combinadas!$J394</f>
        <v>255</v>
      </c>
      <c r="M394" s="12">
        <f>IF(Table4[[#This Row],[Type]]="waste", Table4[[#This Row],[Q_Tonnes]]/25, Table4[[#This Row],[CO2_Noduplicates]])</f>
        <v>76.507650765076505</v>
      </c>
    </row>
    <row r="395" spans="1:13" x14ac:dyDescent="0.25">
      <c r="A395" s="16" t="s">
        <v>18</v>
      </c>
      <c r="B395" s="16" t="s">
        <v>18</v>
      </c>
      <c r="C395" s="16" t="s">
        <v>130</v>
      </c>
      <c r="D395" s="17">
        <v>45023</v>
      </c>
      <c r="E395" s="17">
        <v>45082</v>
      </c>
      <c r="F395" s="18">
        <v>59</v>
      </c>
      <c r="G395" s="19" t="s">
        <v>133</v>
      </c>
      <c r="H395" s="18">
        <v>17.7017701770177</v>
      </c>
      <c r="I395" s="12" t="str">
        <f t="shared" si="22"/>
        <v>Dcycle SpA ItalyDcycle SpA Italywater4502345082</v>
      </c>
      <c r="J395" s="12">
        <f t="shared" si="21"/>
        <v>59</v>
      </c>
      <c r="K395" s="12">
        <f>IF(Combinadas!$C395="electricity", Combinadas!$J395/6.6667,
IF(Combinadas!$C395="water", Combinadas!$J395/3.333,
IF(Combinadas!$C395="heat", Combinadas!$J395/0.8333, IF(Combinadas!$C395="waste",Combinadas!$J395/25,
"NA"))))</f>
        <v>17.7017701770177</v>
      </c>
      <c r="L395" s="12">
        <f>Combinadas!$J395</f>
        <v>59</v>
      </c>
      <c r="M395" s="12">
        <f>IF(Table4[[#This Row],[Type]]="waste", Table4[[#This Row],[Q_Tonnes]]/25, Table4[[#This Row],[CO2_Noduplicates]])</f>
        <v>17.7017701770177</v>
      </c>
    </row>
    <row r="396" spans="1:13" x14ac:dyDescent="0.25">
      <c r="A396" s="12" t="s">
        <v>18</v>
      </c>
      <c r="B396" s="12" t="s">
        <v>18</v>
      </c>
      <c r="C396" s="12" t="s">
        <v>130</v>
      </c>
      <c r="D396" s="13">
        <v>45078</v>
      </c>
      <c r="E396" s="13">
        <v>45146</v>
      </c>
      <c r="F396" s="14">
        <v>0</v>
      </c>
      <c r="G396" s="15" t="s">
        <v>133</v>
      </c>
      <c r="H396" s="14">
        <v>0</v>
      </c>
      <c r="I396" s="12" t="str">
        <f t="shared" si="22"/>
        <v>Dcycle SpA ItalyDcycle SpA Italywater4507845146</v>
      </c>
      <c r="J396" s="12">
        <f t="shared" si="21"/>
        <v>0</v>
      </c>
      <c r="K396" s="12">
        <f>IF(Combinadas!$C396="electricity", Combinadas!$J396/6.6667,
IF(Combinadas!$C396="water", Combinadas!$J396/3.333,
IF(Combinadas!$C396="heat", Combinadas!$J396/0.8333, IF(Combinadas!$C396="waste",Combinadas!$J396/25,
"NA"))))</f>
        <v>0</v>
      </c>
      <c r="L396" s="12">
        <f>Combinadas!$J396</f>
        <v>0</v>
      </c>
      <c r="M396" s="12">
        <f>IF(Table4[[#This Row],[Type]]="waste", Table4[[#This Row],[Q_Tonnes]]/25, Table4[[#This Row],[CO2_Noduplicates]])</f>
        <v>0</v>
      </c>
    </row>
    <row r="397" spans="1:13" x14ac:dyDescent="0.25">
      <c r="A397" s="16" t="s">
        <v>18</v>
      </c>
      <c r="B397" s="16" t="s">
        <v>18</v>
      </c>
      <c r="C397" s="16" t="s">
        <v>130</v>
      </c>
      <c r="D397" s="17">
        <v>45083</v>
      </c>
      <c r="E397" s="17">
        <v>45148</v>
      </c>
      <c r="F397" s="18">
        <v>356</v>
      </c>
      <c r="G397" s="19" t="s">
        <v>133</v>
      </c>
      <c r="H397" s="18">
        <v>106.8106810681068</v>
      </c>
      <c r="I397" s="12" t="str">
        <f t="shared" si="22"/>
        <v>Dcycle SpA ItalyDcycle SpA Italywater4508345148</v>
      </c>
      <c r="J397" s="12">
        <f t="shared" si="21"/>
        <v>356</v>
      </c>
      <c r="K397" s="12">
        <f>IF(Combinadas!$C397="electricity", Combinadas!$J397/6.6667,
IF(Combinadas!$C397="water", Combinadas!$J397/3.333,
IF(Combinadas!$C397="heat", Combinadas!$J397/0.8333, IF(Combinadas!$C397="waste",Combinadas!$J397/25,
"NA"))))</f>
        <v>106.8106810681068</v>
      </c>
      <c r="L397" s="12">
        <f>Combinadas!$J397</f>
        <v>356</v>
      </c>
      <c r="M397" s="12">
        <f>IF(Table4[[#This Row],[Type]]="waste", Table4[[#This Row],[Q_Tonnes]]/25, Table4[[#This Row],[CO2_Noduplicates]])</f>
        <v>106.8106810681068</v>
      </c>
    </row>
    <row r="398" spans="1:13" x14ac:dyDescent="0.25">
      <c r="A398" s="12" t="s">
        <v>18</v>
      </c>
      <c r="B398" s="12" t="s">
        <v>18</v>
      </c>
      <c r="C398" s="12" t="s">
        <v>130</v>
      </c>
      <c r="D398" s="13">
        <v>45147</v>
      </c>
      <c r="E398" s="13">
        <v>45203</v>
      </c>
      <c r="F398" s="14">
        <v>260</v>
      </c>
      <c r="G398" s="15" t="s">
        <v>133</v>
      </c>
      <c r="H398" s="14">
        <v>78.007800780078</v>
      </c>
      <c r="I398" s="12" t="str">
        <f t="shared" si="22"/>
        <v>Dcycle SpA ItalyDcycle SpA Italywater4514745203</v>
      </c>
      <c r="J398" s="12">
        <f t="shared" ref="J398:J429" si="23">IF(F398=_xlfn.MAXIFS(F:F, I:I, I398), F398, 0)</f>
        <v>260</v>
      </c>
      <c r="K398" s="12">
        <f>IF(Combinadas!$C398="electricity", Combinadas!$J398/6.6667,
IF(Combinadas!$C398="water", Combinadas!$J398/3.333,
IF(Combinadas!$C398="heat", Combinadas!$J398/0.8333, IF(Combinadas!$C398="waste",Combinadas!$J398/25,
"NA"))))</f>
        <v>78.007800780078</v>
      </c>
      <c r="L398" s="12">
        <f>Combinadas!$J398</f>
        <v>260</v>
      </c>
      <c r="M398" s="12">
        <f>IF(Table4[[#This Row],[Type]]="waste", Table4[[#This Row],[Q_Tonnes]]/25, Table4[[#This Row],[CO2_Noduplicates]])</f>
        <v>78.007800780078</v>
      </c>
    </row>
    <row r="399" spans="1:13" x14ac:dyDescent="0.25">
      <c r="A399" s="16" t="s">
        <v>18</v>
      </c>
      <c r="B399" s="16" t="s">
        <v>18</v>
      </c>
      <c r="C399" s="16" t="s">
        <v>130</v>
      </c>
      <c r="D399" s="17">
        <v>45149</v>
      </c>
      <c r="E399" s="17">
        <v>45204</v>
      </c>
      <c r="F399" s="18">
        <v>89</v>
      </c>
      <c r="G399" s="19" t="s">
        <v>133</v>
      </c>
      <c r="H399" s="18">
        <v>26.702670267026701</v>
      </c>
      <c r="I399" s="12" t="str">
        <f t="shared" si="22"/>
        <v>Dcycle SpA ItalyDcycle SpA Italywater4514945204</v>
      </c>
      <c r="J399" s="12">
        <f t="shared" si="23"/>
        <v>89</v>
      </c>
      <c r="K399" s="12">
        <f>IF(Combinadas!$C399="electricity", Combinadas!$J399/6.6667,
IF(Combinadas!$C399="water", Combinadas!$J399/3.333,
IF(Combinadas!$C399="heat", Combinadas!$J399/0.8333, IF(Combinadas!$C399="waste",Combinadas!$J399/25,
"NA"))))</f>
        <v>26.702670267026701</v>
      </c>
      <c r="L399" s="12">
        <f>Combinadas!$J399</f>
        <v>89</v>
      </c>
      <c r="M399" s="12">
        <f>IF(Table4[[#This Row],[Type]]="waste", Table4[[#This Row],[Q_Tonnes]]/25, Table4[[#This Row],[CO2_Noduplicates]])</f>
        <v>26.702670267026701</v>
      </c>
    </row>
    <row r="400" spans="1:13" x14ac:dyDescent="0.25">
      <c r="A400" s="12" t="s">
        <v>18</v>
      </c>
      <c r="B400" s="12" t="s">
        <v>18</v>
      </c>
      <c r="C400" s="12" t="s">
        <v>130</v>
      </c>
      <c r="D400" s="13">
        <v>45205</v>
      </c>
      <c r="E400" s="13">
        <v>45278</v>
      </c>
      <c r="F400" s="14">
        <v>199</v>
      </c>
      <c r="G400" s="15" t="s">
        <v>133</v>
      </c>
      <c r="H400" s="14">
        <v>59.705970597059704</v>
      </c>
      <c r="I400" s="12" t="str">
        <f t="shared" si="22"/>
        <v>Dcycle SpA ItalyDcycle SpA Italywater4520545278</v>
      </c>
      <c r="J400" s="12">
        <f t="shared" si="23"/>
        <v>199</v>
      </c>
      <c r="K400" s="12">
        <f>IF(Combinadas!$C400="electricity", Combinadas!$J400/6.6667,
IF(Combinadas!$C400="water", Combinadas!$J400/3.333,
IF(Combinadas!$C400="heat", Combinadas!$J400/0.8333, IF(Combinadas!$C400="waste",Combinadas!$J400/25,
"NA"))))</f>
        <v>59.705970597059704</v>
      </c>
      <c r="L400" s="12">
        <f>Combinadas!$J400</f>
        <v>199</v>
      </c>
      <c r="M400" s="12">
        <f>IF(Table4[[#This Row],[Type]]="waste", Table4[[#This Row],[Q_Tonnes]]/25, Table4[[#This Row],[CO2_Noduplicates]])</f>
        <v>59.705970597059704</v>
      </c>
    </row>
    <row r="401" spans="1:13" x14ac:dyDescent="0.25">
      <c r="A401" s="16" t="s">
        <v>19</v>
      </c>
      <c r="B401" s="16" t="s">
        <v>19</v>
      </c>
      <c r="C401" s="16" t="s">
        <v>128</v>
      </c>
      <c r="D401" s="17">
        <v>44927</v>
      </c>
      <c r="E401" s="17">
        <v>44957</v>
      </c>
      <c r="F401" s="18">
        <v>3011</v>
      </c>
      <c r="G401" s="19" t="s">
        <v>129</v>
      </c>
      <c r="H401" s="18">
        <v>451.64774176129123</v>
      </c>
      <c r="I401" s="12" t="str">
        <f t="shared" si="22"/>
        <v>Dcycle SIADcycle SIAelectricity4492744957</v>
      </c>
      <c r="J401" s="12">
        <f t="shared" si="23"/>
        <v>3011</v>
      </c>
      <c r="K401" s="12">
        <f>IF(Combinadas!$C401="electricity", Combinadas!$J401/6.6667,
IF(Combinadas!$C401="water", Combinadas!$J401/3.333,
IF(Combinadas!$C401="heat", Combinadas!$J401/0.8333, IF(Combinadas!$C401="waste",Combinadas!$J401/25,
"NA"))))</f>
        <v>451.64774176129123</v>
      </c>
      <c r="L401" s="12">
        <f>Combinadas!$J401</f>
        <v>3011</v>
      </c>
      <c r="M401" s="12">
        <f>IF(Table4[[#This Row],[Type]]="waste", Table4[[#This Row],[Q_Tonnes]]/25, Table4[[#This Row],[CO2_Noduplicates]])</f>
        <v>451.64774176129123</v>
      </c>
    </row>
    <row r="402" spans="1:13" x14ac:dyDescent="0.25">
      <c r="A402" s="12" t="s">
        <v>19</v>
      </c>
      <c r="B402" s="12" t="s">
        <v>19</v>
      </c>
      <c r="C402" s="12" t="s">
        <v>128</v>
      </c>
      <c r="D402" s="13">
        <v>44958</v>
      </c>
      <c r="E402" s="13">
        <v>44985</v>
      </c>
      <c r="F402" s="14">
        <v>2706</v>
      </c>
      <c r="G402" s="15" t="s">
        <v>129</v>
      </c>
      <c r="H402" s="14">
        <v>405.89797051014745</v>
      </c>
      <c r="I402" s="12" t="str">
        <f t="shared" si="22"/>
        <v>Dcycle SIADcycle SIAelectricity4495844985</v>
      </c>
      <c r="J402" s="12">
        <f t="shared" si="23"/>
        <v>2706</v>
      </c>
      <c r="K402" s="12">
        <f>IF(Combinadas!$C402="electricity", Combinadas!$J402/6.6667,
IF(Combinadas!$C402="water", Combinadas!$J402/3.333,
IF(Combinadas!$C402="heat", Combinadas!$J402/0.8333, IF(Combinadas!$C402="waste",Combinadas!$J402/25,
"NA"))))</f>
        <v>405.89797051014745</v>
      </c>
      <c r="L402" s="12">
        <f>Combinadas!$J402</f>
        <v>2706</v>
      </c>
      <c r="M402" s="12">
        <f>IF(Table4[[#This Row],[Type]]="waste", Table4[[#This Row],[Q_Tonnes]]/25, Table4[[#This Row],[CO2_Noduplicates]])</f>
        <v>405.89797051014745</v>
      </c>
    </row>
    <row r="403" spans="1:13" x14ac:dyDescent="0.25">
      <c r="A403" s="16" t="s">
        <v>19</v>
      </c>
      <c r="B403" s="16" t="s">
        <v>19</v>
      </c>
      <c r="C403" s="16" t="s">
        <v>128</v>
      </c>
      <c r="D403" s="17">
        <v>44986</v>
      </c>
      <c r="E403" s="17">
        <v>45016</v>
      </c>
      <c r="F403" s="18">
        <v>2549</v>
      </c>
      <c r="G403" s="19" t="s">
        <v>129</v>
      </c>
      <c r="H403" s="18">
        <v>382.34808825955872</v>
      </c>
      <c r="I403" s="12" t="str">
        <f t="shared" si="22"/>
        <v>Dcycle SIADcycle SIAelectricity4498645016</v>
      </c>
      <c r="J403" s="12">
        <f t="shared" si="23"/>
        <v>2549</v>
      </c>
      <c r="K403" s="12">
        <f>IF(Combinadas!$C403="electricity", Combinadas!$J403/6.6667,
IF(Combinadas!$C403="water", Combinadas!$J403/3.333,
IF(Combinadas!$C403="heat", Combinadas!$J403/0.8333, IF(Combinadas!$C403="waste",Combinadas!$J403/25,
"NA"))))</f>
        <v>382.34808825955872</v>
      </c>
      <c r="L403" s="12">
        <f>Combinadas!$J403</f>
        <v>2549</v>
      </c>
      <c r="M403" s="12">
        <f>IF(Table4[[#This Row],[Type]]="waste", Table4[[#This Row],[Q_Tonnes]]/25, Table4[[#This Row],[CO2_Noduplicates]])</f>
        <v>382.34808825955872</v>
      </c>
    </row>
    <row r="404" spans="1:13" x14ac:dyDescent="0.25">
      <c r="A404" s="12" t="s">
        <v>19</v>
      </c>
      <c r="B404" s="12" t="s">
        <v>19</v>
      </c>
      <c r="C404" s="12" t="s">
        <v>128</v>
      </c>
      <c r="D404" s="13">
        <v>45017</v>
      </c>
      <c r="E404" s="13">
        <v>45046</v>
      </c>
      <c r="F404" s="14">
        <v>2418</v>
      </c>
      <c r="G404" s="15" t="s">
        <v>129</v>
      </c>
      <c r="H404" s="14">
        <v>362.69818650906745</v>
      </c>
      <c r="I404" s="12" t="str">
        <f t="shared" si="22"/>
        <v>Dcycle SIADcycle SIAelectricity4501745046</v>
      </c>
      <c r="J404" s="12">
        <f t="shared" si="23"/>
        <v>2418</v>
      </c>
      <c r="K404" s="12">
        <f>IF(Combinadas!$C404="electricity", Combinadas!$J404/6.6667,
IF(Combinadas!$C404="water", Combinadas!$J404/3.333,
IF(Combinadas!$C404="heat", Combinadas!$J404/0.8333, IF(Combinadas!$C404="waste",Combinadas!$J404/25,
"NA"))))</f>
        <v>362.69818650906745</v>
      </c>
      <c r="L404" s="12">
        <f>Combinadas!$J404</f>
        <v>2418</v>
      </c>
      <c r="M404" s="12">
        <f>IF(Table4[[#This Row],[Type]]="waste", Table4[[#This Row],[Q_Tonnes]]/25, Table4[[#This Row],[CO2_Noduplicates]])</f>
        <v>362.69818650906745</v>
      </c>
    </row>
    <row r="405" spans="1:13" x14ac:dyDescent="0.25">
      <c r="A405" s="16" t="s">
        <v>19</v>
      </c>
      <c r="B405" s="16" t="s">
        <v>19</v>
      </c>
      <c r="C405" s="16" t="s">
        <v>128</v>
      </c>
      <c r="D405" s="17">
        <v>45047</v>
      </c>
      <c r="E405" s="17">
        <v>45077</v>
      </c>
      <c r="F405" s="18">
        <v>2569</v>
      </c>
      <c r="G405" s="19" t="s">
        <v>129</v>
      </c>
      <c r="H405" s="18">
        <v>385.34807325963374</v>
      </c>
      <c r="I405" s="12" t="str">
        <f t="shared" si="22"/>
        <v>Dcycle SIADcycle SIAelectricity4504745077</v>
      </c>
      <c r="J405" s="12">
        <f t="shared" si="23"/>
        <v>2569</v>
      </c>
      <c r="K405" s="12">
        <f>IF(Combinadas!$C405="electricity", Combinadas!$J405/6.6667,
IF(Combinadas!$C405="water", Combinadas!$J405/3.333,
IF(Combinadas!$C405="heat", Combinadas!$J405/0.8333, IF(Combinadas!$C405="waste",Combinadas!$J405/25,
"NA"))))</f>
        <v>385.34807325963374</v>
      </c>
      <c r="L405" s="12">
        <f>Combinadas!$J405</f>
        <v>2569</v>
      </c>
      <c r="M405" s="12">
        <f>IF(Table4[[#This Row],[Type]]="waste", Table4[[#This Row],[Q_Tonnes]]/25, Table4[[#This Row],[CO2_Noduplicates]])</f>
        <v>385.34807325963374</v>
      </c>
    </row>
    <row r="406" spans="1:13" x14ac:dyDescent="0.25">
      <c r="A406" s="12" t="s">
        <v>19</v>
      </c>
      <c r="B406" s="12" t="s">
        <v>19</v>
      </c>
      <c r="C406" s="12" t="s">
        <v>128</v>
      </c>
      <c r="D406" s="13">
        <v>45078</v>
      </c>
      <c r="E406" s="13">
        <v>45107</v>
      </c>
      <c r="F406" s="14">
        <v>3006</v>
      </c>
      <c r="G406" s="15" t="s">
        <v>129</v>
      </c>
      <c r="H406" s="14">
        <v>450.89774551127249</v>
      </c>
      <c r="I406" s="12" t="str">
        <f t="shared" si="22"/>
        <v>Dcycle SIADcycle SIAelectricity4507845107</v>
      </c>
      <c r="J406" s="12">
        <f t="shared" si="23"/>
        <v>3006</v>
      </c>
      <c r="K406" s="12">
        <f>IF(Combinadas!$C406="electricity", Combinadas!$J406/6.6667,
IF(Combinadas!$C406="water", Combinadas!$J406/3.333,
IF(Combinadas!$C406="heat", Combinadas!$J406/0.8333, IF(Combinadas!$C406="waste",Combinadas!$J406/25,
"NA"))))</f>
        <v>450.89774551127249</v>
      </c>
      <c r="L406" s="12">
        <f>Combinadas!$J406</f>
        <v>3006</v>
      </c>
      <c r="M406" s="12">
        <f>IF(Table4[[#This Row],[Type]]="waste", Table4[[#This Row],[Q_Tonnes]]/25, Table4[[#This Row],[CO2_Noduplicates]])</f>
        <v>450.89774551127249</v>
      </c>
    </row>
    <row r="407" spans="1:13" x14ac:dyDescent="0.25">
      <c r="A407" s="16" t="s">
        <v>19</v>
      </c>
      <c r="B407" s="16" t="s">
        <v>19</v>
      </c>
      <c r="C407" s="16" t="s">
        <v>128</v>
      </c>
      <c r="D407" s="17">
        <v>45108</v>
      </c>
      <c r="E407" s="17">
        <v>45138</v>
      </c>
      <c r="F407" s="18">
        <v>2882</v>
      </c>
      <c r="G407" s="19" t="s">
        <v>129</v>
      </c>
      <c r="H407" s="18">
        <v>432.29783851080748</v>
      </c>
      <c r="I407" s="12" t="str">
        <f t="shared" si="22"/>
        <v>Dcycle SIADcycle SIAelectricity4510845138</v>
      </c>
      <c r="J407" s="12">
        <f t="shared" si="23"/>
        <v>2882</v>
      </c>
      <c r="K407" s="12">
        <f>IF(Combinadas!$C407="electricity", Combinadas!$J407/6.6667,
IF(Combinadas!$C407="water", Combinadas!$J407/3.333,
IF(Combinadas!$C407="heat", Combinadas!$J407/0.8333, IF(Combinadas!$C407="waste",Combinadas!$J407/25,
"NA"))))</f>
        <v>432.29783851080748</v>
      </c>
      <c r="L407" s="12">
        <f>Combinadas!$J407</f>
        <v>2882</v>
      </c>
      <c r="M407" s="12">
        <f>IF(Table4[[#This Row],[Type]]="waste", Table4[[#This Row],[Q_Tonnes]]/25, Table4[[#This Row],[CO2_Noduplicates]])</f>
        <v>432.29783851080748</v>
      </c>
    </row>
    <row r="408" spans="1:13" x14ac:dyDescent="0.25">
      <c r="A408" s="12" t="s">
        <v>19</v>
      </c>
      <c r="B408" s="12" t="s">
        <v>19</v>
      </c>
      <c r="C408" s="12" t="s">
        <v>128</v>
      </c>
      <c r="D408" s="13">
        <v>45139</v>
      </c>
      <c r="E408" s="13">
        <v>45169</v>
      </c>
      <c r="F408" s="14">
        <v>3111</v>
      </c>
      <c r="G408" s="15" t="s">
        <v>129</v>
      </c>
      <c r="H408" s="14">
        <v>466.64766676166624</v>
      </c>
      <c r="I408" s="12" t="str">
        <f t="shared" si="22"/>
        <v>Dcycle SIADcycle SIAelectricity4513945169</v>
      </c>
      <c r="J408" s="12">
        <f t="shared" si="23"/>
        <v>3111</v>
      </c>
      <c r="K408" s="12">
        <f>IF(Combinadas!$C408="electricity", Combinadas!$J408/6.6667,
IF(Combinadas!$C408="water", Combinadas!$J408/3.333,
IF(Combinadas!$C408="heat", Combinadas!$J408/0.8333, IF(Combinadas!$C408="waste",Combinadas!$J408/25,
"NA"))))</f>
        <v>466.64766676166624</v>
      </c>
      <c r="L408" s="12">
        <f>Combinadas!$J408</f>
        <v>3111</v>
      </c>
      <c r="M408" s="12">
        <f>IF(Table4[[#This Row],[Type]]="waste", Table4[[#This Row],[Q_Tonnes]]/25, Table4[[#This Row],[CO2_Noduplicates]])</f>
        <v>466.64766676166624</v>
      </c>
    </row>
    <row r="409" spans="1:13" x14ac:dyDescent="0.25">
      <c r="A409" s="16" t="s">
        <v>19</v>
      </c>
      <c r="B409" s="16" t="s">
        <v>19</v>
      </c>
      <c r="C409" s="16" t="s">
        <v>128</v>
      </c>
      <c r="D409" s="17">
        <v>45170</v>
      </c>
      <c r="E409" s="17">
        <v>45199</v>
      </c>
      <c r="F409" s="18">
        <v>2983</v>
      </c>
      <c r="G409" s="19" t="s">
        <v>129</v>
      </c>
      <c r="H409" s="18">
        <v>447.4477627611862</v>
      </c>
      <c r="I409" s="12" t="str">
        <f t="shared" si="22"/>
        <v>Dcycle SIADcycle SIAelectricity4517045199</v>
      </c>
      <c r="J409" s="12">
        <f t="shared" si="23"/>
        <v>2983</v>
      </c>
      <c r="K409" s="12">
        <f>IF(Combinadas!$C409="electricity", Combinadas!$J409/6.6667,
IF(Combinadas!$C409="water", Combinadas!$J409/3.333,
IF(Combinadas!$C409="heat", Combinadas!$J409/0.8333, IF(Combinadas!$C409="waste",Combinadas!$J409/25,
"NA"))))</f>
        <v>447.4477627611862</v>
      </c>
      <c r="L409" s="12">
        <f>Combinadas!$J409</f>
        <v>2983</v>
      </c>
      <c r="M409" s="12">
        <f>IF(Table4[[#This Row],[Type]]="waste", Table4[[#This Row],[Q_Tonnes]]/25, Table4[[#This Row],[CO2_Noduplicates]])</f>
        <v>447.4477627611862</v>
      </c>
    </row>
    <row r="410" spans="1:13" x14ac:dyDescent="0.25">
      <c r="A410" s="12" t="s">
        <v>19</v>
      </c>
      <c r="B410" s="12" t="s">
        <v>19</v>
      </c>
      <c r="C410" s="12" t="s">
        <v>128</v>
      </c>
      <c r="D410" s="13">
        <v>45200</v>
      </c>
      <c r="E410" s="13">
        <v>45230</v>
      </c>
      <c r="F410" s="14">
        <v>3500</v>
      </c>
      <c r="G410" s="15" t="s">
        <v>129</v>
      </c>
      <c r="H410" s="14">
        <v>524.99737501312495</v>
      </c>
      <c r="I410" s="12" t="str">
        <f t="shared" si="22"/>
        <v>Dcycle SIADcycle SIAelectricity4520045230</v>
      </c>
      <c r="J410" s="12">
        <f t="shared" si="23"/>
        <v>3500</v>
      </c>
      <c r="K410" s="12">
        <f>IF(Combinadas!$C410="electricity", Combinadas!$J410/6.6667,
IF(Combinadas!$C410="water", Combinadas!$J410/3.333,
IF(Combinadas!$C410="heat", Combinadas!$J410/0.8333, IF(Combinadas!$C410="waste",Combinadas!$J410/25,
"NA"))))</f>
        <v>524.99737501312495</v>
      </c>
      <c r="L410" s="12">
        <f>Combinadas!$J410</f>
        <v>3500</v>
      </c>
      <c r="M410" s="12">
        <f>IF(Table4[[#This Row],[Type]]="waste", Table4[[#This Row],[Q_Tonnes]]/25, Table4[[#This Row],[CO2_Noduplicates]])</f>
        <v>524.99737501312495</v>
      </c>
    </row>
    <row r="411" spans="1:13" x14ac:dyDescent="0.25">
      <c r="A411" s="16" t="s">
        <v>19</v>
      </c>
      <c r="B411" s="16" t="s">
        <v>19</v>
      </c>
      <c r="C411" s="16" t="s">
        <v>128</v>
      </c>
      <c r="D411" s="17">
        <v>45231</v>
      </c>
      <c r="E411" s="17">
        <v>45260</v>
      </c>
      <c r="F411" s="18">
        <v>3100</v>
      </c>
      <c r="G411" s="19" t="s">
        <v>129</v>
      </c>
      <c r="H411" s="18">
        <v>464.99767501162495</v>
      </c>
      <c r="I411" s="12" t="str">
        <f t="shared" si="22"/>
        <v>Dcycle SIADcycle SIAelectricity4523145260</v>
      </c>
      <c r="J411" s="12">
        <f t="shared" si="23"/>
        <v>3100</v>
      </c>
      <c r="K411" s="12">
        <f>IF(Combinadas!$C411="electricity", Combinadas!$J411/6.6667,
IF(Combinadas!$C411="water", Combinadas!$J411/3.333,
IF(Combinadas!$C411="heat", Combinadas!$J411/0.8333, IF(Combinadas!$C411="waste",Combinadas!$J411/25,
"NA"))))</f>
        <v>464.99767501162495</v>
      </c>
      <c r="L411" s="12">
        <f>Combinadas!$J411</f>
        <v>3100</v>
      </c>
      <c r="M411" s="12">
        <f>IF(Table4[[#This Row],[Type]]="waste", Table4[[#This Row],[Q_Tonnes]]/25, Table4[[#This Row],[CO2_Noduplicates]])</f>
        <v>464.99767501162495</v>
      </c>
    </row>
    <row r="412" spans="1:13" x14ac:dyDescent="0.25">
      <c r="A412" s="12" t="s">
        <v>19</v>
      </c>
      <c r="B412" s="12" t="s">
        <v>19</v>
      </c>
      <c r="C412" s="12" t="s">
        <v>128</v>
      </c>
      <c r="D412" s="13">
        <v>45261</v>
      </c>
      <c r="E412" s="13">
        <v>45291</v>
      </c>
      <c r="F412" s="14">
        <v>2929</v>
      </c>
      <c r="G412" s="15" t="s">
        <v>129</v>
      </c>
      <c r="H412" s="14">
        <v>439.34780326098371</v>
      </c>
      <c r="I412" s="12" t="str">
        <f t="shared" si="22"/>
        <v>Dcycle SIADcycle SIAelectricity4526145291</v>
      </c>
      <c r="J412" s="12">
        <f t="shared" si="23"/>
        <v>2929</v>
      </c>
      <c r="K412" s="12">
        <f>IF(Combinadas!$C412="electricity", Combinadas!$J412/6.6667,
IF(Combinadas!$C412="water", Combinadas!$J412/3.333,
IF(Combinadas!$C412="heat", Combinadas!$J412/0.8333, IF(Combinadas!$C412="waste",Combinadas!$J412/25,
"NA"))))</f>
        <v>439.34780326098371</v>
      </c>
      <c r="L412" s="12">
        <f>Combinadas!$J412</f>
        <v>2929</v>
      </c>
      <c r="M412" s="12">
        <f>IF(Table4[[#This Row],[Type]]="waste", Table4[[#This Row],[Q_Tonnes]]/25, Table4[[#This Row],[CO2_Noduplicates]])</f>
        <v>439.34780326098371</v>
      </c>
    </row>
    <row r="413" spans="1:13" x14ac:dyDescent="0.25">
      <c r="A413" s="16" t="s">
        <v>19</v>
      </c>
      <c r="B413" s="16" t="s">
        <v>19</v>
      </c>
      <c r="C413" s="16" t="s">
        <v>140</v>
      </c>
      <c r="D413" s="17">
        <v>44927</v>
      </c>
      <c r="E413" s="17">
        <v>44957</v>
      </c>
      <c r="F413" s="18">
        <v>913.7088</v>
      </c>
      <c r="G413" s="19" t="s">
        <v>211</v>
      </c>
      <c r="H413" s="18">
        <v>2778.6869874636659</v>
      </c>
      <c r="I413" s="12" t="str">
        <f t="shared" si="22"/>
        <v>Dcycle SIADcycle SIAheat4492744957</v>
      </c>
      <c r="J413" s="12">
        <f t="shared" si="23"/>
        <v>913.7088</v>
      </c>
      <c r="K413" s="12">
        <f>IF(Combinadas!$C413="electricity", Combinadas!$J413/6.6667,
IF(Combinadas!$C413="water", Combinadas!$J413/3.333,
IF(Combinadas!$C413="heat", Combinadas!$J413/0.8333, IF(Combinadas!$C413="waste",Combinadas!$J413/25,
"NA"))))</f>
        <v>1096.4944197767911</v>
      </c>
      <c r="L413" s="12">
        <f>Combinadas!$J413</f>
        <v>913.7088</v>
      </c>
      <c r="M413" s="12">
        <f>IF(Table4[[#This Row],[Type]]="waste", Table4[[#This Row],[Q_Tonnes]]/25, Table4[[#This Row],[CO2_Noduplicates]])</f>
        <v>1096.4944197767911</v>
      </c>
    </row>
    <row r="414" spans="1:13" x14ac:dyDescent="0.25">
      <c r="A414" s="12" t="s">
        <v>19</v>
      </c>
      <c r="B414" s="12" t="s">
        <v>19</v>
      </c>
      <c r="C414" s="12" t="s">
        <v>140</v>
      </c>
      <c r="D414" s="13">
        <v>44958</v>
      </c>
      <c r="E414" s="13">
        <v>44985</v>
      </c>
      <c r="F414" s="14">
        <v>939.96480000000008</v>
      </c>
      <c r="G414" s="15" t="s">
        <v>211</v>
      </c>
      <c r="H414" s="14">
        <v>2858.5343146896339</v>
      </c>
      <c r="I414" s="12" t="str">
        <f t="shared" si="22"/>
        <v>Dcycle SIADcycle SIAheat4495844985</v>
      </c>
      <c r="J414" s="12">
        <f t="shared" si="23"/>
        <v>939.96480000000008</v>
      </c>
      <c r="K414" s="12">
        <f>IF(Combinadas!$C414="electricity", Combinadas!$J414/6.6667,
IF(Combinadas!$C414="water", Combinadas!$J414/3.333,
IF(Combinadas!$C414="heat", Combinadas!$J414/0.8333, IF(Combinadas!$C414="waste",Combinadas!$J414/25,
"NA"))))</f>
        <v>1128.0028801152046</v>
      </c>
      <c r="L414" s="12">
        <f>Combinadas!$J414</f>
        <v>939.96480000000008</v>
      </c>
      <c r="M414" s="12">
        <f>IF(Table4[[#This Row],[Type]]="waste", Table4[[#This Row],[Q_Tonnes]]/25, Table4[[#This Row],[CO2_Noduplicates]])</f>
        <v>1128.0028801152046</v>
      </c>
    </row>
    <row r="415" spans="1:13" x14ac:dyDescent="0.25">
      <c r="A415" s="16" t="s">
        <v>19</v>
      </c>
      <c r="B415" s="16" t="s">
        <v>19</v>
      </c>
      <c r="C415" s="16" t="s">
        <v>140</v>
      </c>
      <c r="D415" s="17">
        <v>44986</v>
      </c>
      <c r="E415" s="17">
        <v>45016</v>
      </c>
      <c r="F415" s="18">
        <v>367.584</v>
      </c>
      <c r="G415" s="19" t="s">
        <v>211</v>
      </c>
      <c r="H415" s="18">
        <v>1117.8625811635438</v>
      </c>
      <c r="I415" s="12" t="str">
        <f t="shared" si="22"/>
        <v>Dcycle SIADcycle SIAheat4498645016</v>
      </c>
      <c r="J415" s="12">
        <f t="shared" si="23"/>
        <v>367.584</v>
      </c>
      <c r="K415" s="12">
        <f>IF(Combinadas!$C415="electricity", Combinadas!$J415/6.6667,
IF(Combinadas!$C415="water", Combinadas!$J415/3.333,
IF(Combinadas!$C415="heat", Combinadas!$J415/0.8333, IF(Combinadas!$C415="waste",Combinadas!$J415/25,
"NA"))))</f>
        <v>441.1184447377895</v>
      </c>
      <c r="L415" s="12">
        <f>Combinadas!$J415</f>
        <v>367.584</v>
      </c>
      <c r="M415" s="12">
        <f>IF(Table4[[#This Row],[Type]]="waste", Table4[[#This Row],[Q_Tonnes]]/25, Table4[[#This Row],[CO2_Noduplicates]])</f>
        <v>441.1184447377895</v>
      </c>
    </row>
    <row r="416" spans="1:13" x14ac:dyDescent="0.25">
      <c r="A416" s="12" t="s">
        <v>19</v>
      </c>
      <c r="B416" s="12" t="s">
        <v>19</v>
      </c>
      <c r="C416" s="12" t="s">
        <v>140</v>
      </c>
      <c r="D416" s="13">
        <v>45017</v>
      </c>
      <c r="E416" s="13">
        <v>45046</v>
      </c>
      <c r="F416" s="14">
        <v>173.28960000000001</v>
      </c>
      <c r="G416" s="15" t="s">
        <v>211</v>
      </c>
      <c r="H416" s="14">
        <v>526.99235969138499</v>
      </c>
      <c r="I416" s="12" t="str">
        <f t="shared" si="22"/>
        <v>Dcycle SIADcycle SIAheat4501745046</v>
      </c>
      <c r="J416" s="12">
        <f t="shared" si="23"/>
        <v>173.28960000000001</v>
      </c>
      <c r="K416" s="12">
        <f>IF(Combinadas!$C416="electricity", Combinadas!$J416/6.6667,
IF(Combinadas!$C416="water", Combinadas!$J416/3.333,
IF(Combinadas!$C416="heat", Combinadas!$J416/0.8333, IF(Combinadas!$C416="waste",Combinadas!$J416/25,
"NA"))))</f>
        <v>207.95583823352933</v>
      </c>
      <c r="L416" s="12">
        <f>Combinadas!$J416</f>
        <v>173.28960000000001</v>
      </c>
      <c r="M416" s="12">
        <f>IF(Table4[[#This Row],[Type]]="waste", Table4[[#This Row],[Q_Tonnes]]/25, Table4[[#This Row],[CO2_Noduplicates]])</f>
        <v>207.95583823352933</v>
      </c>
    </row>
    <row r="417" spans="1:13" x14ac:dyDescent="0.25">
      <c r="A417" s="16" t="s">
        <v>19</v>
      </c>
      <c r="B417" s="16" t="s">
        <v>19</v>
      </c>
      <c r="C417" s="16" t="s">
        <v>140</v>
      </c>
      <c r="D417" s="17">
        <v>45047</v>
      </c>
      <c r="E417" s="17">
        <v>45077</v>
      </c>
      <c r="F417" s="18">
        <v>157.536</v>
      </c>
      <c r="G417" s="19" t="s">
        <v>211</v>
      </c>
      <c r="H417" s="18">
        <v>479.08396335580449</v>
      </c>
      <c r="I417" s="12" t="str">
        <f t="shared" si="22"/>
        <v>Dcycle SIADcycle SIAheat4504745077</v>
      </c>
      <c r="J417" s="12">
        <f t="shared" si="23"/>
        <v>157.536</v>
      </c>
      <c r="K417" s="12">
        <f>IF(Combinadas!$C417="electricity", Combinadas!$J417/6.6667,
IF(Combinadas!$C417="water", Combinadas!$J417/3.333,
IF(Combinadas!$C417="heat", Combinadas!$J417/0.8333, IF(Combinadas!$C417="waste",Combinadas!$J417/25,
"NA"))))</f>
        <v>189.05076203048122</v>
      </c>
      <c r="L417" s="12">
        <f>Combinadas!$J417</f>
        <v>157.536</v>
      </c>
      <c r="M417" s="12">
        <f>IF(Table4[[#This Row],[Type]]="waste", Table4[[#This Row],[Q_Tonnes]]/25, Table4[[#This Row],[CO2_Noduplicates]])</f>
        <v>189.05076203048122</v>
      </c>
    </row>
    <row r="418" spans="1:13" x14ac:dyDescent="0.25">
      <c r="A418" s="12" t="s">
        <v>19</v>
      </c>
      <c r="B418" s="12" t="s">
        <v>19</v>
      </c>
      <c r="C418" s="12" t="s">
        <v>140</v>
      </c>
      <c r="D418" s="13">
        <v>45078</v>
      </c>
      <c r="E418" s="13">
        <v>45107</v>
      </c>
      <c r="F418" s="14">
        <v>31.507199999999997</v>
      </c>
      <c r="G418" s="15" t="s">
        <v>211</v>
      </c>
      <c r="H418" s="14">
        <v>95.816792671160911</v>
      </c>
      <c r="I418" s="12" t="str">
        <f t="shared" si="22"/>
        <v>Dcycle SIADcycle SIAheat4507845107</v>
      </c>
      <c r="J418" s="12">
        <f t="shared" si="23"/>
        <v>31.507199999999997</v>
      </c>
      <c r="K418" s="12">
        <f>IF(Combinadas!$C418="electricity", Combinadas!$J418/6.6667,
IF(Combinadas!$C418="water", Combinadas!$J418/3.333,
IF(Combinadas!$C418="heat", Combinadas!$J418/0.8333, IF(Combinadas!$C418="waste",Combinadas!$J418/25,
"NA"))))</f>
        <v>37.810152406096236</v>
      </c>
      <c r="L418" s="12">
        <f>Combinadas!$J418</f>
        <v>31.507199999999997</v>
      </c>
      <c r="M418" s="12">
        <f>IF(Table4[[#This Row],[Type]]="waste", Table4[[#This Row],[Q_Tonnes]]/25, Table4[[#This Row],[CO2_Noduplicates]])</f>
        <v>37.810152406096236</v>
      </c>
    </row>
    <row r="419" spans="1:13" x14ac:dyDescent="0.25">
      <c r="A419" s="16" t="s">
        <v>19</v>
      </c>
      <c r="B419" s="16" t="s">
        <v>19</v>
      </c>
      <c r="C419" s="16" t="s">
        <v>140</v>
      </c>
      <c r="D419" s="17">
        <v>45108</v>
      </c>
      <c r="E419" s="17">
        <v>45138</v>
      </c>
      <c r="F419" s="18">
        <v>31.507199999999997</v>
      </c>
      <c r="G419" s="19" t="s">
        <v>211</v>
      </c>
      <c r="H419" s="18">
        <v>95.816792671160911</v>
      </c>
      <c r="I419" s="12" t="str">
        <f t="shared" si="22"/>
        <v>Dcycle SIADcycle SIAheat4510845138</v>
      </c>
      <c r="J419" s="12">
        <f t="shared" si="23"/>
        <v>31.507199999999997</v>
      </c>
      <c r="K419" s="12">
        <f>IF(Combinadas!$C419="electricity", Combinadas!$J419/6.6667,
IF(Combinadas!$C419="water", Combinadas!$J419/3.333,
IF(Combinadas!$C419="heat", Combinadas!$J419/0.8333, IF(Combinadas!$C419="waste",Combinadas!$J419/25,
"NA"))))</f>
        <v>37.810152406096236</v>
      </c>
      <c r="L419" s="12">
        <f>Combinadas!$J419</f>
        <v>31.507199999999997</v>
      </c>
      <c r="M419" s="12">
        <f>IF(Table4[[#This Row],[Type]]="waste", Table4[[#This Row],[Q_Tonnes]]/25, Table4[[#This Row],[CO2_Noduplicates]])</f>
        <v>37.810152406096236</v>
      </c>
    </row>
    <row r="420" spans="1:13" x14ac:dyDescent="0.25">
      <c r="A420" s="12" t="s">
        <v>19</v>
      </c>
      <c r="B420" s="12" t="s">
        <v>19</v>
      </c>
      <c r="C420" s="12" t="s">
        <v>140</v>
      </c>
      <c r="D420" s="13">
        <v>45139</v>
      </c>
      <c r="E420" s="13">
        <v>45169</v>
      </c>
      <c r="F420" s="14">
        <v>36.758400000000002</v>
      </c>
      <c r="G420" s="15" t="s">
        <v>211</v>
      </c>
      <c r="H420" s="14">
        <v>111.7862581163544</v>
      </c>
      <c r="I420" s="12" t="str">
        <f t="shared" si="22"/>
        <v>Dcycle SIADcycle SIAheat4513945169</v>
      </c>
      <c r="J420" s="12">
        <f t="shared" si="23"/>
        <v>36.758400000000002</v>
      </c>
      <c r="K420" s="12">
        <f>IF(Combinadas!$C420="electricity", Combinadas!$J420/6.6667,
IF(Combinadas!$C420="water", Combinadas!$J420/3.333,
IF(Combinadas!$C420="heat", Combinadas!$J420/0.8333, IF(Combinadas!$C420="waste",Combinadas!$J420/25,
"NA"))))</f>
        <v>44.111844473778952</v>
      </c>
      <c r="L420" s="12">
        <f>Combinadas!$J420</f>
        <v>36.758400000000002</v>
      </c>
      <c r="M420" s="12">
        <f>IF(Table4[[#This Row],[Type]]="waste", Table4[[#This Row],[Q_Tonnes]]/25, Table4[[#This Row],[CO2_Noduplicates]])</f>
        <v>44.111844473778952</v>
      </c>
    </row>
    <row r="421" spans="1:13" x14ac:dyDescent="0.25">
      <c r="A421" s="16" t="s">
        <v>19</v>
      </c>
      <c r="B421" s="16" t="s">
        <v>19</v>
      </c>
      <c r="C421" s="16" t="s">
        <v>140</v>
      </c>
      <c r="D421" s="17">
        <v>45170</v>
      </c>
      <c r="E421" s="17">
        <v>45199</v>
      </c>
      <c r="F421" s="18">
        <v>36.758400000000002</v>
      </c>
      <c r="G421" s="19" t="s">
        <v>211</v>
      </c>
      <c r="H421" s="18">
        <v>111.7862581163544</v>
      </c>
      <c r="I421" s="12" t="str">
        <f t="shared" si="22"/>
        <v>Dcycle SIADcycle SIAheat4517045199</v>
      </c>
      <c r="J421" s="12">
        <f t="shared" si="23"/>
        <v>36.758400000000002</v>
      </c>
      <c r="K421" s="12">
        <f>IF(Combinadas!$C421="electricity", Combinadas!$J421/6.6667,
IF(Combinadas!$C421="water", Combinadas!$J421/3.333,
IF(Combinadas!$C421="heat", Combinadas!$J421/0.8333, IF(Combinadas!$C421="waste",Combinadas!$J421/25,
"NA"))))</f>
        <v>44.111844473778952</v>
      </c>
      <c r="L421" s="12">
        <f>Combinadas!$J421</f>
        <v>36.758400000000002</v>
      </c>
      <c r="M421" s="12">
        <f>IF(Table4[[#This Row],[Type]]="waste", Table4[[#This Row],[Q_Tonnes]]/25, Table4[[#This Row],[CO2_Noduplicates]])</f>
        <v>44.111844473778952</v>
      </c>
    </row>
    <row r="422" spans="1:13" x14ac:dyDescent="0.25">
      <c r="A422" s="12" t="s">
        <v>19</v>
      </c>
      <c r="B422" s="12" t="s">
        <v>19</v>
      </c>
      <c r="C422" s="12" t="s">
        <v>140</v>
      </c>
      <c r="D422" s="13">
        <v>45200</v>
      </c>
      <c r="E422" s="13">
        <v>45230</v>
      </c>
      <c r="F422" s="14">
        <v>351.8304</v>
      </c>
      <c r="G422" s="15" t="s">
        <v>211</v>
      </c>
      <c r="H422" s="14">
        <v>1069.9541848279634</v>
      </c>
      <c r="I422" s="12" t="str">
        <f t="shared" si="22"/>
        <v>Dcycle SIADcycle SIAheat4520045230</v>
      </c>
      <c r="J422" s="12">
        <f t="shared" si="23"/>
        <v>351.8304</v>
      </c>
      <c r="K422" s="12">
        <f>IF(Combinadas!$C422="electricity", Combinadas!$J422/6.6667,
IF(Combinadas!$C422="water", Combinadas!$J422/3.333,
IF(Combinadas!$C422="heat", Combinadas!$J422/0.8333, IF(Combinadas!$C422="waste",Combinadas!$J422/25,
"NA"))))</f>
        <v>422.21336853474139</v>
      </c>
      <c r="L422" s="12">
        <f>Combinadas!$J422</f>
        <v>351.8304</v>
      </c>
      <c r="M422" s="12">
        <f>IF(Table4[[#This Row],[Type]]="waste", Table4[[#This Row],[Q_Tonnes]]/25, Table4[[#This Row],[CO2_Noduplicates]])</f>
        <v>422.21336853474139</v>
      </c>
    </row>
    <row r="423" spans="1:13" x14ac:dyDescent="0.25">
      <c r="A423" s="16" t="s">
        <v>19</v>
      </c>
      <c r="B423" s="16" t="s">
        <v>19</v>
      </c>
      <c r="C423" s="16" t="s">
        <v>140</v>
      </c>
      <c r="D423" s="17">
        <v>45231</v>
      </c>
      <c r="E423" s="17">
        <v>45260</v>
      </c>
      <c r="F423" s="18">
        <v>420.096</v>
      </c>
      <c r="G423" s="19" t="s">
        <v>211</v>
      </c>
      <c r="H423" s="18">
        <v>1277.5572356154787</v>
      </c>
      <c r="I423" s="12" t="str">
        <f t="shared" si="22"/>
        <v>Dcycle SIADcycle SIAheat4523145260</v>
      </c>
      <c r="J423" s="12">
        <f t="shared" si="23"/>
        <v>420.096</v>
      </c>
      <c r="K423" s="12">
        <f>IF(Combinadas!$C423="electricity", Combinadas!$J423/6.6667,
IF(Combinadas!$C423="water", Combinadas!$J423/3.333,
IF(Combinadas!$C423="heat", Combinadas!$J423/0.8333, IF(Combinadas!$C423="waste",Combinadas!$J423/25,
"NA"))))</f>
        <v>504.13536541461656</v>
      </c>
      <c r="L423" s="12">
        <f>Combinadas!$J423</f>
        <v>420.096</v>
      </c>
      <c r="M423" s="12">
        <f>IF(Table4[[#This Row],[Type]]="waste", Table4[[#This Row],[Q_Tonnes]]/25, Table4[[#This Row],[CO2_Noduplicates]])</f>
        <v>504.13536541461656</v>
      </c>
    </row>
    <row r="424" spans="1:13" x14ac:dyDescent="0.25">
      <c r="A424" s="12" t="s">
        <v>19</v>
      </c>
      <c r="B424" s="12" t="s">
        <v>19</v>
      </c>
      <c r="C424" s="12" t="s">
        <v>140</v>
      </c>
      <c r="D424" s="13">
        <v>45261</v>
      </c>
      <c r="E424" s="13">
        <v>45291</v>
      </c>
      <c r="F424" s="14">
        <v>724.66559999999993</v>
      </c>
      <c r="G424" s="15" t="s">
        <v>211</v>
      </c>
      <c r="H424" s="14">
        <v>2203.7862314367007</v>
      </c>
      <c r="I424" s="12" t="str">
        <f t="shared" si="22"/>
        <v>Dcycle SIADcycle SIAheat4526145291</v>
      </c>
      <c r="J424" s="12">
        <f t="shared" si="23"/>
        <v>724.66559999999993</v>
      </c>
      <c r="K424" s="12">
        <f>IF(Combinadas!$C424="electricity", Combinadas!$J424/6.6667,
IF(Combinadas!$C424="water", Combinadas!$J424/3.333,
IF(Combinadas!$C424="heat", Combinadas!$J424/0.8333, IF(Combinadas!$C424="waste",Combinadas!$J424/25,
"NA"))))</f>
        <v>869.63350534021345</v>
      </c>
      <c r="L424" s="12">
        <f>Combinadas!$J424</f>
        <v>724.66559999999993</v>
      </c>
      <c r="M424" s="12">
        <f>IF(Table4[[#This Row],[Type]]="waste", Table4[[#This Row],[Q_Tonnes]]/25, Table4[[#This Row],[CO2_Noduplicates]])</f>
        <v>869.63350534021345</v>
      </c>
    </row>
    <row r="425" spans="1:13" x14ac:dyDescent="0.25">
      <c r="A425" s="16" t="s">
        <v>19</v>
      </c>
      <c r="B425" s="16" t="s">
        <v>19</v>
      </c>
      <c r="C425" s="16" t="s">
        <v>130</v>
      </c>
      <c r="D425" s="17">
        <v>44927</v>
      </c>
      <c r="E425" s="17">
        <v>44957</v>
      </c>
      <c r="F425" s="18">
        <v>15.2</v>
      </c>
      <c r="G425" s="19" t="s">
        <v>133</v>
      </c>
      <c r="H425" s="18">
        <v>4.5604560456045604</v>
      </c>
      <c r="I425" s="12" t="str">
        <f t="shared" si="22"/>
        <v>Dcycle SIADcycle SIAwater4492744957</v>
      </c>
      <c r="J425" s="12">
        <f t="shared" si="23"/>
        <v>15.2</v>
      </c>
      <c r="K425" s="12">
        <f>IF(Combinadas!$C425="electricity", Combinadas!$J425/6.6667,
IF(Combinadas!$C425="water", Combinadas!$J425/3.333,
IF(Combinadas!$C425="heat", Combinadas!$J425/0.8333, IF(Combinadas!$C425="waste",Combinadas!$J425/25,
"NA"))))</f>
        <v>4.5604560456045604</v>
      </c>
      <c r="L425" s="12">
        <f>Combinadas!$J425</f>
        <v>15.2</v>
      </c>
      <c r="M425" s="12">
        <f>IF(Table4[[#This Row],[Type]]="waste", Table4[[#This Row],[Q_Tonnes]]/25, Table4[[#This Row],[CO2_Noduplicates]])</f>
        <v>4.5604560456045604</v>
      </c>
    </row>
    <row r="426" spans="1:13" x14ac:dyDescent="0.25">
      <c r="A426" s="12" t="s">
        <v>19</v>
      </c>
      <c r="B426" s="12" t="s">
        <v>19</v>
      </c>
      <c r="C426" s="12" t="s">
        <v>130</v>
      </c>
      <c r="D426" s="13">
        <v>44958</v>
      </c>
      <c r="E426" s="13">
        <v>44985</v>
      </c>
      <c r="F426" s="14">
        <v>20.7</v>
      </c>
      <c r="G426" s="15" t="s">
        <v>133</v>
      </c>
      <c r="H426" s="14">
        <v>6.2106210621062097</v>
      </c>
      <c r="I426" s="12" t="str">
        <f t="shared" si="22"/>
        <v>Dcycle SIADcycle SIAwater4495844985</v>
      </c>
      <c r="J426" s="12">
        <f t="shared" si="23"/>
        <v>20.7</v>
      </c>
      <c r="K426" s="12">
        <f>IF(Combinadas!$C426="electricity", Combinadas!$J426/6.6667,
IF(Combinadas!$C426="water", Combinadas!$J426/3.333,
IF(Combinadas!$C426="heat", Combinadas!$J426/0.8333, IF(Combinadas!$C426="waste",Combinadas!$J426/25,
"NA"))))</f>
        <v>6.2106210621062097</v>
      </c>
      <c r="L426" s="12">
        <f>Combinadas!$J426</f>
        <v>20.7</v>
      </c>
      <c r="M426" s="12">
        <f>IF(Table4[[#This Row],[Type]]="waste", Table4[[#This Row],[Q_Tonnes]]/25, Table4[[#This Row],[CO2_Noduplicates]])</f>
        <v>6.2106210621062097</v>
      </c>
    </row>
    <row r="427" spans="1:13" x14ac:dyDescent="0.25">
      <c r="A427" s="16" t="s">
        <v>19</v>
      </c>
      <c r="B427" s="16" t="s">
        <v>19</v>
      </c>
      <c r="C427" s="16" t="s">
        <v>130</v>
      </c>
      <c r="D427" s="17">
        <v>44986</v>
      </c>
      <c r="E427" s="17">
        <v>45016</v>
      </c>
      <c r="F427" s="18">
        <v>16</v>
      </c>
      <c r="G427" s="19" t="s">
        <v>133</v>
      </c>
      <c r="H427" s="18">
        <v>4.8004800480048004</v>
      </c>
      <c r="I427" s="12" t="str">
        <f t="shared" si="22"/>
        <v>Dcycle SIADcycle SIAwater4498645016</v>
      </c>
      <c r="J427" s="12">
        <f t="shared" si="23"/>
        <v>16</v>
      </c>
      <c r="K427" s="12">
        <f>IF(Combinadas!$C427="electricity", Combinadas!$J427/6.6667,
IF(Combinadas!$C427="water", Combinadas!$J427/3.333,
IF(Combinadas!$C427="heat", Combinadas!$J427/0.8333, IF(Combinadas!$C427="waste",Combinadas!$J427/25,
"NA"))))</f>
        <v>4.8004800480048004</v>
      </c>
      <c r="L427" s="12">
        <f>Combinadas!$J427</f>
        <v>16</v>
      </c>
      <c r="M427" s="12">
        <f>IF(Table4[[#This Row],[Type]]="waste", Table4[[#This Row],[Q_Tonnes]]/25, Table4[[#This Row],[CO2_Noduplicates]])</f>
        <v>4.8004800480048004</v>
      </c>
    </row>
    <row r="428" spans="1:13" x14ac:dyDescent="0.25">
      <c r="A428" s="12" t="s">
        <v>19</v>
      </c>
      <c r="B428" s="12" t="s">
        <v>19</v>
      </c>
      <c r="C428" s="12" t="s">
        <v>130</v>
      </c>
      <c r="D428" s="13">
        <v>45017</v>
      </c>
      <c r="E428" s="13">
        <v>45046</v>
      </c>
      <c r="F428" s="14">
        <v>18.2</v>
      </c>
      <c r="G428" s="15" t="s">
        <v>133</v>
      </c>
      <c r="H428" s="14">
        <v>5.4605460546054596</v>
      </c>
      <c r="I428" s="12" t="str">
        <f t="shared" si="22"/>
        <v>Dcycle SIADcycle SIAwater4501745046</v>
      </c>
      <c r="J428" s="12">
        <f t="shared" si="23"/>
        <v>18.2</v>
      </c>
      <c r="K428" s="12">
        <f>IF(Combinadas!$C428="electricity", Combinadas!$J428/6.6667,
IF(Combinadas!$C428="water", Combinadas!$J428/3.333,
IF(Combinadas!$C428="heat", Combinadas!$J428/0.8333, IF(Combinadas!$C428="waste",Combinadas!$J428/25,
"NA"))))</f>
        <v>5.4605460546054596</v>
      </c>
      <c r="L428" s="12">
        <f>Combinadas!$J428</f>
        <v>18.2</v>
      </c>
      <c r="M428" s="12">
        <f>IF(Table4[[#This Row],[Type]]="waste", Table4[[#This Row],[Q_Tonnes]]/25, Table4[[#This Row],[CO2_Noduplicates]])</f>
        <v>5.4605460546054596</v>
      </c>
    </row>
    <row r="429" spans="1:13" x14ac:dyDescent="0.25">
      <c r="A429" s="16" t="s">
        <v>19</v>
      </c>
      <c r="B429" s="16" t="s">
        <v>19</v>
      </c>
      <c r="C429" s="16" t="s">
        <v>130</v>
      </c>
      <c r="D429" s="17">
        <v>45047</v>
      </c>
      <c r="E429" s="17">
        <v>45077</v>
      </c>
      <c r="F429" s="18">
        <v>16.399999999999999</v>
      </c>
      <c r="G429" s="19" t="s">
        <v>133</v>
      </c>
      <c r="H429" s="18">
        <v>4.9204920492049196</v>
      </c>
      <c r="I429" s="12" t="str">
        <f t="shared" si="22"/>
        <v>Dcycle SIADcycle SIAwater4504745077</v>
      </c>
      <c r="J429" s="12">
        <f t="shared" si="23"/>
        <v>16.399999999999999</v>
      </c>
      <c r="K429" s="12">
        <f>IF(Combinadas!$C429="electricity", Combinadas!$J429/6.6667,
IF(Combinadas!$C429="water", Combinadas!$J429/3.333,
IF(Combinadas!$C429="heat", Combinadas!$J429/0.8333, IF(Combinadas!$C429="waste",Combinadas!$J429/25,
"NA"))))</f>
        <v>4.9204920492049196</v>
      </c>
      <c r="L429" s="12">
        <f>Combinadas!$J429</f>
        <v>16.399999999999999</v>
      </c>
      <c r="M429" s="12">
        <f>IF(Table4[[#This Row],[Type]]="waste", Table4[[#This Row],[Q_Tonnes]]/25, Table4[[#This Row],[CO2_Noduplicates]])</f>
        <v>4.9204920492049196</v>
      </c>
    </row>
    <row r="430" spans="1:13" x14ac:dyDescent="0.25">
      <c r="A430" s="12" t="s">
        <v>19</v>
      </c>
      <c r="B430" s="12" t="s">
        <v>19</v>
      </c>
      <c r="C430" s="12" t="s">
        <v>130</v>
      </c>
      <c r="D430" s="13">
        <v>45078</v>
      </c>
      <c r="E430" s="13">
        <v>45107</v>
      </c>
      <c r="F430" s="14">
        <v>16.600000000000001</v>
      </c>
      <c r="G430" s="15" t="s">
        <v>133</v>
      </c>
      <c r="H430" s="14">
        <v>4.9804980498049805</v>
      </c>
      <c r="I430" s="12" t="str">
        <f t="shared" si="22"/>
        <v>Dcycle SIADcycle SIAwater4507845107</v>
      </c>
      <c r="J430" s="12">
        <f t="shared" ref="J430:J436" si="24">IF(F430=_xlfn.MAXIFS(F:F, I:I, I430), F430, 0)</f>
        <v>16.600000000000001</v>
      </c>
      <c r="K430" s="12">
        <f>IF(Combinadas!$C430="electricity", Combinadas!$J430/6.6667,
IF(Combinadas!$C430="water", Combinadas!$J430/3.333,
IF(Combinadas!$C430="heat", Combinadas!$J430/0.8333, IF(Combinadas!$C430="waste",Combinadas!$J430/25,
"NA"))))</f>
        <v>4.9804980498049805</v>
      </c>
      <c r="L430" s="12">
        <f>Combinadas!$J430</f>
        <v>16.600000000000001</v>
      </c>
      <c r="M430" s="12">
        <f>IF(Table4[[#This Row],[Type]]="waste", Table4[[#This Row],[Q_Tonnes]]/25, Table4[[#This Row],[CO2_Noduplicates]])</f>
        <v>4.9804980498049805</v>
      </c>
    </row>
    <row r="431" spans="1:13" x14ac:dyDescent="0.25">
      <c r="A431" s="16" t="s">
        <v>19</v>
      </c>
      <c r="B431" s="16" t="s">
        <v>19</v>
      </c>
      <c r="C431" s="16" t="s">
        <v>130</v>
      </c>
      <c r="D431" s="17">
        <v>45108</v>
      </c>
      <c r="E431" s="17">
        <v>45138</v>
      </c>
      <c r="F431" s="18">
        <v>8.1</v>
      </c>
      <c r="G431" s="19" t="s">
        <v>133</v>
      </c>
      <c r="H431" s="18">
        <v>2.4302430243024302</v>
      </c>
      <c r="I431" s="12" t="str">
        <f t="shared" si="22"/>
        <v>Dcycle SIADcycle SIAwater4510845138</v>
      </c>
      <c r="J431" s="12">
        <f t="shared" si="24"/>
        <v>8.1</v>
      </c>
      <c r="K431" s="12">
        <f>IF(Combinadas!$C431="electricity", Combinadas!$J431/6.6667,
IF(Combinadas!$C431="water", Combinadas!$J431/3.333,
IF(Combinadas!$C431="heat", Combinadas!$J431/0.8333, IF(Combinadas!$C431="waste",Combinadas!$J431/25,
"NA"))))</f>
        <v>2.4302430243024302</v>
      </c>
      <c r="L431" s="12">
        <f>Combinadas!$J431</f>
        <v>8.1</v>
      </c>
      <c r="M431" s="12">
        <f>IF(Table4[[#This Row],[Type]]="waste", Table4[[#This Row],[Q_Tonnes]]/25, Table4[[#This Row],[CO2_Noduplicates]])</f>
        <v>2.4302430243024302</v>
      </c>
    </row>
    <row r="432" spans="1:13" x14ac:dyDescent="0.25">
      <c r="A432" s="12" t="s">
        <v>19</v>
      </c>
      <c r="B432" s="12" t="s">
        <v>19</v>
      </c>
      <c r="C432" s="12" t="s">
        <v>130</v>
      </c>
      <c r="D432" s="13">
        <v>45139</v>
      </c>
      <c r="E432" s="13">
        <v>45169</v>
      </c>
      <c r="F432" s="14">
        <v>13.8</v>
      </c>
      <c r="G432" s="15" t="s">
        <v>133</v>
      </c>
      <c r="H432" s="14">
        <v>4.1404140414041404</v>
      </c>
      <c r="I432" s="12" t="str">
        <f t="shared" si="22"/>
        <v>Dcycle SIADcycle SIAwater4513945169</v>
      </c>
      <c r="J432" s="12">
        <f t="shared" si="24"/>
        <v>13.8</v>
      </c>
      <c r="K432" s="12">
        <f>IF(Combinadas!$C432="electricity", Combinadas!$J432/6.6667,
IF(Combinadas!$C432="water", Combinadas!$J432/3.333,
IF(Combinadas!$C432="heat", Combinadas!$J432/0.8333, IF(Combinadas!$C432="waste",Combinadas!$J432/25,
"NA"))))</f>
        <v>4.1404140414041404</v>
      </c>
      <c r="L432" s="12">
        <f>Combinadas!$J432</f>
        <v>13.8</v>
      </c>
      <c r="M432" s="12">
        <f>IF(Table4[[#This Row],[Type]]="waste", Table4[[#This Row],[Q_Tonnes]]/25, Table4[[#This Row],[CO2_Noduplicates]])</f>
        <v>4.1404140414041404</v>
      </c>
    </row>
    <row r="433" spans="1:13" x14ac:dyDescent="0.25">
      <c r="A433" s="16" t="s">
        <v>19</v>
      </c>
      <c r="B433" s="16" t="s">
        <v>19</v>
      </c>
      <c r="C433" s="16" t="s">
        <v>130</v>
      </c>
      <c r="D433" s="17">
        <v>45170</v>
      </c>
      <c r="E433" s="17">
        <v>45199</v>
      </c>
      <c r="F433" s="18">
        <v>13</v>
      </c>
      <c r="G433" s="19" t="s">
        <v>133</v>
      </c>
      <c r="H433" s="18">
        <v>3.9003900390039004</v>
      </c>
      <c r="I433" s="12" t="str">
        <f t="shared" si="22"/>
        <v>Dcycle SIADcycle SIAwater4517045199</v>
      </c>
      <c r="J433" s="12">
        <f t="shared" si="24"/>
        <v>13</v>
      </c>
      <c r="K433" s="12">
        <f>IF(Combinadas!$C433="electricity", Combinadas!$J433/6.6667,
IF(Combinadas!$C433="water", Combinadas!$J433/3.333,
IF(Combinadas!$C433="heat", Combinadas!$J433/0.8333, IF(Combinadas!$C433="waste",Combinadas!$J433/25,
"NA"))))</f>
        <v>3.9003900390039004</v>
      </c>
      <c r="L433" s="12">
        <f>Combinadas!$J433</f>
        <v>13</v>
      </c>
      <c r="M433" s="12">
        <f>IF(Table4[[#This Row],[Type]]="waste", Table4[[#This Row],[Q_Tonnes]]/25, Table4[[#This Row],[CO2_Noduplicates]])</f>
        <v>3.9003900390039004</v>
      </c>
    </row>
    <row r="434" spans="1:13" x14ac:dyDescent="0.25">
      <c r="A434" s="12" t="s">
        <v>19</v>
      </c>
      <c r="B434" s="12" t="s">
        <v>19</v>
      </c>
      <c r="C434" s="12" t="s">
        <v>130</v>
      </c>
      <c r="D434" s="13">
        <v>45200</v>
      </c>
      <c r="E434" s="13">
        <v>45230</v>
      </c>
      <c r="F434" s="14">
        <v>16.2</v>
      </c>
      <c r="G434" s="15" t="s">
        <v>133</v>
      </c>
      <c r="H434" s="14">
        <v>4.8604860486048604</v>
      </c>
      <c r="I434" s="12" t="str">
        <f t="shared" si="22"/>
        <v>Dcycle SIADcycle SIAwater4520045230</v>
      </c>
      <c r="J434" s="12">
        <f t="shared" si="24"/>
        <v>16.2</v>
      </c>
      <c r="K434" s="12">
        <f>IF(Combinadas!$C434="electricity", Combinadas!$J434/6.6667,
IF(Combinadas!$C434="water", Combinadas!$J434/3.333,
IF(Combinadas!$C434="heat", Combinadas!$J434/0.8333, IF(Combinadas!$C434="waste",Combinadas!$J434/25,
"NA"))))</f>
        <v>4.8604860486048604</v>
      </c>
      <c r="L434" s="12">
        <f>Combinadas!$J434</f>
        <v>16.2</v>
      </c>
      <c r="M434" s="12">
        <f>IF(Table4[[#This Row],[Type]]="waste", Table4[[#This Row],[Q_Tonnes]]/25, Table4[[#This Row],[CO2_Noduplicates]])</f>
        <v>4.8604860486048604</v>
      </c>
    </row>
    <row r="435" spans="1:13" x14ac:dyDescent="0.25">
      <c r="A435" s="16" t="s">
        <v>19</v>
      </c>
      <c r="B435" s="16" t="s">
        <v>19</v>
      </c>
      <c r="C435" s="16" t="s">
        <v>130</v>
      </c>
      <c r="D435" s="17">
        <v>45231</v>
      </c>
      <c r="E435" s="17">
        <v>45260</v>
      </c>
      <c r="F435" s="18">
        <v>15.7</v>
      </c>
      <c r="G435" s="19" t="s">
        <v>133</v>
      </c>
      <c r="H435" s="18">
        <v>4.7104710471047104</v>
      </c>
      <c r="I435" s="12" t="str">
        <f t="shared" si="22"/>
        <v>Dcycle SIADcycle SIAwater4523145260</v>
      </c>
      <c r="J435" s="12">
        <f t="shared" si="24"/>
        <v>15.7</v>
      </c>
      <c r="K435" s="12">
        <f>IF(Combinadas!$C435="electricity", Combinadas!$J435/6.6667,
IF(Combinadas!$C435="water", Combinadas!$J435/3.333,
IF(Combinadas!$C435="heat", Combinadas!$J435/0.8333, IF(Combinadas!$C435="waste",Combinadas!$J435/25,
"NA"))))</f>
        <v>4.7104710471047104</v>
      </c>
      <c r="L435" s="12">
        <f>Combinadas!$J435</f>
        <v>15.7</v>
      </c>
      <c r="M435" s="12">
        <f>IF(Table4[[#This Row],[Type]]="waste", Table4[[#This Row],[Q_Tonnes]]/25, Table4[[#This Row],[CO2_Noduplicates]])</f>
        <v>4.7104710471047104</v>
      </c>
    </row>
    <row r="436" spans="1:13" x14ac:dyDescent="0.25">
      <c r="A436" s="12" t="s">
        <v>19</v>
      </c>
      <c r="B436" s="12" t="s">
        <v>19</v>
      </c>
      <c r="C436" s="12" t="s">
        <v>130</v>
      </c>
      <c r="D436" s="13">
        <v>45261</v>
      </c>
      <c r="E436" s="13">
        <v>45291</v>
      </c>
      <c r="F436" s="14">
        <v>11.2</v>
      </c>
      <c r="G436" s="15" t="s">
        <v>133</v>
      </c>
      <c r="H436" s="14">
        <v>3.3603360336033599</v>
      </c>
      <c r="I436" s="12" t="str">
        <f t="shared" si="22"/>
        <v>Dcycle SIADcycle SIAwater4526145291</v>
      </c>
      <c r="J436" s="12">
        <f t="shared" si="24"/>
        <v>11.2</v>
      </c>
      <c r="K436" s="12">
        <f>IF(Combinadas!$C436="electricity", Combinadas!$J436/6.6667,
IF(Combinadas!$C436="water", Combinadas!$J436/3.333,
IF(Combinadas!$C436="heat", Combinadas!$J436/0.8333, IF(Combinadas!$C436="waste",Combinadas!$J436/25,
"NA"))))</f>
        <v>3.3603360336033599</v>
      </c>
      <c r="L436" s="12">
        <f>Combinadas!$J436</f>
        <v>11.2</v>
      </c>
      <c r="M436" s="12">
        <f>IF(Table4[[#This Row],[Type]]="waste", Table4[[#This Row],[Q_Tonnes]]/25, Table4[[#This Row],[CO2_Noduplicates]])</f>
        <v>3.3603360336033599</v>
      </c>
    </row>
    <row r="437" spans="1:13" x14ac:dyDescent="0.25">
      <c r="A437" s="12" t="s">
        <v>10</v>
      </c>
      <c r="B437" s="12" t="s">
        <v>10</v>
      </c>
      <c r="C437" s="16" t="s">
        <v>237</v>
      </c>
      <c r="D437" s="17">
        <v>44927</v>
      </c>
      <c r="E437" s="17">
        <v>45291</v>
      </c>
      <c r="F437" s="14">
        <v>20517</v>
      </c>
      <c r="G437" s="19" t="s">
        <v>232</v>
      </c>
      <c r="H437" s="14">
        <v>820.68</v>
      </c>
      <c r="I437" s="12" t="str">
        <f t="shared" si="22"/>
        <v>Dcycle Factory SLDcycle Factory SLwaste4492745291</v>
      </c>
      <c r="J437" s="12">
        <f>data_waste!L2</f>
        <v>20517</v>
      </c>
      <c r="K437" s="12">
        <f>IF(Combinadas!$C437="electricity", Combinadas!$J437/6.6667,
IF(Combinadas!$C437="water", Combinadas!$J437/3.333,
IF(Combinadas!$C437="heat", Combinadas!$J437/0.8333, IF(Combinadas!$C437="waste",Combinadas!$J437/25,
"NA"))))</f>
        <v>820.68</v>
      </c>
      <c r="L437" s="12">
        <f>data_waste!M2</f>
        <v>20517000</v>
      </c>
      <c r="M437" s="12">
        <f>IF(Table4[[#This Row],[Type]]="waste", Table4[[#This Row],[Q_Tonnes]]/25, Table4[[#This Row],[CO2_Noduplicates]])</f>
        <v>820680</v>
      </c>
    </row>
    <row r="438" spans="1:13" x14ac:dyDescent="0.25">
      <c r="A438" s="12" t="s">
        <v>10</v>
      </c>
      <c r="B438" s="12" t="s">
        <v>10</v>
      </c>
      <c r="C438" s="16" t="s">
        <v>237</v>
      </c>
      <c r="D438" s="13">
        <v>44927</v>
      </c>
      <c r="E438" s="13">
        <v>45291</v>
      </c>
      <c r="F438" s="14">
        <v>20634</v>
      </c>
      <c r="G438" s="15" t="s">
        <v>232</v>
      </c>
      <c r="H438" s="14">
        <v>825.36</v>
      </c>
      <c r="I438" s="12" t="str">
        <f t="shared" si="22"/>
        <v>Dcycle Factory SLDcycle Factory SLwaste4492745291</v>
      </c>
      <c r="J438" s="12">
        <f>data_waste!L3</f>
        <v>20634</v>
      </c>
      <c r="K438" s="12">
        <f>IF(Combinadas!$C438="electricity", Combinadas!$J438/6.6667,
IF(Combinadas!$C438="water", Combinadas!$J438/3.333,
IF(Combinadas!$C438="heat", Combinadas!$J438/0.8333, IF(Combinadas!$C438="waste",Combinadas!$J438/25,
"NA"))))</f>
        <v>825.36</v>
      </c>
      <c r="L438" s="12">
        <f>data_waste!M3</f>
        <v>20634000</v>
      </c>
      <c r="M438" s="12">
        <f>IF(Table4[[#This Row],[Type]]="waste", Table4[[#This Row],[Q_Tonnes]]/25, Table4[[#This Row],[CO2_Noduplicates]])</f>
        <v>825360</v>
      </c>
    </row>
    <row r="439" spans="1:13" x14ac:dyDescent="0.25">
      <c r="A439" s="12" t="s">
        <v>11</v>
      </c>
      <c r="B439" s="12" t="s">
        <v>53</v>
      </c>
      <c r="C439" s="16" t="s">
        <v>237</v>
      </c>
      <c r="D439" s="17">
        <v>45139</v>
      </c>
      <c r="E439" s="17">
        <v>45169</v>
      </c>
      <c r="F439" s="14">
        <v>48</v>
      </c>
      <c r="G439" s="19" t="s">
        <v>232</v>
      </c>
      <c r="H439" s="14">
        <v>1.92</v>
      </c>
      <c r="I439" s="12" t="str">
        <f t="shared" si="22"/>
        <v>Dcycle Andina SASD - Bodega 2 (almacén)waste4513945169</v>
      </c>
      <c r="J439" s="12">
        <f>data_waste!L16</f>
        <v>48</v>
      </c>
      <c r="K439" s="12">
        <f>IF(Combinadas!$C451="electricity", Combinadas!$J451/6.6667,
IF(Combinadas!$C451="water", Combinadas!$J451/3.333,
IF(Combinadas!$C451="heat", Combinadas!$J451/0.8333, IF(Combinadas!$C451="waste",Combinadas!$J451/25,
"NA"))))</f>
        <v>87.149564252178749</v>
      </c>
      <c r="L439" s="12">
        <f>data_waste!M16</f>
        <v>48000</v>
      </c>
      <c r="M439" s="12">
        <f>IF(Table4[[#This Row],[Type]]="waste", Table4[[#This Row],[Q_Tonnes]]/25, Table4[[#This Row],[CO2_Noduplicates]])</f>
        <v>1920</v>
      </c>
    </row>
    <row r="440" spans="1:13" x14ac:dyDescent="0.25">
      <c r="A440" s="12" t="s">
        <v>11</v>
      </c>
      <c r="B440" s="12" t="s">
        <v>53</v>
      </c>
      <c r="C440" s="16" t="s">
        <v>237</v>
      </c>
      <c r="D440" s="13">
        <v>45139</v>
      </c>
      <c r="E440" s="13">
        <v>45169</v>
      </c>
      <c r="F440" s="14">
        <v>334</v>
      </c>
      <c r="G440" s="15" t="s">
        <v>232</v>
      </c>
      <c r="H440" s="14">
        <v>13.36</v>
      </c>
      <c r="I440" s="12" t="str">
        <f t="shared" si="22"/>
        <v>Dcycle Andina SASD - Bodega 2 (almacén)waste4513945169</v>
      </c>
      <c r="J440" s="12">
        <f>data_waste!L27</f>
        <v>334</v>
      </c>
      <c r="K440" s="12">
        <f>IF(Combinadas!$C462="electricity", Combinadas!$J462/6.6667,
IF(Combinadas!$C462="water", Combinadas!$J462/3.333,
IF(Combinadas!$C462="heat", Combinadas!$J462/0.8333, IF(Combinadas!$C462="waste",Combinadas!$J462/25,
"NA"))))</f>
        <v>0.32</v>
      </c>
      <c r="L440" s="12">
        <f>data_waste!M27</f>
        <v>334000</v>
      </c>
      <c r="M440" s="12">
        <f>IF(Table4[[#This Row],[Type]]="waste", Table4[[#This Row],[Q_Tonnes]]/25, Table4[[#This Row],[CO2_Noduplicates]])</f>
        <v>13360</v>
      </c>
    </row>
    <row r="441" spans="1:13" x14ac:dyDescent="0.25">
      <c r="A441" s="16" t="s">
        <v>11</v>
      </c>
      <c r="B441" s="16" t="s">
        <v>48</v>
      </c>
      <c r="C441" s="16" t="s">
        <v>128</v>
      </c>
      <c r="D441" s="17">
        <v>45143</v>
      </c>
      <c r="E441" s="17">
        <v>45173</v>
      </c>
      <c r="F441" s="18">
        <v>1908</v>
      </c>
      <c r="G441" s="19" t="s">
        <v>129</v>
      </c>
      <c r="H441" s="18">
        <v>286.19856900715496</v>
      </c>
      <c r="I441" s="12" t="str">
        <f t="shared" si="22"/>
        <v>Dcycle Andina SASD - Bodega 1electricity4514345173</v>
      </c>
      <c r="J441" s="12">
        <f t="shared" ref="J441:J446" si="25">IF(F441=_xlfn.MAXIFS(F:F, I:I, I441), F441, 0)</f>
        <v>1908</v>
      </c>
      <c r="K441" s="12">
        <f>IF(Combinadas!$C197="electricity", Combinadas!$J197/6.6667,
IF(Combinadas!$C197="water", Combinadas!$J197/3.333,
IF(Combinadas!$C197="heat", Combinadas!$J197/0.8333, IF(Combinadas!$C197="waste",Combinadas!$J197/25,
"NA"))))</f>
        <v>53.999730001349995</v>
      </c>
      <c r="L441" s="12">
        <f>Combinadas!$J197</f>
        <v>360</v>
      </c>
      <c r="M441" s="12">
        <f>IF(Table4[[#This Row],[Type]]="waste", Table4[[#This Row],[Q_Tonnes]]/25, Table4[[#This Row],[CO2_Noduplicates]])</f>
        <v>53.999730001349995</v>
      </c>
    </row>
    <row r="442" spans="1:13" x14ac:dyDescent="0.25">
      <c r="A442" s="16" t="s">
        <v>11</v>
      </c>
      <c r="B442" s="16" t="s">
        <v>53</v>
      </c>
      <c r="C442" s="16" t="s">
        <v>128</v>
      </c>
      <c r="D442" s="17">
        <v>45143</v>
      </c>
      <c r="E442" s="17">
        <v>45173</v>
      </c>
      <c r="F442" s="18">
        <v>461</v>
      </c>
      <c r="G442" s="19" t="s">
        <v>129</v>
      </c>
      <c r="H442" s="18">
        <v>69.149654251728748</v>
      </c>
      <c r="I442" s="12" t="str">
        <f t="shared" si="22"/>
        <v>Dcycle Andina SASD - Bodega 2 (almacén)electricity4514345173</v>
      </c>
      <c r="J442" s="12">
        <f t="shared" si="25"/>
        <v>461</v>
      </c>
      <c r="K442" s="12">
        <f>IF(Combinadas!$C225="electricity", Combinadas!$J225/6.6667,
IF(Combinadas!$C225="water", Combinadas!$J225/3.333,
IF(Combinadas!$C225="heat", Combinadas!$J225/0.8333, IF(Combinadas!$C225="waste",Combinadas!$J225/25,
"NA"))))</f>
        <v>14.6</v>
      </c>
      <c r="L442" s="12">
        <f>Combinadas!$J225</f>
        <v>365</v>
      </c>
      <c r="M442" s="12">
        <f>IF(Table4[[#This Row],[Type]]="waste", Table4[[#This Row],[Q_Tonnes]]/25, Table4[[#This Row],[CO2_Noduplicates]])</f>
        <v>14.6</v>
      </c>
    </row>
    <row r="443" spans="1:13" x14ac:dyDescent="0.25">
      <c r="A443" s="16" t="s">
        <v>11</v>
      </c>
      <c r="B443" s="16" t="s">
        <v>48</v>
      </c>
      <c r="C443" s="16" t="s">
        <v>130</v>
      </c>
      <c r="D443" s="17">
        <v>45166</v>
      </c>
      <c r="E443" s="17">
        <v>45166</v>
      </c>
      <c r="F443" s="18">
        <v>6.1399350199999994E-2</v>
      </c>
      <c r="G443" s="19" t="s">
        <v>133</v>
      </c>
      <c r="H443" s="18">
        <v>1.8421647224722469E-2</v>
      </c>
      <c r="I443" s="12" t="str">
        <f t="shared" si="22"/>
        <v>Dcycle Andina SASD - Bodega 1water4516645166</v>
      </c>
      <c r="J443" s="12">
        <f t="shared" si="25"/>
        <v>6.1399350199999994E-2</v>
      </c>
      <c r="K443" s="12">
        <f>IF(Combinadas!$C203="electricity", Combinadas!$J203/6.6667,
IF(Combinadas!$C203="water", Combinadas!$J203/3.333,
IF(Combinadas!$C203="heat", Combinadas!$J203/0.8333, IF(Combinadas!$C203="waste",Combinadas!$J203/25,
"NA"))))</f>
        <v>179.24910375448124</v>
      </c>
      <c r="L443" s="12">
        <f>Combinadas!$J203</f>
        <v>1195</v>
      </c>
      <c r="M443" s="12">
        <f>IF(Table4[[#This Row],[Type]]="waste", Table4[[#This Row],[Q_Tonnes]]/25, Table4[[#This Row],[CO2_Noduplicates]])</f>
        <v>179.24910375448124</v>
      </c>
    </row>
    <row r="444" spans="1:13" x14ac:dyDescent="0.25">
      <c r="A444" s="12" t="s">
        <v>11</v>
      </c>
      <c r="B444" s="12" t="s">
        <v>48</v>
      </c>
      <c r="C444" s="12" t="s">
        <v>130</v>
      </c>
      <c r="D444" s="13">
        <v>45167</v>
      </c>
      <c r="E444" s="13">
        <v>45167</v>
      </c>
      <c r="F444" s="14">
        <v>6.0566559999999998E-2</v>
      </c>
      <c r="G444" s="15" t="s">
        <v>133</v>
      </c>
      <c r="H444" s="14">
        <v>1.8171785178517849E-2</v>
      </c>
      <c r="I444" s="12" t="str">
        <f t="shared" si="22"/>
        <v>Dcycle Andina SASD - Bodega 1water4516745167</v>
      </c>
      <c r="J444" s="12">
        <f t="shared" si="25"/>
        <v>6.0566559999999998E-2</v>
      </c>
      <c r="K444" s="12">
        <f>IF(Combinadas!$C204="electricity", Combinadas!$J204/6.6667,
IF(Combinadas!$C204="water", Combinadas!$J204/3.333,
IF(Combinadas!$C204="heat", Combinadas!$J204/0.8333, IF(Combinadas!$C204="waste",Combinadas!$J204/25,
"NA"))))</f>
        <v>50.999745001274995</v>
      </c>
      <c r="L444" s="12">
        <f>Combinadas!$J204</f>
        <v>340</v>
      </c>
      <c r="M444" s="12">
        <f>IF(Table4[[#This Row],[Type]]="waste", Table4[[#This Row],[Q_Tonnes]]/25, Table4[[#This Row],[CO2_Noduplicates]])</f>
        <v>50.999745001274995</v>
      </c>
    </row>
    <row r="445" spans="1:13" x14ac:dyDescent="0.25">
      <c r="A445" s="12" t="s">
        <v>11</v>
      </c>
      <c r="B445" s="12" t="s">
        <v>48</v>
      </c>
      <c r="C445" s="12" t="s">
        <v>130</v>
      </c>
      <c r="D445" s="13">
        <v>45170</v>
      </c>
      <c r="E445" s="13">
        <v>45199</v>
      </c>
      <c r="F445" s="14">
        <v>13</v>
      </c>
      <c r="G445" s="15" t="s">
        <v>133</v>
      </c>
      <c r="H445" s="14">
        <v>3.9003900390039004</v>
      </c>
      <c r="I445" s="12" t="str">
        <f t="shared" si="22"/>
        <v>Dcycle Andina SASD - Bodega 1water4517045199</v>
      </c>
      <c r="J445" s="12">
        <f t="shared" si="25"/>
        <v>13</v>
      </c>
      <c r="K445" s="12">
        <f>IF(Combinadas!$C214="electricity", Combinadas!$J214/6.6667,
IF(Combinadas!$C214="water", Combinadas!$J214/3.333,
IF(Combinadas!$C214="heat", Combinadas!$J214/0.8333, IF(Combinadas!$C214="waste",Combinadas!$J214/25,
"NA"))))</f>
        <v>6.8</v>
      </c>
      <c r="L445" s="12">
        <f>Combinadas!$J214</f>
        <v>170</v>
      </c>
      <c r="M445" s="12">
        <f>IF(Table4[[#This Row],[Type]]="waste", Table4[[#This Row],[Q_Tonnes]]/25, Table4[[#This Row],[CO2_Noduplicates]])</f>
        <v>6.8</v>
      </c>
    </row>
    <row r="446" spans="1:13" x14ac:dyDescent="0.25">
      <c r="A446" s="12" t="s">
        <v>11</v>
      </c>
      <c r="B446" s="12" t="s">
        <v>53</v>
      </c>
      <c r="C446" s="12" t="s">
        <v>130</v>
      </c>
      <c r="D446" s="13">
        <v>45170</v>
      </c>
      <c r="E446" s="13">
        <v>45199</v>
      </c>
      <c r="F446" s="14">
        <v>5</v>
      </c>
      <c r="G446" s="15" t="s">
        <v>133</v>
      </c>
      <c r="H446" s="14">
        <v>1.5001500150015001</v>
      </c>
      <c r="I446" s="12" t="str">
        <f t="shared" si="22"/>
        <v>Dcycle Andina SASD - Bodega 2 (almacén)water4517045199</v>
      </c>
      <c r="J446" s="12">
        <f t="shared" si="25"/>
        <v>5</v>
      </c>
      <c r="K446" s="12">
        <f>IF(Combinadas!$C240="electricity", Combinadas!$J240/6.6667,
IF(Combinadas!$C240="water", Combinadas!$J240/3.333,
IF(Combinadas!$C240="heat", Combinadas!$J240/0.8333, IF(Combinadas!$C240="waste",Combinadas!$J240/25,
"NA"))))</f>
        <v>2.2714731473147315E-2</v>
      </c>
      <c r="L446" s="12">
        <f>Combinadas!$J240</f>
        <v>7.5708200000000003E-2</v>
      </c>
      <c r="M446" s="12">
        <f>IF(Table4[[#This Row],[Type]]="waste", Table4[[#This Row],[Q_Tonnes]]/25, Table4[[#This Row],[CO2_Noduplicates]])</f>
        <v>2.2714731473147315E-2</v>
      </c>
    </row>
    <row r="447" spans="1:13" x14ac:dyDescent="0.25">
      <c r="A447" s="12" t="s">
        <v>11</v>
      </c>
      <c r="B447" s="12" t="s">
        <v>53</v>
      </c>
      <c r="C447" s="16" t="s">
        <v>237</v>
      </c>
      <c r="D447" s="13">
        <v>45170</v>
      </c>
      <c r="E447" s="13">
        <v>45199</v>
      </c>
      <c r="F447" s="14">
        <v>40</v>
      </c>
      <c r="G447" s="15" t="s">
        <v>232</v>
      </c>
      <c r="H447" s="14">
        <v>1.6</v>
      </c>
      <c r="I447" s="12" t="str">
        <f t="shared" si="22"/>
        <v>Dcycle Andina SASD - Bodega 2 (almacén)waste4517045199</v>
      </c>
      <c r="J447" s="12">
        <f>data_waste!L11</f>
        <v>40</v>
      </c>
      <c r="K447" s="12">
        <f>IF(Combinadas!$C446="electricity", Combinadas!$J446/6.6667,
IF(Combinadas!$C446="water", Combinadas!$J446/3.333,
IF(Combinadas!$C446="heat", Combinadas!$J446/0.8333, IF(Combinadas!$C446="waste",Combinadas!$J446/25,
"NA"))))</f>
        <v>1.5001500150015001</v>
      </c>
      <c r="L447" s="12">
        <f>data_waste!M11</f>
        <v>40000</v>
      </c>
      <c r="M447" s="12">
        <f>IF(Table4[[#This Row],[Type]]="waste", Table4[[#This Row],[Q_Tonnes]]/25, Table4[[#This Row],[CO2_Noduplicates]])</f>
        <v>1600</v>
      </c>
    </row>
    <row r="448" spans="1:13" x14ac:dyDescent="0.25">
      <c r="A448" s="12" t="s">
        <v>11</v>
      </c>
      <c r="B448" s="12" t="s">
        <v>53</v>
      </c>
      <c r="C448" s="16" t="s">
        <v>237</v>
      </c>
      <c r="D448" s="17">
        <v>45170</v>
      </c>
      <c r="E448" s="17">
        <v>45199</v>
      </c>
      <c r="F448" s="14">
        <v>44</v>
      </c>
      <c r="G448" s="19" t="s">
        <v>232</v>
      </c>
      <c r="H448" s="14">
        <v>1.76</v>
      </c>
      <c r="I448" s="12" t="str">
        <f t="shared" si="22"/>
        <v>Dcycle Andina SASD - Bodega 2 (almacén)waste4517045199</v>
      </c>
      <c r="J448" s="12">
        <f>data_waste!L14</f>
        <v>44</v>
      </c>
      <c r="K448" s="12">
        <f>IF(Combinadas!$C449="electricity", Combinadas!$J449/6.6667,
IF(Combinadas!$C449="water", Combinadas!$J449/3.333,
IF(Combinadas!$C449="heat", Combinadas!$J449/0.8333, IF(Combinadas!$C449="waste",Combinadas!$J449/25,
"NA"))))</f>
        <v>8.2799999999999994</v>
      </c>
      <c r="L448" s="12">
        <f>data_waste!M14</f>
        <v>44000</v>
      </c>
      <c r="M448" s="12">
        <f>IF(Table4[[#This Row],[Type]]="waste", Table4[[#This Row],[Q_Tonnes]]/25, Table4[[#This Row],[CO2_Noduplicates]])</f>
        <v>1760</v>
      </c>
    </row>
    <row r="449" spans="1:13" x14ac:dyDescent="0.25">
      <c r="A449" s="12" t="s">
        <v>11</v>
      </c>
      <c r="B449" s="12" t="s">
        <v>53</v>
      </c>
      <c r="C449" s="16" t="s">
        <v>237</v>
      </c>
      <c r="D449" s="13">
        <v>45170</v>
      </c>
      <c r="E449" s="13">
        <v>45199</v>
      </c>
      <c r="F449" s="14">
        <v>207</v>
      </c>
      <c r="G449" s="15" t="s">
        <v>232</v>
      </c>
      <c r="H449" s="14">
        <v>8.2799999999999994</v>
      </c>
      <c r="I449" s="12" t="str">
        <f t="shared" si="22"/>
        <v>Dcycle Andina SASD - Bodega 2 (almacén)waste4517045199</v>
      </c>
      <c r="J449" s="12">
        <f>data_waste!L23</f>
        <v>207</v>
      </c>
      <c r="K449" s="12">
        <f>IF(Combinadas!$C458="electricity", Combinadas!$J458/6.6667,
IF(Combinadas!$C458="water", Combinadas!$J458/3.333,
IF(Combinadas!$C458="heat", Combinadas!$J458/0.8333, IF(Combinadas!$C458="waste",Combinadas!$J458/25,
"NA"))))</f>
        <v>3.9003900390039004</v>
      </c>
      <c r="L449" s="12">
        <f>data_waste!M23</f>
        <v>207000</v>
      </c>
      <c r="M449" s="12">
        <f>IF(Table4[[#This Row],[Type]]="waste", Table4[[#This Row],[Q_Tonnes]]/25, Table4[[#This Row],[CO2_Noduplicates]])</f>
        <v>8280</v>
      </c>
    </row>
    <row r="450" spans="1:13" x14ac:dyDescent="0.25">
      <c r="A450" s="12" t="s">
        <v>11</v>
      </c>
      <c r="B450" s="12" t="s">
        <v>48</v>
      </c>
      <c r="C450" s="12" t="s">
        <v>128</v>
      </c>
      <c r="D450" s="13">
        <v>45174</v>
      </c>
      <c r="E450" s="13">
        <v>45203</v>
      </c>
      <c r="F450" s="14">
        <v>1841</v>
      </c>
      <c r="G450" s="15" t="s">
        <v>129</v>
      </c>
      <c r="H450" s="14">
        <v>276.14861925690371</v>
      </c>
      <c r="I450" s="12" t="str">
        <f t="shared" ref="I450:I513" si="26">A450&amp;B450&amp;C450&amp;D450&amp;E450</f>
        <v>Dcycle Andina SASD - Bodega 1electricity4517445203</v>
      </c>
      <c r="J450" s="12">
        <f>IF(F450=_xlfn.MAXIFS(F:F, I:I, I450), F450, 0)</f>
        <v>1841</v>
      </c>
      <c r="K450" s="12">
        <f>IF(Combinadas!$C198="electricity", Combinadas!$J198/6.6667,
IF(Combinadas!$C198="water", Combinadas!$J198/3.333,
IF(Combinadas!$C198="heat", Combinadas!$J198/0.8333, IF(Combinadas!$C198="waste",Combinadas!$J198/25,
"NA"))))</f>
        <v>2.7002700270027002</v>
      </c>
      <c r="L450" s="12">
        <f>Combinadas!$J198</f>
        <v>9</v>
      </c>
      <c r="M450" s="12">
        <f>IF(Table4[[#This Row],[Type]]="waste", Table4[[#This Row],[Q_Tonnes]]/25, Table4[[#This Row],[CO2_Noduplicates]])</f>
        <v>2.7002700270027002</v>
      </c>
    </row>
    <row r="451" spans="1:13" x14ac:dyDescent="0.25">
      <c r="A451" s="12" t="s">
        <v>11</v>
      </c>
      <c r="B451" s="12" t="s">
        <v>53</v>
      </c>
      <c r="C451" s="12" t="s">
        <v>128</v>
      </c>
      <c r="D451" s="13">
        <v>45174</v>
      </c>
      <c r="E451" s="13">
        <v>45203</v>
      </c>
      <c r="F451" s="14">
        <v>581</v>
      </c>
      <c r="G451" s="15" t="s">
        <v>129</v>
      </c>
      <c r="H451" s="14">
        <v>87.149564252178749</v>
      </c>
      <c r="I451" s="12" t="str">
        <f t="shared" si="26"/>
        <v>Dcycle Andina SASD - Bodega 2 (almacén)electricity4517445203</v>
      </c>
      <c r="J451" s="12">
        <f>IF(F451=_xlfn.MAXIFS(F:F, I:I, I451), F451, 0)</f>
        <v>581</v>
      </c>
      <c r="K451" s="12">
        <f>IF(Combinadas!$C226="electricity", Combinadas!$J226/6.6667,
IF(Combinadas!$C226="water", Combinadas!$J226/3.333,
IF(Combinadas!$C226="heat", Combinadas!$J226/0.8333, IF(Combinadas!$C226="waste",Combinadas!$J226/25,
"NA"))))</f>
        <v>240.29879850600747</v>
      </c>
      <c r="L451" s="12">
        <f>Combinadas!$J226</f>
        <v>1602</v>
      </c>
      <c r="M451" s="12">
        <f>IF(Table4[[#This Row],[Type]]="waste", Table4[[#This Row],[Q_Tonnes]]/25, Table4[[#This Row],[CO2_Noduplicates]])</f>
        <v>240.29879850600747</v>
      </c>
    </row>
    <row r="452" spans="1:13" x14ac:dyDescent="0.25">
      <c r="A452" s="12" t="s">
        <v>11</v>
      </c>
      <c r="B452" s="12" t="s">
        <v>53</v>
      </c>
      <c r="C452" s="16" t="s">
        <v>237</v>
      </c>
      <c r="D452" s="13">
        <v>45198</v>
      </c>
      <c r="E452" s="13">
        <v>45228</v>
      </c>
      <c r="F452" s="14">
        <v>645</v>
      </c>
      <c r="G452" s="15" t="s">
        <v>232</v>
      </c>
      <c r="H452" s="14">
        <v>25.8</v>
      </c>
      <c r="I452" s="12" t="str">
        <f t="shared" si="26"/>
        <v>Dcycle Andina SASD - Bodega 2 (almacén)waste4519845228</v>
      </c>
      <c r="J452" s="12">
        <f>data_waste!L33</f>
        <v>645</v>
      </c>
      <c r="K452" s="12">
        <f>IF(Combinadas!$C468="electricity", Combinadas!$J468/6.6667,
IF(Combinadas!$C468="water", Combinadas!$J468/3.333,
IF(Combinadas!$C468="heat", Combinadas!$J468/0.8333, IF(Combinadas!$C468="waste",Combinadas!$J468/25,
"NA"))))</f>
        <v>271.94864025679874</v>
      </c>
      <c r="L452" s="12">
        <f>data_waste!M33</f>
        <v>645000</v>
      </c>
      <c r="M452" s="12">
        <f>IF(Table4[[#This Row],[Type]]="waste", Table4[[#This Row],[Q_Tonnes]]/25, Table4[[#This Row],[CO2_Noduplicates]])</f>
        <v>25800</v>
      </c>
    </row>
    <row r="453" spans="1:13" x14ac:dyDescent="0.25">
      <c r="A453" s="16" t="s">
        <v>11</v>
      </c>
      <c r="B453" s="16" t="s">
        <v>48</v>
      </c>
      <c r="C453" s="16" t="s">
        <v>130</v>
      </c>
      <c r="D453" s="17">
        <v>45200</v>
      </c>
      <c r="E453" s="17">
        <v>45230</v>
      </c>
      <c r="F453" s="18">
        <v>14</v>
      </c>
      <c r="G453" s="19" t="s">
        <v>133</v>
      </c>
      <c r="H453" s="18">
        <v>4.2004200420042004</v>
      </c>
      <c r="I453" s="12" t="str">
        <f t="shared" si="26"/>
        <v>Dcycle Andina SASD - Bodega 1water4520045230</v>
      </c>
      <c r="J453" s="12">
        <f>IF(F453=_xlfn.MAXIFS(F:F, I:I, I453), F453, 0)</f>
        <v>14</v>
      </c>
      <c r="K453" s="12">
        <f>IF(Combinadas!$C215="electricity", Combinadas!$J215/6.6667,
IF(Combinadas!$C215="water", Combinadas!$J215/3.333,
IF(Combinadas!$C215="heat", Combinadas!$J215/0.8333, IF(Combinadas!$C215="waste",Combinadas!$J215/25,
"NA"))))</f>
        <v>32.479999999999997</v>
      </c>
      <c r="L453" s="12">
        <f>Combinadas!$J215</f>
        <v>812</v>
      </c>
      <c r="M453" s="12">
        <f>IF(Table4[[#This Row],[Type]]="waste", Table4[[#This Row],[Q_Tonnes]]/25, Table4[[#This Row],[CO2_Noduplicates]])</f>
        <v>32.479999999999997</v>
      </c>
    </row>
    <row r="454" spans="1:13" x14ac:dyDescent="0.25">
      <c r="A454" s="16" t="s">
        <v>11</v>
      </c>
      <c r="B454" s="16" t="s">
        <v>53</v>
      </c>
      <c r="C454" s="16" t="s">
        <v>130</v>
      </c>
      <c r="D454" s="17">
        <v>45200</v>
      </c>
      <c r="E454" s="17">
        <v>45230</v>
      </c>
      <c r="F454" s="18">
        <v>4</v>
      </c>
      <c r="G454" s="19" t="s">
        <v>133</v>
      </c>
      <c r="H454" s="18">
        <v>1.2001200120012001</v>
      </c>
      <c r="I454" s="12" t="str">
        <f t="shared" si="26"/>
        <v>Dcycle Andina SASD - Bodega 2 (almacén)water4520045230</v>
      </c>
      <c r="J454" s="12">
        <f>IF(F454=_xlfn.MAXIFS(F:F, I:I, I454), F454, 0)</f>
        <v>4</v>
      </c>
      <c r="K454" s="12">
        <f>IF(Combinadas!$C241="electricity", Combinadas!$J241/6.6667,
IF(Combinadas!$C241="water", Combinadas!$J241/3.333,
IF(Combinadas!$C241="heat", Combinadas!$J241/0.8333, IF(Combinadas!$C241="waste",Combinadas!$J241/25,
"NA"))))</f>
        <v>8.1008100810081007</v>
      </c>
      <c r="L454" s="12">
        <f>Combinadas!$J241</f>
        <v>27</v>
      </c>
      <c r="M454" s="12">
        <f>IF(Table4[[#This Row],[Type]]="waste", Table4[[#This Row],[Q_Tonnes]]/25, Table4[[#This Row],[CO2_Noduplicates]])</f>
        <v>8.1008100810081007</v>
      </c>
    </row>
    <row r="455" spans="1:13" x14ac:dyDescent="0.25">
      <c r="A455" s="12" t="s">
        <v>11</v>
      </c>
      <c r="B455" s="12" t="s">
        <v>53</v>
      </c>
      <c r="C455" s="16" t="s">
        <v>237</v>
      </c>
      <c r="D455" s="17">
        <v>45200</v>
      </c>
      <c r="E455" s="17">
        <v>45230</v>
      </c>
      <c r="F455" s="14">
        <v>182</v>
      </c>
      <c r="G455" s="19" t="s">
        <v>232</v>
      </c>
      <c r="H455" s="14">
        <v>7.28</v>
      </c>
      <c r="I455" s="12" t="str">
        <f t="shared" si="26"/>
        <v>Dcycle Andina SASD - Bodega 2 (almacén)waste4520045230</v>
      </c>
      <c r="J455" s="12">
        <f>data_waste!L22</f>
        <v>182</v>
      </c>
      <c r="K455" s="12">
        <f>IF(Combinadas!$C457="electricity", Combinadas!$J457/6.6667,
IF(Combinadas!$C457="water", Combinadas!$J457/3.333,
IF(Combinadas!$C457="heat", Combinadas!$J457/0.8333, IF(Combinadas!$C457="waste",Combinadas!$J457/25,
"NA"))))</f>
        <v>76.199619001904992</v>
      </c>
      <c r="L455" s="12">
        <f>data_waste!M22</f>
        <v>182000</v>
      </c>
      <c r="M455" s="12">
        <f>IF(Table4[[#This Row],[Type]]="waste", Table4[[#This Row],[Q_Tonnes]]/25, Table4[[#This Row],[CO2_Noduplicates]])</f>
        <v>7280</v>
      </c>
    </row>
    <row r="456" spans="1:13" x14ac:dyDescent="0.25">
      <c r="A456" s="16" t="s">
        <v>11</v>
      </c>
      <c r="B456" s="16" t="s">
        <v>48</v>
      </c>
      <c r="C456" s="16" t="s">
        <v>128</v>
      </c>
      <c r="D456" s="17">
        <v>45204</v>
      </c>
      <c r="E456" s="17">
        <v>45233</v>
      </c>
      <c r="F456" s="18">
        <v>1717</v>
      </c>
      <c r="G456" s="19" t="s">
        <v>129</v>
      </c>
      <c r="H456" s="18">
        <v>257.54871225643871</v>
      </c>
      <c r="I456" s="12" t="str">
        <f t="shared" si="26"/>
        <v>Dcycle Andina SASD - Bodega 1electricity4520445233</v>
      </c>
      <c r="J456" s="12">
        <f>IF(F456=_xlfn.MAXIFS(F:F, I:I, I456), F456, 0)</f>
        <v>1717</v>
      </c>
      <c r="K456" s="12">
        <f>IF(Combinadas!$C199="electricity", Combinadas!$J199/6.6667,
IF(Combinadas!$C199="water", Combinadas!$J199/3.333,
IF(Combinadas!$C199="heat", Combinadas!$J199/0.8333, IF(Combinadas!$C199="waste",Combinadas!$J199/25,
"NA"))))</f>
        <v>2.1002100210021002</v>
      </c>
      <c r="L456" s="12">
        <f>Combinadas!$J199</f>
        <v>7</v>
      </c>
      <c r="M456" s="12">
        <f>IF(Table4[[#This Row],[Type]]="waste", Table4[[#This Row],[Q_Tonnes]]/25, Table4[[#This Row],[CO2_Noduplicates]])</f>
        <v>2.1002100210021002</v>
      </c>
    </row>
    <row r="457" spans="1:13" x14ac:dyDescent="0.25">
      <c r="A457" s="16" t="s">
        <v>11</v>
      </c>
      <c r="B457" s="16" t="s">
        <v>53</v>
      </c>
      <c r="C457" s="16" t="s">
        <v>128</v>
      </c>
      <c r="D457" s="17">
        <v>45204</v>
      </c>
      <c r="E457" s="17">
        <v>45233</v>
      </c>
      <c r="F457" s="18">
        <v>508</v>
      </c>
      <c r="G457" s="19" t="s">
        <v>129</v>
      </c>
      <c r="H457" s="18">
        <v>76.199619001904992</v>
      </c>
      <c r="I457" s="12" t="str">
        <f t="shared" si="26"/>
        <v>Dcycle Andina SASD - Bodega 2 (almacén)electricity4520445233</v>
      </c>
      <c r="J457" s="12">
        <f>IF(F457=_xlfn.MAXIFS(F:F, I:I, I457), F457, 0)</f>
        <v>508</v>
      </c>
      <c r="K457" s="12">
        <f>IF(Combinadas!$C227="electricity", Combinadas!$J227/6.6667,
IF(Combinadas!$C227="water", Combinadas!$J227/3.333,
IF(Combinadas!$C227="heat", Combinadas!$J227/0.8333, IF(Combinadas!$C227="waste",Combinadas!$J227/25,
"NA"))))</f>
        <v>59.249703751481249</v>
      </c>
      <c r="L457" s="12">
        <f>Combinadas!$J227</f>
        <v>395</v>
      </c>
      <c r="M457" s="12">
        <f>IF(Table4[[#This Row],[Type]]="waste", Table4[[#This Row],[Q_Tonnes]]/25, Table4[[#This Row],[CO2_Noduplicates]])</f>
        <v>59.249703751481249</v>
      </c>
    </row>
    <row r="458" spans="1:13" x14ac:dyDescent="0.25">
      <c r="A458" s="12" t="s">
        <v>11</v>
      </c>
      <c r="B458" s="12" t="s">
        <v>48</v>
      </c>
      <c r="C458" s="12" t="s">
        <v>130</v>
      </c>
      <c r="D458" s="13">
        <v>45231</v>
      </c>
      <c r="E458" s="13">
        <v>45260</v>
      </c>
      <c r="F458" s="14">
        <v>13</v>
      </c>
      <c r="G458" s="15" t="s">
        <v>133</v>
      </c>
      <c r="H458" s="14">
        <v>3.9003900390039004</v>
      </c>
      <c r="I458" s="12" t="str">
        <f t="shared" si="26"/>
        <v>Dcycle Andina SASD - Bodega 1water4523145260</v>
      </c>
      <c r="J458" s="12">
        <f>IF(F458=_xlfn.MAXIFS(F:F, I:I, I458), F458, 0)</f>
        <v>13</v>
      </c>
      <c r="K458" s="12">
        <f>IF(Combinadas!$C216="electricity", Combinadas!$J216/6.6667,
IF(Combinadas!$C216="water", Combinadas!$J216/3.333,
IF(Combinadas!$C216="heat", Combinadas!$J216/0.8333, IF(Combinadas!$C216="waste",Combinadas!$J216/25,
"NA"))))</f>
        <v>202.79898600506999</v>
      </c>
      <c r="L458" s="12">
        <f>Combinadas!$J216</f>
        <v>1352</v>
      </c>
      <c r="M458" s="12">
        <f>IF(Table4[[#This Row],[Type]]="waste", Table4[[#This Row],[Q_Tonnes]]/25, Table4[[#This Row],[CO2_Noduplicates]])</f>
        <v>202.79898600506999</v>
      </c>
    </row>
    <row r="459" spans="1:13" x14ac:dyDescent="0.25">
      <c r="A459" s="12" t="s">
        <v>11</v>
      </c>
      <c r="B459" s="12" t="s">
        <v>53</v>
      </c>
      <c r="C459" s="12" t="s">
        <v>130</v>
      </c>
      <c r="D459" s="13">
        <v>45231</v>
      </c>
      <c r="E459" s="13">
        <v>45260</v>
      </c>
      <c r="F459" s="14">
        <v>5</v>
      </c>
      <c r="G459" s="15" t="s">
        <v>133</v>
      </c>
      <c r="H459" s="14">
        <v>1.5001500150015001</v>
      </c>
      <c r="I459" s="12" t="str">
        <f t="shared" si="26"/>
        <v>Dcycle Andina SASD - Bodega 2 (almacén)water4523145260</v>
      </c>
      <c r="J459" s="12">
        <f>IF(F459=_xlfn.MAXIFS(F:F, I:I, I459), F459, 0)</f>
        <v>5</v>
      </c>
      <c r="K459" s="12">
        <f>IF(Combinadas!$C242="electricity", Combinadas!$J242/6.6667,
IF(Combinadas!$C242="water", Combinadas!$J242/3.333,
IF(Combinadas!$C242="heat", Combinadas!$J242/0.8333, IF(Combinadas!$C242="waste",Combinadas!$J242/25,
"NA"))))</f>
        <v>1.5001500150015001</v>
      </c>
      <c r="L459" s="12">
        <f>Combinadas!$J242</f>
        <v>5</v>
      </c>
      <c r="M459" s="12">
        <f>IF(Table4[[#This Row],[Type]]="waste", Table4[[#This Row],[Q_Tonnes]]/25, Table4[[#This Row],[CO2_Noduplicates]])</f>
        <v>1.5001500150015001</v>
      </c>
    </row>
    <row r="460" spans="1:13" x14ac:dyDescent="0.25">
      <c r="A460" s="12" t="s">
        <v>11</v>
      </c>
      <c r="B460" s="12" t="s">
        <v>53</v>
      </c>
      <c r="C460" s="16" t="s">
        <v>237</v>
      </c>
      <c r="D460" s="13">
        <v>45231</v>
      </c>
      <c r="E460" s="13">
        <v>45260</v>
      </c>
      <c r="F460" s="14">
        <v>3.5</v>
      </c>
      <c r="G460" s="15" t="s">
        <v>232</v>
      </c>
      <c r="H460" s="14">
        <v>0.14000000000000001</v>
      </c>
      <c r="I460" s="12" t="str">
        <f t="shared" si="26"/>
        <v>Dcycle Andina SASD - Bodega 2 (almacén)waste4523145260</v>
      </c>
      <c r="J460" s="12">
        <f>data_waste!L5</f>
        <v>3.5</v>
      </c>
      <c r="K460" s="12">
        <f>IF(Combinadas!$C440="electricity", Combinadas!$J440/6.6667,
IF(Combinadas!$C440="water", Combinadas!$J440/3.333,
IF(Combinadas!$C440="heat", Combinadas!$J440/0.8333, IF(Combinadas!$C440="waste",Combinadas!$J440/25,
"NA"))))</f>
        <v>13.36</v>
      </c>
      <c r="L460" s="12">
        <f>data_waste!M5</f>
        <v>3500</v>
      </c>
      <c r="M460" s="12">
        <f>IF(Table4[[#This Row],[Type]]="waste", Table4[[#This Row],[Q_Tonnes]]/25, Table4[[#This Row],[CO2_Noduplicates]])</f>
        <v>140</v>
      </c>
    </row>
    <row r="461" spans="1:13" x14ac:dyDescent="0.25">
      <c r="A461" s="12" t="s">
        <v>11</v>
      </c>
      <c r="B461" s="12" t="s">
        <v>53</v>
      </c>
      <c r="C461" s="16" t="s">
        <v>237</v>
      </c>
      <c r="D461" s="17">
        <v>45231</v>
      </c>
      <c r="E461" s="17">
        <v>45260</v>
      </c>
      <c r="F461" s="14">
        <v>5.3</v>
      </c>
      <c r="G461" s="19" t="s">
        <v>232</v>
      </c>
      <c r="H461" s="14">
        <v>0.21199999999999999</v>
      </c>
      <c r="I461" s="12" t="str">
        <f t="shared" si="26"/>
        <v>Dcycle Andina SASD - Bodega 2 (almacén)waste4523145260</v>
      </c>
      <c r="J461" s="12">
        <f>data_waste!L6</f>
        <v>5.3</v>
      </c>
      <c r="K461" s="12">
        <f>IF(Combinadas!$C441="electricity", Combinadas!$J441/6.6667,
IF(Combinadas!$C441="water", Combinadas!$J441/3.333,
IF(Combinadas!$C441="heat", Combinadas!$J441/0.8333, IF(Combinadas!$C441="waste",Combinadas!$J441/25,
"NA"))))</f>
        <v>286.19856900715496</v>
      </c>
      <c r="L461" s="12">
        <f>data_waste!M6</f>
        <v>5300</v>
      </c>
      <c r="M461" s="12">
        <f>IF(Table4[[#This Row],[Type]]="waste", Table4[[#This Row],[Q_Tonnes]]/25, Table4[[#This Row],[CO2_Noduplicates]])</f>
        <v>212</v>
      </c>
    </row>
    <row r="462" spans="1:13" x14ac:dyDescent="0.25">
      <c r="A462" s="12" t="s">
        <v>11</v>
      </c>
      <c r="B462" s="12" t="s">
        <v>53</v>
      </c>
      <c r="C462" s="16" t="s">
        <v>237</v>
      </c>
      <c r="D462" s="13">
        <v>45231</v>
      </c>
      <c r="E462" s="13">
        <v>45260</v>
      </c>
      <c r="F462" s="14">
        <v>8</v>
      </c>
      <c r="G462" s="15" t="s">
        <v>232</v>
      </c>
      <c r="H462" s="14">
        <v>0.32</v>
      </c>
      <c r="I462" s="12" t="str">
        <f t="shared" si="26"/>
        <v>Dcycle Andina SASD - Bodega 2 (almacén)waste4523145260</v>
      </c>
      <c r="J462" s="12">
        <f>data_waste!L7</f>
        <v>8</v>
      </c>
      <c r="K462" s="12">
        <f>IF(Combinadas!$C442="electricity", Combinadas!$J442/6.6667,
IF(Combinadas!$C442="water", Combinadas!$J442/3.333,
IF(Combinadas!$C442="heat", Combinadas!$J442/0.8333, IF(Combinadas!$C442="waste",Combinadas!$J442/25,
"NA"))))</f>
        <v>69.149654251728748</v>
      </c>
      <c r="L462" s="12">
        <f>data_waste!M7</f>
        <v>8000</v>
      </c>
      <c r="M462" s="12">
        <f>IF(Table4[[#This Row],[Type]]="waste", Table4[[#This Row],[Q_Tonnes]]/25, Table4[[#This Row],[CO2_Noduplicates]])</f>
        <v>320</v>
      </c>
    </row>
    <row r="463" spans="1:13" x14ac:dyDescent="0.25">
      <c r="A463" s="12" t="s">
        <v>11</v>
      </c>
      <c r="B463" s="12" t="s">
        <v>53</v>
      </c>
      <c r="C463" s="16" t="s">
        <v>237</v>
      </c>
      <c r="D463" s="17">
        <v>45231</v>
      </c>
      <c r="E463" s="17">
        <v>45260</v>
      </c>
      <c r="F463" s="14">
        <v>11</v>
      </c>
      <c r="G463" s="19" t="s">
        <v>232</v>
      </c>
      <c r="H463" s="14">
        <v>0.44</v>
      </c>
      <c r="I463" s="12" t="str">
        <f t="shared" si="26"/>
        <v>Dcycle Andina SASD - Bodega 2 (almacén)waste4523145260</v>
      </c>
      <c r="J463" s="12">
        <f>data_waste!L8</f>
        <v>11</v>
      </c>
      <c r="K463" s="12">
        <f>IF(Combinadas!$C443="electricity", Combinadas!$J443/6.6667,
IF(Combinadas!$C443="water", Combinadas!$J443/3.333,
IF(Combinadas!$C443="heat", Combinadas!$J443/0.8333, IF(Combinadas!$C443="waste",Combinadas!$J443/25,
"NA"))))</f>
        <v>1.8421647224722469E-2</v>
      </c>
      <c r="L463" s="12">
        <f>data_waste!M8</f>
        <v>11000</v>
      </c>
      <c r="M463" s="12">
        <f>IF(Table4[[#This Row],[Type]]="waste", Table4[[#This Row],[Q_Tonnes]]/25, Table4[[#This Row],[CO2_Noduplicates]])</f>
        <v>440</v>
      </c>
    </row>
    <row r="464" spans="1:13" x14ac:dyDescent="0.25">
      <c r="A464" s="12" t="s">
        <v>11</v>
      </c>
      <c r="B464" s="12" t="s">
        <v>53</v>
      </c>
      <c r="C464" s="16" t="s">
        <v>237</v>
      </c>
      <c r="D464" s="13">
        <v>45231</v>
      </c>
      <c r="E464" s="13">
        <v>45260</v>
      </c>
      <c r="F464" s="14">
        <v>14</v>
      </c>
      <c r="G464" s="15" t="s">
        <v>232</v>
      </c>
      <c r="H464" s="14">
        <v>0.56000000000000005</v>
      </c>
      <c r="I464" s="12" t="str">
        <f t="shared" si="26"/>
        <v>Dcycle Andina SASD - Bodega 2 (almacén)waste4523145260</v>
      </c>
      <c r="J464" s="12">
        <f>data_waste!L9</f>
        <v>14</v>
      </c>
      <c r="K464" s="12">
        <f>IF(Combinadas!$C444="electricity", Combinadas!$J444/6.6667,
IF(Combinadas!$C444="water", Combinadas!$J444/3.333,
IF(Combinadas!$C444="heat", Combinadas!$J444/0.8333, IF(Combinadas!$C444="waste",Combinadas!$J444/25,
"NA"))))</f>
        <v>1.8171785178517849E-2</v>
      </c>
      <c r="L464" s="12">
        <f>data_waste!M9</f>
        <v>14000</v>
      </c>
      <c r="M464" s="12">
        <f>IF(Table4[[#This Row],[Type]]="waste", Table4[[#This Row],[Q_Tonnes]]/25, Table4[[#This Row],[CO2_Noduplicates]])</f>
        <v>560</v>
      </c>
    </row>
    <row r="465" spans="1:13" x14ac:dyDescent="0.25">
      <c r="A465" s="12" t="s">
        <v>11</v>
      </c>
      <c r="B465" s="12" t="s">
        <v>53</v>
      </c>
      <c r="C465" s="16" t="s">
        <v>237</v>
      </c>
      <c r="D465" s="13">
        <v>45231</v>
      </c>
      <c r="E465" s="13">
        <v>45260</v>
      </c>
      <c r="F465" s="14">
        <v>77</v>
      </c>
      <c r="G465" s="15" t="s">
        <v>232</v>
      </c>
      <c r="H465" s="14">
        <v>3.08</v>
      </c>
      <c r="I465" s="12" t="str">
        <f t="shared" si="26"/>
        <v>Dcycle Andina SASD - Bodega 2 (almacén)waste4523145260</v>
      </c>
      <c r="J465" s="12">
        <f>data_waste!L19</f>
        <v>77</v>
      </c>
      <c r="K465" s="12">
        <f>IF(Combinadas!$C454="electricity", Combinadas!$J454/6.6667,
IF(Combinadas!$C454="water", Combinadas!$J454/3.333,
IF(Combinadas!$C454="heat", Combinadas!$J454/0.8333, IF(Combinadas!$C454="waste",Combinadas!$J454/25,
"NA"))))</f>
        <v>1.2001200120012001</v>
      </c>
      <c r="L465" s="12">
        <f>data_waste!M19</f>
        <v>77000</v>
      </c>
      <c r="M465" s="12">
        <f>IF(Table4[[#This Row],[Type]]="waste", Table4[[#This Row],[Q_Tonnes]]/25, Table4[[#This Row],[CO2_Noduplicates]])</f>
        <v>3080</v>
      </c>
    </row>
    <row r="466" spans="1:13" x14ac:dyDescent="0.25">
      <c r="A466" s="12" t="s">
        <v>11</v>
      </c>
      <c r="B466" s="12" t="s">
        <v>53</v>
      </c>
      <c r="C466" s="16" t="s">
        <v>237</v>
      </c>
      <c r="D466" s="17">
        <v>45231</v>
      </c>
      <c r="E466" s="17">
        <v>45260</v>
      </c>
      <c r="F466" s="14">
        <v>108</v>
      </c>
      <c r="G466" s="19" t="s">
        <v>232</v>
      </c>
      <c r="H466" s="14">
        <v>4.32</v>
      </c>
      <c r="I466" s="12" t="str">
        <f t="shared" si="26"/>
        <v>Dcycle Andina SASD - Bodega 2 (almacén)waste4523145260</v>
      </c>
      <c r="J466" s="12">
        <f>data_waste!L20</f>
        <v>108</v>
      </c>
      <c r="K466" s="12">
        <f>IF(Combinadas!$C455="electricity", Combinadas!$J455/6.6667,
IF(Combinadas!$C455="water", Combinadas!$J455/3.333,
IF(Combinadas!$C455="heat", Combinadas!$J455/0.8333, IF(Combinadas!$C455="waste",Combinadas!$J455/25,
"NA"))))</f>
        <v>7.28</v>
      </c>
      <c r="L466" s="12">
        <f>data_waste!M20</f>
        <v>108000</v>
      </c>
      <c r="M466" s="12">
        <f>IF(Table4[[#This Row],[Type]]="waste", Table4[[#This Row],[Q_Tonnes]]/25, Table4[[#This Row],[CO2_Noduplicates]])</f>
        <v>4320</v>
      </c>
    </row>
    <row r="467" spans="1:13" x14ac:dyDescent="0.25">
      <c r="A467" s="12" t="s">
        <v>11</v>
      </c>
      <c r="B467" s="12" t="s">
        <v>53</v>
      </c>
      <c r="C467" s="16" t="s">
        <v>237</v>
      </c>
      <c r="D467" s="13">
        <v>45231</v>
      </c>
      <c r="E467" s="13">
        <v>45260</v>
      </c>
      <c r="F467" s="14">
        <v>398</v>
      </c>
      <c r="G467" s="15" t="s">
        <v>232</v>
      </c>
      <c r="H467" s="14">
        <v>15.92</v>
      </c>
      <c r="I467" s="12" t="str">
        <f t="shared" si="26"/>
        <v>Dcycle Andina SASD - Bodega 2 (almacén)waste4523145260</v>
      </c>
      <c r="J467" s="12">
        <f>data_waste!L31</f>
        <v>398</v>
      </c>
      <c r="K467" s="12">
        <f>IF(Combinadas!$C466="electricity", Combinadas!$J466/6.6667,
IF(Combinadas!$C466="water", Combinadas!$J466/3.333,
IF(Combinadas!$C466="heat", Combinadas!$J466/0.8333, IF(Combinadas!$C466="waste",Combinadas!$J466/25,
"NA"))))</f>
        <v>4.32</v>
      </c>
      <c r="L467" s="12">
        <f>data_waste!M31</f>
        <v>398000</v>
      </c>
      <c r="M467" s="12">
        <f>IF(Table4[[#This Row],[Type]]="waste", Table4[[#This Row],[Q_Tonnes]]/25, Table4[[#This Row],[CO2_Noduplicates]])</f>
        <v>15920</v>
      </c>
    </row>
    <row r="468" spans="1:13" x14ac:dyDescent="0.25">
      <c r="A468" s="12" t="s">
        <v>11</v>
      </c>
      <c r="B468" s="12" t="s">
        <v>48</v>
      </c>
      <c r="C468" s="12" t="s">
        <v>128</v>
      </c>
      <c r="D468" s="13">
        <v>45234</v>
      </c>
      <c r="E468" s="13">
        <v>45264</v>
      </c>
      <c r="F468" s="14">
        <v>1813</v>
      </c>
      <c r="G468" s="15" t="s">
        <v>129</v>
      </c>
      <c r="H468" s="14">
        <v>271.94864025679874</v>
      </c>
      <c r="I468" s="12" t="str">
        <f t="shared" si="26"/>
        <v>Dcycle Andina SASD - Bodega 1electricity4523445264</v>
      </c>
      <c r="J468" s="12">
        <f>IF(F468=_xlfn.MAXIFS(F:F, I:I, I468), F468, 0)</f>
        <v>1813</v>
      </c>
      <c r="K468" s="12">
        <f>IF(Combinadas!$C200="electricity", Combinadas!$J200/6.6667,
IF(Combinadas!$C200="water", Combinadas!$J200/3.333,
IF(Combinadas!$C200="heat", Combinadas!$J200/0.8333, IF(Combinadas!$C200="waste",Combinadas!$J200/25,
"NA"))))</f>
        <v>1.68</v>
      </c>
      <c r="L468" s="12">
        <f>Combinadas!$J200</f>
        <v>42</v>
      </c>
      <c r="M468" s="12">
        <f>IF(Table4[[#This Row],[Type]]="waste", Table4[[#This Row],[Q_Tonnes]]/25, Table4[[#This Row],[CO2_Noduplicates]])</f>
        <v>1.68</v>
      </c>
    </row>
    <row r="469" spans="1:13" x14ac:dyDescent="0.25">
      <c r="A469" s="12" t="s">
        <v>11</v>
      </c>
      <c r="B469" s="12" t="s">
        <v>53</v>
      </c>
      <c r="C469" s="12" t="s">
        <v>128</v>
      </c>
      <c r="D469" s="13">
        <v>45234</v>
      </c>
      <c r="E469" s="13">
        <v>45264</v>
      </c>
      <c r="F469" s="14">
        <v>316</v>
      </c>
      <c r="G469" s="15" t="s">
        <v>129</v>
      </c>
      <c r="H469" s="14">
        <v>47.399763001184994</v>
      </c>
      <c r="I469" s="12" t="str">
        <f t="shared" si="26"/>
        <v>Dcycle Andina SASD - Bodega 2 (almacén)electricity4523445264</v>
      </c>
      <c r="J469" s="12">
        <f>IF(F469=_xlfn.MAXIFS(F:F, I:I, I469), F469, 0)</f>
        <v>316</v>
      </c>
      <c r="K469" s="12">
        <f>IF(Combinadas!$C228="electricity", Combinadas!$J228/6.6667,
IF(Combinadas!$C228="water", Combinadas!$J228/3.333,
IF(Combinadas!$C228="heat", Combinadas!$J228/0.8333, IF(Combinadas!$C228="waste",Combinadas!$J228/25,
"NA"))))</f>
        <v>3.0003000300030003</v>
      </c>
      <c r="L469" s="12">
        <f>Combinadas!$J228</f>
        <v>10</v>
      </c>
      <c r="M469" s="12">
        <f>IF(Table4[[#This Row],[Type]]="waste", Table4[[#This Row],[Q_Tonnes]]/25, Table4[[#This Row],[CO2_Noduplicates]])</f>
        <v>3.0003000300030003</v>
      </c>
    </row>
    <row r="470" spans="1:13" x14ac:dyDescent="0.25">
      <c r="A470" s="12" t="s">
        <v>11</v>
      </c>
      <c r="B470" s="12" t="s">
        <v>53</v>
      </c>
      <c r="C470" s="16" t="s">
        <v>237</v>
      </c>
      <c r="D470" s="17">
        <v>45261</v>
      </c>
      <c r="E470" s="17">
        <v>45291</v>
      </c>
      <c r="F470" s="14">
        <v>515</v>
      </c>
      <c r="G470" s="19" t="s">
        <v>232</v>
      </c>
      <c r="H470" s="14">
        <v>20.6</v>
      </c>
      <c r="I470" s="12" t="str">
        <f t="shared" si="26"/>
        <v>Dcycle Andina SASD - Bodega 2 (almacén)waste4526145291</v>
      </c>
      <c r="J470" s="12">
        <f>data_waste!L32</f>
        <v>515</v>
      </c>
      <c r="K470" s="12">
        <f>IF(Combinadas!$C467="electricity", Combinadas!$J467/6.6667,
IF(Combinadas!$C467="water", Combinadas!$J467/3.333,
IF(Combinadas!$C467="heat", Combinadas!$J467/0.8333, IF(Combinadas!$C467="waste",Combinadas!$J467/25,
"NA"))))</f>
        <v>15.92</v>
      </c>
      <c r="L470" s="12">
        <f>data_waste!M32</f>
        <v>515000</v>
      </c>
      <c r="M470" s="12">
        <f>IF(Table4[[#This Row],[Type]]="waste", Table4[[#This Row],[Q_Tonnes]]/25, Table4[[#This Row],[CO2_Noduplicates]])</f>
        <v>20600</v>
      </c>
    </row>
    <row r="471" spans="1:13" x14ac:dyDescent="0.25">
      <c r="A471" s="16" t="s">
        <v>11</v>
      </c>
      <c r="B471" s="16" t="s">
        <v>48</v>
      </c>
      <c r="C471" s="16" t="s">
        <v>128</v>
      </c>
      <c r="D471" s="17">
        <v>45265</v>
      </c>
      <c r="E471" s="17">
        <v>45294</v>
      </c>
      <c r="F471" s="18">
        <v>1721</v>
      </c>
      <c r="G471" s="19" t="s">
        <v>129</v>
      </c>
      <c r="H471" s="18">
        <v>258.14870925645374</v>
      </c>
      <c r="I471" s="12" t="str">
        <f t="shared" si="26"/>
        <v>Dcycle Andina SASD - Bodega 1electricity4526545294</v>
      </c>
      <c r="J471" s="12">
        <f t="shared" ref="J471:J476" si="27">IF(F471=_xlfn.MAXIFS(F:F, I:I, I471), F471, 0)</f>
        <v>1721</v>
      </c>
      <c r="K471" s="12">
        <f>IF(Combinadas!$C201="electricity", Combinadas!$J201/6.6667,
IF(Combinadas!$C201="water", Combinadas!$J201/3.333,
IF(Combinadas!$C201="heat", Combinadas!$J201/0.8333, IF(Combinadas!$C201="waste",Combinadas!$J201/25,
"NA"))))</f>
        <v>8.32</v>
      </c>
      <c r="L471" s="12">
        <f>Combinadas!$J201</f>
        <v>208</v>
      </c>
      <c r="M471" s="12">
        <f>IF(Table4[[#This Row],[Type]]="waste", Table4[[#This Row],[Q_Tonnes]]/25, Table4[[#This Row],[CO2_Noduplicates]])</f>
        <v>8.32</v>
      </c>
    </row>
    <row r="472" spans="1:13" x14ac:dyDescent="0.25">
      <c r="A472" s="16" t="s">
        <v>11</v>
      </c>
      <c r="B472" s="16" t="s">
        <v>53</v>
      </c>
      <c r="C472" s="16" t="s">
        <v>128</v>
      </c>
      <c r="D472" s="17">
        <v>45265</v>
      </c>
      <c r="E472" s="17">
        <v>45294</v>
      </c>
      <c r="F472" s="18">
        <v>275</v>
      </c>
      <c r="G472" s="19" t="s">
        <v>129</v>
      </c>
      <c r="H472" s="18">
        <v>41.249793751031248</v>
      </c>
      <c r="I472" s="12" t="str">
        <f t="shared" si="26"/>
        <v>Dcycle Andina SASD - Bodega 2 (almacén)electricity4526545294</v>
      </c>
      <c r="J472" s="12">
        <f t="shared" si="27"/>
        <v>275</v>
      </c>
      <c r="K472" s="12">
        <f>IF(Combinadas!$C229="electricity", Combinadas!$J229/6.6667,
IF(Combinadas!$C229="water", Combinadas!$J229/3.333,
IF(Combinadas!$C229="heat", Combinadas!$J229/0.8333, IF(Combinadas!$C229="waste",Combinadas!$J229/25,
"NA"))))</f>
        <v>6.6006600660066006</v>
      </c>
      <c r="L472" s="12">
        <f>Combinadas!$J229</f>
        <v>22</v>
      </c>
      <c r="M472" s="12">
        <f>IF(Table4[[#This Row],[Type]]="waste", Table4[[#This Row],[Q_Tonnes]]/25, Table4[[#This Row],[CO2_Noduplicates]])</f>
        <v>6.6006600660066006</v>
      </c>
    </row>
    <row r="473" spans="1:13" x14ac:dyDescent="0.25">
      <c r="A473" s="12" t="s">
        <v>8</v>
      </c>
      <c r="B473" s="12" t="s">
        <v>80</v>
      </c>
      <c r="C473" s="12" t="s">
        <v>128</v>
      </c>
      <c r="D473" s="13">
        <v>45170</v>
      </c>
      <c r="E473" s="13">
        <v>45199</v>
      </c>
      <c r="F473" s="14">
        <v>1720</v>
      </c>
      <c r="G473" s="15" t="s">
        <v>129</v>
      </c>
      <c r="H473" s="14">
        <v>257.99871000644998</v>
      </c>
      <c r="I473" s="12" t="str">
        <f t="shared" si="26"/>
        <v>DCYCLE SAMadridelectricity4517045199</v>
      </c>
      <c r="J473" s="12">
        <f t="shared" si="27"/>
        <v>0</v>
      </c>
      <c r="K473" s="12">
        <f>IF(Combinadas!$C100="electricity", Combinadas!$J100/6.6667,
IF(Combinadas!$C100="water", Combinadas!$J100/3.333,
IF(Combinadas!$C100="heat", Combinadas!$J100/0.8333, IF(Combinadas!$C100="waste",Combinadas!$J100/25,
"NA"))))</f>
        <v>80</v>
      </c>
      <c r="L473" s="12">
        <f>Combinadas!$J100</f>
        <v>2000</v>
      </c>
      <c r="M473" s="12">
        <f>IF(Table4[[#This Row],[Type]]="waste", Table4[[#This Row],[Q_Tonnes]]/25, Table4[[#This Row],[CO2_Noduplicates]])</f>
        <v>80</v>
      </c>
    </row>
    <row r="474" spans="1:13" x14ac:dyDescent="0.25">
      <c r="A474" s="16" t="s">
        <v>8</v>
      </c>
      <c r="B474" s="16" t="s">
        <v>80</v>
      </c>
      <c r="C474" s="16" t="s">
        <v>128</v>
      </c>
      <c r="D474" s="17">
        <v>45170</v>
      </c>
      <c r="E474" s="17">
        <v>45199</v>
      </c>
      <c r="F474" s="18">
        <v>15362.22</v>
      </c>
      <c r="G474" s="21" t="s">
        <v>129</v>
      </c>
      <c r="H474" s="18">
        <v>2304.3214783926082</v>
      </c>
      <c r="I474" s="12" t="str">
        <f t="shared" si="26"/>
        <v>DCYCLE SAMadridelectricity4517045199</v>
      </c>
      <c r="J474" s="12">
        <f t="shared" si="27"/>
        <v>0</v>
      </c>
      <c r="K474" s="12">
        <f>IF(Combinadas!$C101="electricity", Combinadas!$J101/6.6667,
IF(Combinadas!$C101="water", Combinadas!$J101/3.333,
IF(Combinadas!$C101="heat", Combinadas!$J101/0.8333, IF(Combinadas!$C101="waste",Combinadas!$J101/25,
"NA"))))</f>
        <v>88.8</v>
      </c>
      <c r="L474" s="12">
        <f>Combinadas!$J101</f>
        <v>2220</v>
      </c>
      <c r="M474" s="12">
        <f>IF(Table4[[#This Row],[Type]]="waste", Table4[[#This Row],[Q_Tonnes]]/25, Table4[[#This Row],[CO2_Noduplicates]])</f>
        <v>88.8</v>
      </c>
    </row>
    <row r="475" spans="1:13" x14ac:dyDescent="0.25">
      <c r="A475" s="12" t="s">
        <v>8</v>
      </c>
      <c r="B475" s="12" t="s">
        <v>80</v>
      </c>
      <c r="C475" s="12" t="s">
        <v>128</v>
      </c>
      <c r="D475" s="13">
        <v>45170</v>
      </c>
      <c r="E475" s="13">
        <v>45199</v>
      </c>
      <c r="F475" s="14">
        <v>50961</v>
      </c>
      <c r="G475" s="15" t="s">
        <v>129</v>
      </c>
      <c r="H475" s="14">
        <v>7644.111779441103</v>
      </c>
      <c r="I475" s="12" t="str">
        <f t="shared" si="26"/>
        <v>DCYCLE SAMadridelectricity4517045199</v>
      </c>
      <c r="J475" s="12">
        <f t="shared" si="27"/>
        <v>50961</v>
      </c>
      <c r="K475" s="12">
        <f>IF(Combinadas!$C102="electricity", Combinadas!$J102/6.6667,
IF(Combinadas!$C102="water", Combinadas!$J102/3.333,
IF(Combinadas!$C102="heat", Combinadas!$J102/0.8333, IF(Combinadas!$C102="waste",Combinadas!$J102/25,
"NA"))))</f>
        <v>69.306930693069305</v>
      </c>
      <c r="L475" s="12">
        <f>Combinadas!$J102</f>
        <v>231</v>
      </c>
      <c r="M475" s="12">
        <f>IF(Table4[[#This Row],[Type]]="waste", Table4[[#This Row],[Q_Tonnes]]/25, Table4[[#This Row],[CO2_Noduplicates]])</f>
        <v>69.306930693069305</v>
      </c>
    </row>
    <row r="476" spans="1:13" x14ac:dyDescent="0.25">
      <c r="A476" s="16" t="s">
        <v>8</v>
      </c>
      <c r="B476" s="16" t="s">
        <v>160</v>
      </c>
      <c r="C476" s="16" t="s">
        <v>128</v>
      </c>
      <c r="D476" s="17">
        <v>45170</v>
      </c>
      <c r="E476" s="17">
        <v>45199</v>
      </c>
      <c r="F476" s="18">
        <v>2821.07</v>
      </c>
      <c r="G476" s="21" t="s">
        <v>129</v>
      </c>
      <c r="H476" s="18">
        <v>423.15838420807899</v>
      </c>
      <c r="I476" s="12" t="str">
        <f t="shared" si="26"/>
        <v>DCYCLE SATajonarelectricity4517045199</v>
      </c>
      <c r="J476" s="12">
        <f t="shared" si="27"/>
        <v>2821.07</v>
      </c>
      <c r="K476" s="12">
        <f>IF(Combinadas!$C151="electricity", Combinadas!$J151/6.6667,
IF(Combinadas!$C151="water", Combinadas!$J151/3.333,
IF(Combinadas!$C151="heat", Combinadas!$J151/0.8333, IF(Combinadas!$C151="waste",Combinadas!$J151/25,
"NA"))))</f>
        <v>29.102910291029101</v>
      </c>
      <c r="L476" s="12">
        <f>Combinadas!$J151</f>
        <v>97</v>
      </c>
      <c r="M476" s="12">
        <f>IF(Table4[[#This Row],[Type]]="waste", Table4[[#This Row],[Q_Tonnes]]/25, Table4[[#This Row],[CO2_Noduplicates]])</f>
        <v>29.102910291029101</v>
      </c>
    </row>
    <row r="477" spans="1:13" x14ac:dyDescent="0.25">
      <c r="A477" s="12" t="s">
        <v>8</v>
      </c>
      <c r="B477" s="12" t="s">
        <v>80</v>
      </c>
      <c r="C477" s="16" t="s">
        <v>237</v>
      </c>
      <c r="D477" s="17">
        <v>45170</v>
      </c>
      <c r="E477" s="17">
        <v>45199</v>
      </c>
      <c r="F477" s="14">
        <v>1360</v>
      </c>
      <c r="G477" s="19" t="s">
        <v>232</v>
      </c>
      <c r="H477" s="14">
        <v>54.4</v>
      </c>
      <c r="I477" s="12" t="str">
        <f t="shared" si="26"/>
        <v>DCYCLE SAMadridwaste4517045199</v>
      </c>
      <c r="J477" s="12">
        <f>data_waste!L56</f>
        <v>1360</v>
      </c>
      <c r="K477" s="12">
        <f>IF(Combinadas!$C491="electricity", Combinadas!$J491/6.6667,
IF(Combinadas!$C491="water", Combinadas!$J491/3.333,
IF(Combinadas!$C491="heat", Combinadas!$J491/0.8333, IF(Combinadas!$C491="waste",Combinadas!$J491/25,
"NA"))))</f>
        <v>4.498949894989499</v>
      </c>
      <c r="L477" s="12">
        <f>data_waste!M56</f>
        <v>1360000</v>
      </c>
      <c r="M477" s="12">
        <f>IF(Table4[[#This Row],[Type]]="waste", Table4[[#This Row],[Q_Tonnes]]/25, Table4[[#This Row],[CO2_Noduplicates]])</f>
        <v>54400</v>
      </c>
    </row>
    <row r="478" spans="1:13" x14ac:dyDescent="0.25">
      <c r="A478" s="12" t="s">
        <v>8</v>
      </c>
      <c r="B478" s="12" t="s">
        <v>80</v>
      </c>
      <c r="C478" s="16" t="s">
        <v>237</v>
      </c>
      <c r="D478" s="13">
        <v>45170</v>
      </c>
      <c r="E478" s="13">
        <v>45199</v>
      </c>
      <c r="F478" s="14">
        <v>3020</v>
      </c>
      <c r="G478" s="15" t="s">
        <v>232</v>
      </c>
      <c r="H478" s="14">
        <v>120.8</v>
      </c>
      <c r="I478" s="12" t="str">
        <f t="shared" si="26"/>
        <v>DCYCLE SAMadridwaste4517045199</v>
      </c>
      <c r="J478" s="12">
        <f>data_waste!L75</f>
        <v>3020</v>
      </c>
      <c r="K478" s="12">
        <f>IF(Combinadas!$C510="electricity", Combinadas!$J510/6.6667,
IF(Combinadas!$C510="water", Combinadas!$J510/3.333,
IF(Combinadas!$C510="heat", Combinadas!$J510/0.8333, IF(Combinadas!$C510="waste",Combinadas!$J510/25,
"NA"))))</f>
        <v>0</v>
      </c>
      <c r="L478" s="12">
        <f>data_waste!M75</f>
        <v>3020000</v>
      </c>
      <c r="M478" s="12">
        <f>IF(Table4[[#This Row],[Type]]="waste", Table4[[#This Row],[Q_Tonnes]]/25, Table4[[#This Row],[CO2_Noduplicates]])</f>
        <v>120800</v>
      </c>
    </row>
    <row r="479" spans="1:13" x14ac:dyDescent="0.25">
      <c r="A479" s="12" t="s">
        <v>8</v>
      </c>
      <c r="B479" s="12" t="s">
        <v>127</v>
      </c>
      <c r="C479" s="12" t="s">
        <v>128</v>
      </c>
      <c r="D479" s="13">
        <v>45200</v>
      </c>
      <c r="E479" s="13">
        <v>45230</v>
      </c>
      <c r="F479" s="14">
        <v>8168</v>
      </c>
      <c r="G479" s="15" t="s">
        <v>129</v>
      </c>
      <c r="H479" s="14">
        <v>1225.19387403063</v>
      </c>
      <c r="I479" s="12" t="str">
        <f t="shared" si="26"/>
        <v>DCYCLE SABCNelectricity4520045230</v>
      </c>
      <c r="J479" s="12">
        <f t="shared" ref="J479:J486" si="28">IF(F479=_xlfn.MAXIFS(F:F, I:I, I479), F479, 0)</f>
        <v>8168</v>
      </c>
      <c r="K479" s="12">
        <f>IF(Combinadas!$C12="electricity", Combinadas!$J12/6.6667,
IF(Combinadas!$C12="water", Combinadas!$J12/3.333,
IF(Combinadas!$C12="heat", Combinadas!$J12/0.8333, IF(Combinadas!$C12="waste",Combinadas!$J12/25,
"NA"))))</f>
        <v>1197.3823296111484</v>
      </c>
      <c r="L479" s="12">
        <f>Combinadas!$J12</f>
        <v>997.77869526497</v>
      </c>
      <c r="M479" s="12">
        <f>IF(Table4[[#This Row],[Type]]="waste", Table4[[#This Row],[Q_Tonnes]]/25, Table4[[#This Row],[CO2_Noduplicates]])</f>
        <v>1197.3823296111484</v>
      </c>
    </row>
    <row r="480" spans="1:13" x14ac:dyDescent="0.25">
      <c r="A480" s="16" t="s">
        <v>8</v>
      </c>
      <c r="B480" s="16" t="s">
        <v>139</v>
      </c>
      <c r="C480" s="16" t="s">
        <v>128</v>
      </c>
      <c r="D480" s="17">
        <v>45200</v>
      </c>
      <c r="E480" s="17">
        <v>45230</v>
      </c>
      <c r="F480" s="18">
        <v>7126.7</v>
      </c>
      <c r="G480" s="21" t="s">
        <v>129</v>
      </c>
      <c r="H480" s="18">
        <v>1068.9996550017249</v>
      </c>
      <c r="I480" s="12" t="str">
        <f t="shared" si="26"/>
        <v>DCYCLE SAMadrid (A2)electricity4520045230</v>
      </c>
      <c r="J480" s="12">
        <f t="shared" si="28"/>
        <v>0</v>
      </c>
      <c r="K480" s="12">
        <f>IF(Combinadas!$C41="electricity", Combinadas!$J41/6.6667,
IF(Combinadas!$C41="water", Combinadas!$J41/3.333,
IF(Combinadas!$C41="heat", Combinadas!$J41/0.8333, IF(Combinadas!$C41="waste",Combinadas!$J41/25,
"NA"))))</f>
        <v>4.5004500450045004</v>
      </c>
      <c r="L480" s="12">
        <f>Combinadas!$J41</f>
        <v>15</v>
      </c>
      <c r="M480" s="12">
        <f>IF(Table4[[#This Row],[Type]]="waste", Table4[[#This Row],[Q_Tonnes]]/25, Table4[[#This Row],[CO2_Noduplicates]])</f>
        <v>4.5004500450045004</v>
      </c>
    </row>
    <row r="481" spans="1:13" x14ac:dyDescent="0.25">
      <c r="A481" s="12" t="s">
        <v>8</v>
      </c>
      <c r="B481" s="12" t="s">
        <v>139</v>
      </c>
      <c r="C481" s="12" t="s">
        <v>128</v>
      </c>
      <c r="D481" s="13">
        <v>45200</v>
      </c>
      <c r="E481" s="13">
        <v>45230</v>
      </c>
      <c r="F481" s="14">
        <v>33305</v>
      </c>
      <c r="G481" s="15" t="s">
        <v>129</v>
      </c>
      <c r="H481" s="14">
        <v>4995.725021374893</v>
      </c>
      <c r="I481" s="12" t="str">
        <f t="shared" si="26"/>
        <v>DCYCLE SAMadrid (A2)electricity4520045230</v>
      </c>
      <c r="J481" s="12">
        <f t="shared" si="28"/>
        <v>33305</v>
      </c>
      <c r="K481" s="12">
        <f>IF(Combinadas!$C42="electricity", Combinadas!$J42/6.6667,
IF(Combinadas!$C42="water", Combinadas!$J42/3.333,
IF(Combinadas!$C42="heat", Combinadas!$J42/0.8333, IF(Combinadas!$C42="waste",Combinadas!$J42/25,
"NA"))))</f>
        <v>1801.9409902950486</v>
      </c>
      <c r="L481" s="12">
        <f>Combinadas!$J42</f>
        <v>12013</v>
      </c>
      <c r="M481" s="12">
        <f>IF(Table4[[#This Row],[Type]]="waste", Table4[[#This Row],[Q_Tonnes]]/25, Table4[[#This Row],[CO2_Noduplicates]])</f>
        <v>1801.9409902950486</v>
      </c>
    </row>
    <row r="482" spans="1:13" x14ac:dyDescent="0.25">
      <c r="A482" s="12" t="s">
        <v>8</v>
      </c>
      <c r="B482" s="12" t="s">
        <v>139</v>
      </c>
      <c r="C482" s="12" t="s">
        <v>140</v>
      </c>
      <c r="D482" s="13">
        <v>45200</v>
      </c>
      <c r="E482" s="13">
        <v>45230</v>
      </c>
      <c r="F482" s="14">
        <v>0</v>
      </c>
      <c r="G482" s="15" t="s">
        <v>211</v>
      </c>
      <c r="H482" s="14">
        <v>0</v>
      </c>
      <c r="I482" s="12" t="str">
        <f t="shared" si="26"/>
        <v>DCYCLE SAMadrid (A2)heat4520045230</v>
      </c>
      <c r="J482" s="12">
        <f t="shared" si="28"/>
        <v>0</v>
      </c>
      <c r="K482" s="12">
        <f>IF(Combinadas!$C68="electricity", Combinadas!$J68/6.6667,
IF(Combinadas!$C68="water", Combinadas!$J68/3.333,
IF(Combinadas!$C68="heat", Combinadas!$J68/0.8333, IF(Combinadas!$C68="waste",Combinadas!$J68/25,
"NA"))))</f>
        <v>79.207920792079207</v>
      </c>
      <c r="L482" s="12">
        <f>Combinadas!$J68</f>
        <v>264</v>
      </c>
      <c r="M482" s="12">
        <f>IF(Table4[[#This Row],[Type]]="waste", Table4[[#This Row],[Q_Tonnes]]/25, Table4[[#This Row],[CO2_Noduplicates]])</f>
        <v>79.207920792079207</v>
      </c>
    </row>
    <row r="483" spans="1:13" x14ac:dyDescent="0.25">
      <c r="A483" s="16" t="s">
        <v>8</v>
      </c>
      <c r="B483" s="16" t="s">
        <v>80</v>
      </c>
      <c r="C483" s="16" t="s">
        <v>128</v>
      </c>
      <c r="D483" s="17">
        <v>45200</v>
      </c>
      <c r="E483" s="17">
        <v>45230</v>
      </c>
      <c r="F483" s="18">
        <v>1787</v>
      </c>
      <c r="G483" s="19" t="s">
        <v>129</v>
      </c>
      <c r="H483" s="18">
        <v>268.04865975670123</v>
      </c>
      <c r="I483" s="12" t="str">
        <f t="shared" si="26"/>
        <v>DCYCLE SAMadridelectricity4520045230</v>
      </c>
      <c r="J483" s="12">
        <f t="shared" si="28"/>
        <v>0</v>
      </c>
      <c r="K483" s="12">
        <f>IF(Combinadas!$C103="electricity", Combinadas!$J103/6.6667,
IF(Combinadas!$C103="water", Combinadas!$J103/3.333,
IF(Combinadas!$C103="heat", Combinadas!$J103/0.8333, IF(Combinadas!$C103="waste",Combinadas!$J103/25,
"NA"))))</f>
        <v>0</v>
      </c>
      <c r="L483" s="12">
        <f>Combinadas!$J103</f>
        <v>0</v>
      </c>
      <c r="M483" s="12">
        <f>IF(Table4[[#This Row],[Type]]="waste", Table4[[#This Row],[Q_Tonnes]]/25, Table4[[#This Row],[CO2_Noduplicates]])</f>
        <v>0</v>
      </c>
    </row>
    <row r="484" spans="1:13" x14ac:dyDescent="0.25">
      <c r="A484" s="12" t="s">
        <v>8</v>
      </c>
      <c r="B484" s="12" t="s">
        <v>80</v>
      </c>
      <c r="C484" s="12" t="s">
        <v>128</v>
      </c>
      <c r="D484" s="13">
        <v>45200</v>
      </c>
      <c r="E484" s="13">
        <v>45230</v>
      </c>
      <c r="F484" s="14">
        <v>11790.07</v>
      </c>
      <c r="G484" s="20" t="s">
        <v>129</v>
      </c>
      <c r="H484" s="14">
        <v>1768.5016574917126</v>
      </c>
      <c r="I484" s="12" t="str">
        <f t="shared" si="26"/>
        <v>DCYCLE SAMadridelectricity4520045230</v>
      </c>
      <c r="J484" s="12">
        <f t="shared" si="28"/>
        <v>0</v>
      </c>
      <c r="K484" s="12">
        <f>IF(Combinadas!$C104="electricity", Combinadas!$J104/6.6667,
IF(Combinadas!$C104="water", Combinadas!$J104/3.333,
IF(Combinadas!$C104="heat", Combinadas!$J104/0.8333, IF(Combinadas!$C104="waste",Combinadas!$J104/25,
"NA"))))</f>
        <v>0</v>
      </c>
      <c r="L484" s="12">
        <f>Combinadas!$J104</f>
        <v>0</v>
      </c>
      <c r="M484" s="12">
        <f>IF(Table4[[#This Row],[Type]]="waste", Table4[[#This Row],[Q_Tonnes]]/25, Table4[[#This Row],[CO2_Noduplicates]])</f>
        <v>0</v>
      </c>
    </row>
    <row r="485" spans="1:13" x14ac:dyDescent="0.25">
      <c r="A485" s="16" t="s">
        <v>8</v>
      </c>
      <c r="B485" s="16" t="s">
        <v>80</v>
      </c>
      <c r="C485" s="16" t="s">
        <v>128</v>
      </c>
      <c r="D485" s="17">
        <v>45200</v>
      </c>
      <c r="E485" s="17">
        <v>45230</v>
      </c>
      <c r="F485" s="18">
        <v>50305</v>
      </c>
      <c r="G485" s="19" t="s">
        <v>129</v>
      </c>
      <c r="H485" s="18">
        <v>7545.7122714386433</v>
      </c>
      <c r="I485" s="12" t="str">
        <f t="shared" si="26"/>
        <v>DCYCLE SAMadridelectricity4520045230</v>
      </c>
      <c r="J485" s="12">
        <f t="shared" si="28"/>
        <v>50305</v>
      </c>
      <c r="K485" s="12">
        <f>IF(Combinadas!$C105="electricity", Combinadas!$J105/6.6667,
IF(Combinadas!$C105="water", Combinadas!$J105/3.333,
IF(Combinadas!$C105="heat", Combinadas!$J105/0.8333, IF(Combinadas!$C105="waste",Combinadas!$J105/25,
"NA"))))</f>
        <v>90.309030903090303</v>
      </c>
      <c r="L485" s="12">
        <f>Combinadas!$J105</f>
        <v>301</v>
      </c>
      <c r="M485" s="12">
        <f>IF(Table4[[#This Row],[Type]]="waste", Table4[[#This Row],[Q_Tonnes]]/25, Table4[[#This Row],[CO2_Noduplicates]])</f>
        <v>90.309030903090303</v>
      </c>
    </row>
    <row r="486" spans="1:13" x14ac:dyDescent="0.25">
      <c r="A486" s="12" t="s">
        <v>8</v>
      </c>
      <c r="B486" s="12" t="s">
        <v>160</v>
      </c>
      <c r="C486" s="12" t="s">
        <v>128</v>
      </c>
      <c r="D486" s="13">
        <v>45200</v>
      </c>
      <c r="E486" s="13">
        <v>45230</v>
      </c>
      <c r="F486" s="14">
        <v>2819.46</v>
      </c>
      <c r="G486" s="20" t="s">
        <v>129</v>
      </c>
      <c r="H486" s="14">
        <v>422.91688541557295</v>
      </c>
      <c r="I486" s="12" t="str">
        <f t="shared" si="26"/>
        <v>DCYCLE SATajonarelectricity4520045230</v>
      </c>
      <c r="J486" s="12">
        <f t="shared" si="28"/>
        <v>2819.46</v>
      </c>
      <c r="K486" s="12">
        <f>IF(Combinadas!$C152="electricity", Combinadas!$J152/6.6667,
IF(Combinadas!$C152="water", Combinadas!$J152/3.333,
IF(Combinadas!$C152="heat", Combinadas!$J152/0.8333, IF(Combinadas!$C152="waste",Combinadas!$J152/25,
"NA"))))</f>
        <v>284.998575007125</v>
      </c>
      <c r="L486" s="12">
        <f>Combinadas!$J152</f>
        <v>1900</v>
      </c>
      <c r="M486" s="12">
        <f>IF(Table4[[#This Row],[Type]]="waste", Table4[[#This Row],[Q_Tonnes]]/25, Table4[[#This Row],[CO2_Noduplicates]])</f>
        <v>284.998575007125</v>
      </c>
    </row>
    <row r="487" spans="1:13" x14ac:dyDescent="0.25">
      <c r="A487" s="12" t="s">
        <v>8</v>
      </c>
      <c r="B487" s="12" t="s">
        <v>80</v>
      </c>
      <c r="C487" s="16" t="s">
        <v>237</v>
      </c>
      <c r="D487" s="13">
        <v>45200</v>
      </c>
      <c r="E487" s="13">
        <v>45230</v>
      </c>
      <c r="F487" s="14">
        <v>2400</v>
      </c>
      <c r="G487" s="15" t="s">
        <v>232</v>
      </c>
      <c r="H487" s="14">
        <v>96</v>
      </c>
      <c r="I487" s="12" t="str">
        <f t="shared" si="26"/>
        <v>DCYCLE SAMadridwaste4520045230</v>
      </c>
      <c r="J487" s="12">
        <f>data_waste!L71</f>
        <v>2400</v>
      </c>
      <c r="K487" s="12">
        <f>IF(Combinadas!$C506="electricity", Combinadas!$J506/6.6667,
IF(Combinadas!$C506="water", Combinadas!$J506/3.333,
IF(Combinadas!$C506="heat", Combinadas!$J506/0.8333, IF(Combinadas!$C506="waste",Combinadas!$J506/25,
"NA"))))</f>
        <v>1428.4428577857111</v>
      </c>
      <c r="L487" s="12">
        <f>data_waste!M71</f>
        <v>2400000</v>
      </c>
      <c r="M487" s="12">
        <f>IF(Table4[[#This Row],[Type]]="waste", Table4[[#This Row],[Q_Tonnes]]/25, Table4[[#This Row],[CO2_Noduplicates]])</f>
        <v>96000</v>
      </c>
    </row>
    <row r="488" spans="1:13" x14ac:dyDescent="0.25">
      <c r="A488" s="12" t="s">
        <v>8</v>
      </c>
      <c r="B488" s="12" t="s">
        <v>80</v>
      </c>
      <c r="C488" s="16" t="s">
        <v>237</v>
      </c>
      <c r="D488" s="17">
        <v>45200</v>
      </c>
      <c r="E488" s="17">
        <v>45230</v>
      </c>
      <c r="F488" s="14">
        <v>3080</v>
      </c>
      <c r="G488" s="19" t="s">
        <v>232</v>
      </c>
      <c r="H488" s="14">
        <v>123.2</v>
      </c>
      <c r="I488" s="12" t="str">
        <f t="shared" si="26"/>
        <v>DCYCLE SAMadridwaste4520045230</v>
      </c>
      <c r="J488" s="12">
        <f>data_waste!L76</f>
        <v>3080</v>
      </c>
      <c r="K488" s="12">
        <f>IF(Combinadas!$C511="electricity", Combinadas!$J511/6.6667,
IF(Combinadas!$C511="water", Combinadas!$J511/3.333,
IF(Combinadas!$C511="heat", Combinadas!$J511/0.8333, IF(Combinadas!$C511="waste",Combinadas!$J511/25,
"NA"))))</f>
        <v>0</v>
      </c>
      <c r="L488" s="12">
        <f>data_waste!M76</f>
        <v>3080000</v>
      </c>
      <c r="M488" s="12">
        <f>IF(Table4[[#This Row],[Type]]="waste", Table4[[#This Row],[Q_Tonnes]]/25, Table4[[#This Row],[CO2_Noduplicates]])</f>
        <v>123200</v>
      </c>
    </row>
    <row r="489" spans="1:13" x14ac:dyDescent="0.25">
      <c r="A489" s="12" t="s">
        <v>8</v>
      </c>
      <c r="B489" s="12" t="s">
        <v>80</v>
      </c>
      <c r="C489" s="16" t="s">
        <v>237</v>
      </c>
      <c r="D489" s="17">
        <v>45200</v>
      </c>
      <c r="E489" s="17">
        <v>45230</v>
      </c>
      <c r="F489" s="14">
        <v>4720</v>
      </c>
      <c r="G489" s="19" t="s">
        <v>232</v>
      </c>
      <c r="H489" s="14">
        <v>188.8</v>
      </c>
      <c r="I489" s="12" t="str">
        <f t="shared" si="26"/>
        <v>DCYCLE SAMadridwaste4520045230</v>
      </c>
      <c r="J489" s="12">
        <f>data_waste!L82</f>
        <v>4720</v>
      </c>
      <c r="K489" s="12">
        <f>IF(Combinadas!$C517="electricity", Combinadas!$J517/6.6667,
IF(Combinadas!$C517="water", Combinadas!$J517/3.333,
IF(Combinadas!$C517="heat", Combinadas!$J517/0.8333, IF(Combinadas!$C517="waste",Combinadas!$J517/25,
"NA"))))</f>
        <v>6</v>
      </c>
      <c r="L489" s="12">
        <f>data_waste!M82</f>
        <v>4720000</v>
      </c>
      <c r="M489" s="12">
        <f>IF(Table4[[#This Row],[Type]]="waste", Table4[[#This Row],[Q_Tonnes]]/25, Table4[[#This Row],[CO2_Noduplicates]])</f>
        <v>188800</v>
      </c>
    </row>
    <row r="490" spans="1:13" x14ac:dyDescent="0.25">
      <c r="A490" s="12" t="s">
        <v>8</v>
      </c>
      <c r="B490" s="12" t="s">
        <v>80</v>
      </c>
      <c r="C490" s="16" t="s">
        <v>237</v>
      </c>
      <c r="D490" s="13">
        <v>45200</v>
      </c>
      <c r="E490" s="13">
        <v>45230</v>
      </c>
      <c r="F490" s="14">
        <v>7920</v>
      </c>
      <c r="G490" s="15" t="s">
        <v>232</v>
      </c>
      <c r="H490" s="14">
        <v>316.8</v>
      </c>
      <c r="I490" s="12" t="str">
        <f t="shared" si="26"/>
        <v>DCYCLE SAMadridwaste4520045230</v>
      </c>
      <c r="J490" s="12">
        <f>data_waste!L89</f>
        <v>7920</v>
      </c>
      <c r="K490" s="12">
        <f>IF(Combinadas!$C524="electricity", Combinadas!$J524/6.6667,
IF(Combinadas!$C524="water", Combinadas!$J524/3.333,
IF(Combinadas!$C524="heat", Combinadas!$J524/0.8333, IF(Combinadas!$C524="waste",Combinadas!$J524/25,
"NA"))))</f>
        <v>1.4</v>
      </c>
      <c r="L490" s="12">
        <f>data_waste!M89</f>
        <v>7920000</v>
      </c>
      <c r="M490" s="12">
        <f>IF(Table4[[#This Row],[Type]]="waste", Table4[[#This Row],[Q_Tonnes]]/25, Table4[[#This Row],[CO2_Noduplicates]])</f>
        <v>316800</v>
      </c>
    </row>
    <row r="491" spans="1:13" x14ac:dyDescent="0.25">
      <c r="A491" s="12" t="s">
        <v>8</v>
      </c>
      <c r="B491" s="12" t="s">
        <v>80</v>
      </c>
      <c r="C491" s="12" t="s">
        <v>130</v>
      </c>
      <c r="D491" s="13">
        <v>45201</v>
      </c>
      <c r="E491" s="13">
        <v>45258</v>
      </c>
      <c r="F491" s="14">
        <v>14.995000000000001</v>
      </c>
      <c r="G491" s="15" t="s">
        <v>133</v>
      </c>
      <c r="H491" s="14">
        <v>4.498949894989499</v>
      </c>
      <c r="I491" s="12" t="str">
        <f t="shared" si="26"/>
        <v>DCYCLE SAMadridwater4520145258</v>
      </c>
      <c r="J491" s="12">
        <f t="shared" ref="J491:J499" si="29">IF(F491=_xlfn.MAXIFS(F:F, I:I, I491), F491, 0)</f>
        <v>14.995000000000001</v>
      </c>
      <c r="K491" s="12">
        <f>IF(Combinadas!$C116="electricity", Combinadas!$J116/6.6667,
IF(Combinadas!$C116="water", Combinadas!$J116/3.333,
IF(Combinadas!$C116="heat", Combinadas!$J116/0.8333, IF(Combinadas!$C116="waste",Combinadas!$J116/25,
"NA"))))</f>
        <v>245.6</v>
      </c>
      <c r="L491" s="12">
        <f>Combinadas!$J116</f>
        <v>6140</v>
      </c>
      <c r="M491" s="12">
        <f>IF(Table4[[#This Row],[Type]]="waste", Table4[[#This Row],[Q_Tonnes]]/25, Table4[[#This Row],[CO2_Noduplicates]])</f>
        <v>245.6</v>
      </c>
    </row>
    <row r="492" spans="1:13" x14ac:dyDescent="0.25">
      <c r="A492" s="16" t="s">
        <v>8</v>
      </c>
      <c r="B492" s="16" t="s">
        <v>127</v>
      </c>
      <c r="C492" s="16" t="s">
        <v>130</v>
      </c>
      <c r="D492" s="17">
        <v>45227</v>
      </c>
      <c r="E492" s="17">
        <v>45290</v>
      </c>
      <c r="F492" s="18">
        <v>11</v>
      </c>
      <c r="G492" s="19" t="s">
        <v>133</v>
      </c>
      <c r="H492" s="18">
        <v>3.3003300330033003</v>
      </c>
      <c r="I492" s="12" t="str">
        <f t="shared" si="26"/>
        <v>DCYCLE SABCNwater4522745290</v>
      </c>
      <c r="J492" s="12">
        <f t="shared" si="29"/>
        <v>11</v>
      </c>
      <c r="K492" s="12">
        <f>IF(Combinadas!$C21="electricity", Combinadas!$J21/6.6667,
IF(Combinadas!$C21="water", Combinadas!$J21/3.333,
IF(Combinadas!$C21="heat", Combinadas!$J21/0.8333, IF(Combinadas!$C21="waste",Combinadas!$J21/25,
"NA"))))</f>
        <v>71.494068377712367</v>
      </c>
      <c r="L492" s="12">
        <f>Combinadas!$J21</f>
        <v>59.576007179147716</v>
      </c>
      <c r="M492" s="12">
        <f>IF(Table4[[#This Row],[Type]]="waste", Table4[[#This Row],[Q_Tonnes]]/25, Table4[[#This Row],[CO2_Noduplicates]])</f>
        <v>71.494068377712367</v>
      </c>
    </row>
    <row r="493" spans="1:13" x14ac:dyDescent="0.25">
      <c r="A493" s="16" t="s">
        <v>8</v>
      </c>
      <c r="B493" s="16" t="s">
        <v>127</v>
      </c>
      <c r="C493" s="16" t="s">
        <v>128</v>
      </c>
      <c r="D493" s="17">
        <v>45231</v>
      </c>
      <c r="E493" s="17">
        <v>45260</v>
      </c>
      <c r="F493" s="18">
        <v>7867</v>
      </c>
      <c r="G493" s="19" t="s">
        <v>129</v>
      </c>
      <c r="H493" s="18">
        <v>1180.0440997795013</v>
      </c>
      <c r="I493" s="12" t="str">
        <f t="shared" si="26"/>
        <v>DCYCLE SABCNelectricity4523145260</v>
      </c>
      <c r="J493" s="12">
        <f t="shared" si="29"/>
        <v>7867</v>
      </c>
      <c r="K493" s="12">
        <f>IF(Combinadas!$C13="electricity", Combinadas!$J13/6.6667,
IF(Combinadas!$C13="water", Combinadas!$J13/3.333,
IF(Combinadas!$C13="heat", Combinadas!$J13/0.8333, IF(Combinadas!$C13="waste",Combinadas!$J13/25,
"NA"))))</f>
        <v>74818.125909370458</v>
      </c>
      <c r="L493" s="12">
        <f>Combinadas!$J13</f>
        <v>498790</v>
      </c>
      <c r="M493" s="12">
        <f>IF(Table4[[#This Row],[Type]]="waste", Table4[[#This Row],[Q_Tonnes]]/25, Table4[[#This Row],[CO2_Noduplicates]])</f>
        <v>74818.125909370458</v>
      </c>
    </row>
    <row r="494" spans="1:13" x14ac:dyDescent="0.25">
      <c r="A494" s="16" t="s">
        <v>8</v>
      </c>
      <c r="B494" s="16" t="s">
        <v>139</v>
      </c>
      <c r="C494" s="16" t="s">
        <v>128</v>
      </c>
      <c r="D494" s="17">
        <v>45231</v>
      </c>
      <c r="E494" s="17">
        <v>45260</v>
      </c>
      <c r="F494" s="18">
        <v>5666.7</v>
      </c>
      <c r="G494" s="21" t="s">
        <v>129</v>
      </c>
      <c r="H494" s="18">
        <v>850.00074999625008</v>
      </c>
      <c r="I494" s="12" t="str">
        <f t="shared" si="26"/>
        <v>DCYCLE SAMadrid (A2)electricity4523145260</v>
      </c>
      <c r="J494" s="12">
        <f t="shared" si="29"/>
        <v>0</v>
      </c>
      <c r="K494" s="12">
        <f>IF(Combinadas!$C43="electricity", Combinadas!$J43/6.6667,
IF(Combinadas!$C43="water", Combinadas!$J43/3.333,
IF(Combinadas!$C43="heat", Combinadas!$J43/0.8333, IF(Combinadas!$C43="waste",Combinadas!$J43/25,
"NA"))))</f>
        <v>8069.5096524517385</v>
      </c>
      <c r="L494" s="12">
        <f>Combinadas!$J43</f>
        <v>53797</v>
      </c>
      <c r="M494" s="12">
        <f>IF(Table4[[#This Row],[Type]]="waste", Table4[[#This Row],[Q_Tonnes]]/25, Table4[[#This Row],[CO2_Noduplicates]])</f>
        <v>8069.5096524517385</v>
      </c>
    </row>
    <row r="495" spans="1:13" x14ac:dyDescent="0.25">
      <c r="A495" s="12" t="s">
        <v>8</v>
      </c>
      <c r="B495" s="12" t="s">
        <v>139</v>
      </c>
      <c r="C495" s="12" t="s">
        <v>128</v>
      </c>
      <c r="D495" s="13">
        <v>45231</v>
      </c>
      <c r="E495" s="13">
        <v>45260</v>
      </c>
      <c r="F495" s="14">
        <v>37328</v>
      </c>
      <c r="G495" s="15" t="s">
        <v>129</v>
      </c>
      <c r="H495" s="14">
        <v>5599.1720041399794</v>
      </c>
      <c r="I495" s="12" t="str">
        <f t="shared" si="26"/>
        <v>DCYCLE SAMadrid (A2)electricity4523145260</v>
      </c>
      <c r="J495" s="12">
        <f t="shared" si="29"/>
        <v>37328</v>
      </c>
      <c r="K495" s="12">
        <f>IF(Combinadas!$C44="electricity", Combinadas!$J44/6.6667,
IF(Combinadas!$C44="water", Combinadas!$J44/3.333,
IF(Combinadas!$C44="heat", Combinadas!$J44/0.8333, IF(Combinadas!$C44="waste",Combinadas!$J44/25,
"NA"))))</f>
        <v>0</v>
      </c>
      <c r="L495" s="12">
        <f>Combinadas!$J44</f>
        <v>0</v>
      </c>
      <c r="M495" s="12">
        <f>IF(Table4[[#This Row],[Type]]="waste", Table4[[#This Row],[Q_Tonnes]]/25, Table4[[#This Row],[CO2_Noduplicates]])</f>
        <v>0</v>
      </c>
    </row>
    <row r="496" spans="1:13" x14ac:dyDescent="0.25">
      <c r="A496" s="12" t="s">
        <v>8</v>
      </c>
      <c r="B496" s="12" t="s">
        <v>80</v>
      </c>
      <c r="C496" s="12" t="s">
        <v>128</v>
      </c>
      <c r="D496" s="13">
        <v>45231</v>
      </c>
      <c r="E496" s="13">
        <v>45260</v>
      </c>
      <c r="F496" s="14">
        <v>1724</v>
      </c>
      <c r="G496" s="15" t="s">
        <v>129</v>
      </c>
      <c r="H496" s="14">
        <v>258.59870700646496</v>
      </c>
      <c r="I496" s="12" t="str">
        <f t="shared" si="26"/>
        <v>DCYCLE SAMadridelectricity4523145260</v>
      </c>
      <c r="J496" s="12">
        <f t="shared" si="29"/>
        <v>0</v>
      </c>
      <c r="K496" s="12">
        <f>IF(Combinadas!$C106="electricity", Combinadas!$J106/6.6667,
IF(Combinadas!$C106="water", Combinadas!$J106/3.333,
IF(Combinadas!$C106="heat", Combinadas!$J106/0.8333, IF(Combinadas!$C106="waste",Combinadas!$J106/25,
"NA"))))</f>
        <v>1433.2428337858312</v>
      </c>
      <c r="L496" s="12">
        <f>Combinadas!$J106</f>
        <v>9555</v>
      </c>
      <c r="M496" s="12">
        <f>IF(Table4[[#This Row],[Type]]="waste", Table4[[#This Row],[Q_Tonnes]]/25, Table4[[#This Row],[CO2_Noduplicates]])</f>
        <v>1433.2428337858312</v>
      </c>
    </row>
    <row r="497" spans="1:13" x14ac:dyDescent="0.25">
      <c r="A497" s="16" t="s">
        <v>8</v>
      </c>
      <c r="B497" s="16" t="s">
        <v>80</v>
      </c>
      <c r="C497" s="16" t="s">
        <v>128</v>
      </c>
      <c r="D497" s="17">
        <v>45231</v>
      </c>
      <c r="E497" s="17">
        <v>45260</v>
      </c>
      <c r="F497" s="18">
        <v>10142.35</v>
      </c>
      <c r="G497" s="21" t="s">
        <v>129</v>
      </c>
      <c r="H497" s="18">
        <v>1521.3448932755337</v>
      </c>
      <c r="I497" s="12" t="str">
        <f t="shared" si="26"/>
        <v>DCYCLE SAMadridelectricity4523145260</v>
      </c>
      <c r="J497" s="12">
        <f t="shared" si="29"/>
        <v>0</v>
      </c>
      <c r="K497" s="12">
        <f>IF(Combinadas!$C107="electricity", Combinadas!$J107/6.6667,
IF(Combinadas!$C107="water", Combinadas!$J107/3.333,
IF(Combinadas!$C107="heat", Combinadas!$J107/0.8333, IF(Combinadas!$C107="waste",Combinadas!$J107/25,
"NA"))))</f>
        <v>4547.8272608636962</v>
      </c>
      <c r="L497" s="12">
        <f>Combinadas!$J107</f>
        <v>30319</v>
      </c>
      <c r="M497" s="12">
        <f>IF(Table4[[#This Row],[Type]]="waste", Table4[[#This Row],[Q_Tonnes]]/25, Table4[[#This Row],[CO2_Noduplicates]])</f>
        <v>4547.8272608636962</v>
      </c>
    </row>
    <row r="498" spans="1:13" x14ac:dyDescent="0.25">
      <c r="A498" s="12" t="s">
        <v>8</v>
      </c>
      <c r="B498" s="12" t="s">
        <v>80</v>
      </c>
      <c r="C498" s="12" t="s">
        <v>128</v>
      </c>
      <c r="D498" s="13">
        <v>45231</v>
      </c>
      <c r="E498" s="13">
        <v>45260</v>
      </c>
      <c r="F498" s="14">
        <v>59924</v>
      </c>
      <c r="G498" s="15" t="s">
        <v>129</v>
      </c>
      <c r="H498" s="14">
        <v>8988.5550572247139</v>
      </c>
      <c r="I498" s="12" t="str">
        <f t="shared" si="26"/>
        <v>DCYCLE SAMadridelectricity4523145260</v>
      </c>
      <c r="J498" s="12">
        <f t="shared" si="29"/>
        <v>59924</v>
      </c>
      <c r="K498" s="12">
        <f>IF(Combinadas!$C108="electricity", Combinadas!$J108/6.6667,
IF(Combinadas!$C108="water", Combinadas!$J108/3.333,
IF(Combinadas!$C108="heat", Combinadas!$J108/0.8333, IF(Combinadas!$C108="waste",Combinadas!$J108/25,
"NA"))))</f>
        <v>0</v>
      </c>
      <c r="L498" s="12">
        <f>Combinadas!$J108</f>
        <v>0</v>
      </c>
      <c r="M498" s="12">
        <f>IF(Table4[[#This Row],[Type]]="waste", Table4[[#This Row],[Q_Tonnes]]/25, Table4[[#This Row],[CO2_Noduplicates]])</f>
        <v>0</v>
      </c>
    </row>
    <row r="499" spans="1:13" x14ac:dyDescent="0.25">
      <c r="A499" s="16" t="s">
        <v>8</v>
      </c>
      <c r="B499" s="16" t="s">
        <v>160</v>
      </c>
      <c r="C499" s="16" t="s">
        <v>128</v>
      </c>
      <c r="D499" s="17">
        <v>45231</v>
      </c>
      <c r="E499" s="17">
        <v>45260</v>
      </c>
      <c r="F499" s="18">
        <v>3207.97</v>
      </c>
      <c r="G499" s="21" t="s">
        <v>129</v>
      </c>
      <c r="H499" s="18">
        <v>481.19309403452985</v>
      </c>
      <c r="I499" s="12" t="str">
        <f t="shared" si="26"/>
        <v>DCYCLE SATajonarelectricity4523145260</v>
      </c>
      <c r="J499" s="12">
        <f t="shared" si="29"/>
        <v>3207.97</v>
      </c>
      <c r="K499" s="12">
        <f>IF(Combinadas!$C153="electricity", Combinadas!$J153/6.6667,
IF(Combinadas!$C153="water", Combinadas!$J153/3.333,
IF(Combinadas!$C153="heat", Combinadas!$J153/0.8333, IF(Combinadas!$C153="waste",Combinadas!$J153/25,
"NA"))))</f>
        <v>1482.8925855370724</v>
      </c>
      <c r="L499" s="12">
        <f>Combinadas!$J153</f>
        <v>9886</v>
      </c>
      <c r="M499" s="12">
        <f>IF(Table4[[#This Row],[Type]]="waste", Table4[[#This Row],[Q_Tonnes]]/25, Table4[[#This Row],[CO2_Noduplicates]])</f>
        <v>1482.8925855370724</v>
      </c>
    </row>
    <row r="500" spans="1:13" x14ac:dyDescent="0.25">
      <c r="A500" s="12" t="s">
        <v>8</v>
      </c>
      <c r="B500" s="12" t="s">
        <v>80</v>
      </c>
      <c r="C500" s="16" t="s">
        <v>237</v>
      </c>
      <c r="D500" s="17">
        <v>45231</v>
      </c>
      <c r="E500" s="17">
        <v>45260</v>
      </c>
      <c r="F500" s="14">
        <v>1840</v>
      </c>
      <c r="G500" s="19" t="s">
        <v>232</v>
      </c>
      <c r="H500" s="14">
        <v>73.599999999999994</v>
      </c>
      <c r="I500" s="12" t="str">
        <f t="shared" si="26"/>
        <v>DCYCLE SAMadridwaste4523145260</v>
      </c>
      <c r="J500" s="12">
        <f>data_waste!L58</f>
        <v>1840</v>
      </c>
      <c r="K500" s="12">
        <f>IF(Combinadas!$C493="electricity", Combinadas!$J493/6.6667,
IF(Combinadas!$C493="water", Combinadas!$J493/3.333,
IF(Combinadas!$C493="heat", Combinadas!$J493/0.8333, IF(Combinadas!$C493="waste",Combinadas!$J493/25,
"NA"))))</f>
        <v>1180.0440997795013</v>
      </c>
      <c r="L500" s="12">
        <f>data_waste!M58</f>
        <v>1840000</v>
      </c>
      <c r="M500" s="12">
        <f>IF(Table4[[#This Row],[Type]]="waste", Table4[[#This Row],[Q_Tonnes]]/25, Table4[[#This Row],[CO2_Noduplicates]])</f>
        <v>73600</v>
      </c>
    </row>
    <row r="501" spans="1:13" x14ac:dyDescent="0.25">
      <c r="A501" s="12" t="s">
        <v>8</v>
      </c>
      <c r="B501" s="12" t="s">
        <v>80</v>
      </c>
      <c r="C501" s="16" t="s">
        <v>237</v>
      </c>
      <c r="D501" s="17">
        <v>45231</v>
      </c>
      <c r="E501" s="17">
        <v>45260</v>
      </c>
      <c r="F501" s="14">
        <v>3200</v>
      </c>
      <c r="G501" s="19" t="s">
        <v>232</v>
      </c>
      <c r="H501" s="14">
        <v>128</v>
      </c>
      <c r="I501" s="12" t="str">
        <f t="shared" si="26"/>
        <v>DCYCLE SAMadridwaste4523145260</v>
      </c>
      <c r="J501" s="12">
        <f>data_waste!L78</f>
        <v>3200</v>
      </c>
      <c r="K501" s="12">
        <f>IF(Combinadas!$C513="electricity", Combinadas!$J513/6.6667,
IF(Combinadas!$C513="water", Combinadas!$J513/3.333,
IF(Combinadas!$C513="heat", Combinadas!$J513/0.8333, IF(Combinadas!$C513="waste",Combinadas!$J513/25,
"NA"))))</f>
        <v>587.41356293218541</v>
      </c>
      <c r="L501" s="12">
        <f>data_waste!M78</f>
        <v>3200000</v>
      </c>
      <c r="M501" s="12">
        <f>IF(Table4[[#This Row],[Type]]="waste", Table4[[#This Row],[Q_Tonnes]]/25, Table4[[#This Row],[CO2_Noduplicates]])</f>
        <v>128000</v>
      </c>
    </row>
    <row r="502" spans="1:13" x14ac:dyDescent="0.25">
      <c r="A502" s="12" t="s">
        <v>8</v>
      </c>
      <c r="B502" s="12" t="s">
        <v>80</v>
      </c>
      <c r="C502" s="16" t="s">
        <v>237</v>
      </c>
      <c r="D502" s="17">
        <v>45231</v>
      </c>
      <c r="E502" s="17">
        <v>45260</v>
      </c>
      <c r="F502" s="14">
        <v>3860</v>
      </c>
      <c r="G502" s="19" t="s">
        <v>232</v>
      </c>
      <c r="H502" s="14">
        <v>154.4</v>
      </c>
      <c r="I502" s="12" t="str">
        <f t="shared" si="26"/>
        <v>DCYCLE SAMadridwaste4523145260</v>
      </c>
      <c r="J502" s="12">
        <f>data_waste!L80</f>
        <v>3860</v>
      </c>
      <c r="K502" s="12">
        <f>IF(Combinadas!$C515="electricity", Combinadas!$J515/6.6667,
IF(Combinadas!$C515="water", Combinadas!$J515/3.333,
IF(Combinadas!$C515="heat", Combinadas!$J515/0.8333, IF(Combinadas!$C515="waste",Combinadas!$J515/25,
"NA"))))</f>
        <v>3</v>
      </c>
      <c r="L502" s="12">
        <f>data_waste!M80</f>
        <v>3860000</v>
      </c>
      <c r="M502" s="12">
        <f>IF(Table4[[#This Row],[Type]]="waste", Table4[[#This Row],[Q_Tonnes]]/25, Table4[[#This Row],[CO2_Noduplicates]])</f>
        <v>154400</v>
      </c>
    </row>
    <row r="503" spans="1:13" x14ac:dyDescent="0.25">
      <c r="A503" s="12" t="s">
        <v>8</v>
      </c>
      <c r="B503" s="12" t="s">
        <v>80</v>
      </c>
      <c r="C503" s="16" t="s">
        <v>237</v>
      </c>
      <c r="D503" s="13">
        <v>45231</v>
      </c>
      <c r="E503" s="13">
        <v>45260</v>
      </c>
      <c r="F503" s="14">
        <v>6320</v>
      </c>
      <c r="G503" s="15" t="s">
        <v>232</v>
      </c>
      <c r="H503" s="14">
        <v>252.8</v>
      </c>
      <c r="I503" s="12" t="str">
        <f t="shared" si="26"/>
        <v>DCYCLE SAMadridwaste4523145260</v>
      </c>
      <c r="J503" s="12">
        <f>data_waste!L87</f>
        <v>6320</v>
      </c>
      <c r="K503" s="12">
        <f>IF(Combinadas!$C522="electricity", Combinadas!$J522/6.6667,
IF(Combinadas!$C522="water", Combinadas!$J522/3.333,
IF(Combinadas!$C522="heat", Combinadas!$J522/0.8333, IF(Combinadas!$C522="waste",Combinadas!$J522/25,
"NA"))))</f>
        <v>77.599999999999994</v>
      </c>
      <c r="L503" s="12">
        <f>data_waste!M87</f>
        <v>6320000</v>
      </c>
      <c r="M503" s="12">
        <f>IF(Table4[[#This Row],[Type]]="waste", Table4[[#This Row],[Q_Tonnes]]/25, Table4[[#This Row],[CO2_Noduplicates]])</f>
        <v>252800</v>
      </c>
    </row>
    <row r="504" spans="1:13" x14ac:dyDescent="0.25">
      <c r="A504" s="16" t="s">
        <v>8</v>
      </c>
      <c r="B504" s="16" t="s">
        <v>139</v>
      </c>
      <c r="C504" s="16" t="s">
        <v>140</v>
      </c>
      <c r="D504" s="17">
        <v>45245</v>
      </c>
      <c r="E504" s="17">
        <v>45260</v>
      </c>
      <c r="F504" s="18">
        <v>151.08966769144678</v>
      </c>
      <c r="G504" s="19" t="s">
        <v>211</v>
      </c>
      <c r="H504" s="18">
        <v>181.31485382388908</v>
      </c>
      <c r="I504" s="12" t="str">
        <f t="shared" si="26"/>
        <v>DCYCLE SAMadrid (A2)heat4524545260</v>
      </c>
      <c r="J504" s="12">
        <f t="shared" ref="J504:J513" si="30">IF(F504=_xlfn.MAXIFS(F:F, I:I, I504), F504, 0)</f>
        <v>151.08966769144678</v>
      </c>
      <c r="K504" s="12">
        <f>IF(Combinadas!$C69="electricity", Combinadas!$J69/6.6667,
IF(Combinadas!$C69="water", Combinadas!$J69/3.333,
IF(Combinadas!$C69="heat", Combinadas!$J69/0.8333, IF(Combinadas!$C69="waste",Combinadas!$J69/25,
"NA"))))</f>
        <v>5.6990699069906992</v>
      </c>
      <c r="L504" s="12">
        <f>Combinadas!$J69</f>
        <v>18.995000000000001</v>
      </c>
      <c r="M504" s="12">
        <f>IF(Table4[[#This Row],[Type]]="waste", Table4[[#This Row],[Q_Tonnes]]/25, Table4[[#This Row],[CO2_Noduplicates]])</f>
        <v>5.6990699069906992</v>
      </c>
    </row>
    <row r="505" spans="1:13" x14ac:dyDescent="0.25">
      <c r="A505" s="16" t="s">
        <v>8</v>
      </c>
      <c r="B505" s="16" t="s">
        <v>80</v>
      </c>
      <c r="C505" s="16" t="s">
        <v>130</v>
      </c>
      <c r="D505" s="17">
        <v>45258</v>
      </c>
      <c r="E505" s="17">
        <v>45258</v>
      </c>
      <c r="F505" s="18">
        <v>15.054</v>
      </c>
      <c r="G505" s="19" t="s">
        <v>133</v>
      </c>
      <c r="H505" s="18">
        <v>4.5166516651665161</v>
      </c>
      <c r="I505" s="12" t="str">
        <f t="shared" si="26"/>
        <v>DCYCLE SAMadridwater4525845258</v>
      </c>
      <c r="J505" s="12">
        <f t="shared" si="30"/>
        <v>15.054</v>
      </c>
      <c r="K505" s="12">
        <f>IF(Combinadas!$C117="electricity", Combinadas!$J117/6.6667,
IF(Combinadas!$C117="water", Combinadas!$J117/3.333,
IF(Combinadas!$C117="heat", Combinadas!$J117/0.8333, IF(Combinadas!$C117="waste",Combinadas!$J117/25,
"NA"))))</f>
        <v>256</v>
      </c>
      <c r="L505" s="12">
        <f>Combinadas!$J117</f>
        <v>6400</v>
      </c>
      <c r="M505" s="12">
        <f>IF(Table4[[#This Row],[Type]]="waste", Table4[[#This Row],[Q_Tonnes]]/25, Table4[[#This Row],[CO2_Noduplicates]])</f>
        <v>256</v>
      </c>
    </row>
    <row r="506" spans="1:13" x14ac:dyDescent="0.25">
      <c r="A506" s="12" t="s">
        <v>8</v>
      </c>
      <c r="B506" s="12" t="s">
        <v>127</v>
      </c>
      <c r="C506" s="12" t="s">
        <v>128</v>
      </c>
      <c r="D506" s="13">
        <v>45261</v>
      </c>
      <c r="E506" s="13">
        <v>45291</v>
      </c>
      <c r="F506" s="14">
        <v>9523</v>
      </c>
      <c r="G506" s="15" t="s">
        <v>129</v>
      </c>
      <c r="H506" s="14">
        <v>1428.4428577857111</v>
      </c>
      <c r="I506" s="12" t="str">
        <f t="shared" si="26"/>
        <v>DCYCLE SABCNelectricity4526145291</v>
      </c>
      <c r="J506" s="12">
        <f t="shared" si="30"/>
        <v>9523</v>
      </c>
      <c r="K506" s="12">
        <f>IF(Combinadas!$C14="electricity", Combinadas!$J14/6.6667,
IF(Combinadas!$C14="water", Combinadas!$J14/3.333,
IF(Combinadas!$C14="heat", Combinadas!$J14/0.8333, IF(Combinadas!$C14="waste",Combinadas!$J14/25,
"NA"))))</f>
        <v>27.902790279027901</v>
      </c>
      <c r="L506" s="12">
        <f>Combinadas!$J14</f>
        <v>93</v>
      </c>
      <c r="M506" s="12">
        <f>IF(Table4[[#This Row],[Type]]="waste", Table4[[#This Row],[Q_Tonnes]]/25, Table4[[#This Row],[CO2_Noduplicates]])</f>
        <v>27.902790279027901</v>
      </c>
    </row>
    <row r="507" spans="1:13" x14ac:dyDescent="0.25">
      <c r="A507" s="16" t="s">
        <v>8</v>
      </c>
      <c r="B507" s="16" t="s">
        <v>139</v>
      </c>
      <c r="C507" s="16" t="s">
        <v>128</v>
      </c>
      <c r="D507" s="17">
        <v>45261</v>
      </c>
      <c r="E507" s="17">
        <v>45291</v>
      </c>
      <c r="F507" s="18">
        <v>3664.5</v>
      </c>
      <c r="G507" s="21" t="s">
        <v>129</v>
      </c>
      <c r="H507" s="18">
        <v>549.67225163874184</v>
      </c>
      <c r="I507" s="12" t="str">
        <f t="shared" si="26"/>
        <v>DCYCLE SAMadrid (A2)electricity4526145291</v>
      </c>
      <c r="J507" s="12">
        <f t="shared" si="30"/>
        <v>0</v>
      </c>
      <c r="K507" s="12">
        <f>IF(Combinadas!$C45="electricity", Combinadas!$J45/6.6667,
IF(Combinadas!$C45="water", Combinadas!$J45/3.333,
IF(Combinadas!$C45="heat", Combinadas!$J45/0.8333, IF(Combinadas!$C45="waste",Combinadas!$J45/25,
"NA"))))</f>
        <v>12792.38603806981</v>
      </c>
      <c r="L507" s="12">
        <f>Combinadas!$J45</f>
        <v>85283</v>
      </c>
      <c r="M507" s="12">
        <f>IF(Table4[[#This Row],[Type]]="waste", Table4[[#This Row],[Q_Tonnes]]/25, Table4[[#This Row],[CO2_Noduplicates]])</f>
        <v>12792.38603806981</v>
      </c>
    </row>
    <row r="508" spans="1:13" x14ac:dyDescent="0.25">
      <c r="A508" s="12" t="s">
        <v>8</v>
      </c>
      <c r="B508" s="12" t="s">
        <v>139</v>
      </c>
      <c r="C508" s="12" t="s">
        <v>128</v>
      </c>
      <c r="D508" s="13">
        <v>45261</v>
      </c>
      <c r="E508" s="13">
        <v>45291</v>
      </c>
      <c r="F508" s="14">
        <v>33985</v>
      </c>
      <c r="G508" s="15" t="s">
        <v>129</v>
      </c>
      <c r="H508" s="14">
        <v>5097.7245113774434</v>
      </c>
      <c r="I508" s="12" t="str">
        <f t="shared" si="26"/>
        <v>DCYCLE SAMadrid (A2)electricity4526145291</v>
      </c>
      <c r="J508" s="12">
        <f t="shared" si="30"/>
        <v>33985</v>
      </c>
      <c r="K508" s="12">
        <f>IF(Combinadas!$C46="electricity", Combinadas!$J46/6.6667,
IF(Combinadas!$C46="water", Combinadas!$J46/3.333,
IF(Combinadas!$C46="heat", Combinadas!$J46/0.8333, IF(Combinadas!$C46="waste",Combinadas!$J46/25,
"NA"))))</f>
        <v>913.19543402282989</v>
      </c>
      <c r="L508" s="12">
        <f>Combinadas!$J46</f>
        <v>6088</v>
      </c>
      <c r="M508" s="12">
        <f>IF(Table4[[#This Row],[Type]]="waste", Table4[[#This Row],[Q_Tonnes]]/25, Table4[[#This Row],[CO2_Noduplicates]])</f>
        <v>913.19543402282989</v>
      </c>
    </row>
    <row r="509" spans="1:13" x14ac:dyDescent="0.25">
      <c r="A509" s="12" t="s">
        <v>8</v>
      </c>
      <c r="B509" s="12" t="s">
        <v>139</v>
      </c>
      <c r="C509" s="12" t="s">
        <v>140</v>
      </c>
      <c r="D509" s="13">
        <v>45261</v>
      </c>
      <c r="E509" s="13">
        <v>45291</v>
      </c>
      <c r="F509" s="14">
        <v>386.18628250492202</v>
      </c>
      <c r="G509" s="15" t="s">
        <v>211</v>
      </c>
      <c r="H509" s="14">
        <v>463.44207668897394</v>
      </c>
      <c r="I509" s="12" t="str">
        <f t="shared" si="26"/>
        <v>DCYCLE SAMadrid (A2)heat4526145291</v>
      </c>
      <c r="J509" s="12">
        <f t="shared" si="30"/>
        <v>386.18628250492202</v>
      </c>
      <c r="K509" s="12">
        <f>IF(Combinadas!$C70="electricity", Combinadas!$J70/6.6667,
IF(Combinadas!$C70="water", Combinadas!$J70/3.333,
IF(Combinadas!$C70="heat", Combinadas!$J70/0.8333, IF(Combinadas!$C70="waste",Combinadas!$J70/25,
"NA"))))</f>
        <v>1168.7941560292199</v>
      </c>
      <c r="L509" s="12">
        <f>Combinadas!$J70</f>
        <v>7792</v>
      </c>
      <c r="M509" s="12">
        <f>IF(Table4[[#This Row],[Type]]="waste", Table4[[#This Row],[Q_Tonnes]]/25, Table4[[#This Row],[CO2_Noduplicates]])</f>
        <v>1168.7941560292199</v>
      </c>
    </row>
    <row r="510" spans="1:13" x14ac:dyDescent="0.25">
      <c r="A510" s="16" t="s">
        <v>8</v>
      </c>
      <c r="B510" s="16" t="s">
        <v>80</v>
      </c>
      <c r="C510" s="16" t="s">
        <v>128</v>
      </c>
      <c r="D510" s="17">
        <v>45261</v>
      </c>
      <c r="E510" s="17">
        <v>45291</v>
      </c>
      <c r="F510" s="18">
        <v>2264</v>
      </c>
      <c r="G510" s="19" t="s">
        <v>129</v>
      </c>
      <c r="H510" s="18">
        <v>339.59830200848995</v>
      </c>
      <c r="I510" s="12" t="str">
        <f t="shared" si="26"/>
        <v>DCYCLE SAMadridelectricity4526145291</v>
      </c>
      <c r="J510" s="12">
        <f t="shared" si="30"/>
        <v>0</v>
      </c>
      <c r="K510" s="12">
        <f>IF(Combinadas!$C109="electricity", Combinadas!$J109/6.6667,
IF(Combinadas!$C109="water", Combinadas!$J109/3.333,
IF(Combinadas!$C109="heat", Combinadas!$J109/0.8333, IF(Combinadas!$C109="waste",Combinadas!$J109/25,
"NA"))))</f>
        <v>8966.9551652241753</v>
      </c>
      <c r="L510" s="12">
        <f>Combinadas!$J109</f>
        <v>59780</v>
      </c>
      <c r="M510" s="12">
        <f>IF(Table4[[#This Row],[Type]]="waste", Table4[[#This Row],[Q_Tonnes]]/25, Table4[[#This Row],[CO2_Noduplicates]])</f>
        <v>8966.9551652241753</v>
      </c>
    </row>
    <row r="511" spans="1:13" x14ac:dyDescent="0.25">
      <c r="A511" s="12" t="s">
        <v>8</v>
      </c>
      <c r="B511" s="12" t="s">
        <v>80</v>
      </c>
      <c r="C511" s="12" t="s">
        <v>128</v>
      </c>
      <c r="D511" s="13">
        <v>45261</v>
      </c>
      <c r="E511" s="13">
        <v>45291</v>
      </c>
      <c r="F511" s="14">
        <v>6799.38</v>
      </c>
      <c r="G511" s="20" t="s">
        <v>129</v>
      </c>
      <c r="H511" s="14">
        <v>1019.9019004904976</v>
      </c>
      <c r="I511" s="12" t="str">
        <f t="shared" si="26"/>
        <v>DCYCLE SAMadridelectricity4526145291</v>
      </c>
      <c r="J511" s="12">
        <f t="shared" si="30"/>
        <v>0</v>
      </c>
      <c r="K511" s="12">
        <f>IF(Combinadas!$C110="electricity", Combinadas!$J110/6.6667,
IF(Combinadas!$C110="water", Combinadas!$J110/3.333,
IF(Combinadas!$C110="heat", Combinadas!$J110/0.8333, IF(Combinadas!$C110="waste",Combinadas!$J110/25,
"NA"))))</f>
        <v>469.04765476172622</v>
      </c>
      <c r="L511" s="12">
        <f>Combinadas!$J110</f>
        <v>3127</v>
      </c>
      <c r="M511" s="12">
        <f>IF(Table4[[#This Row],[Type]]="waste", Table4[[#This Row],[Q_Tonnes]]/25, Table4[[#This Row],[CO2_Noduplicates]])</f>
        <v>469.04765476172622</v>
      </c>
    </row>
    <row r="512" spans="1:13" x14ac:dyDescent="0.25">
      <c r="A512" s="16" t="s">
        <v>8</v>
      </c>
      <c r="B512" s="16" t="s">
        <v>80</v>
      </c>
      <c r="C512" s="16" t="s">
        <v>128</v>
      </c>
      <c r="D512" s="17">
        <v>45261</v>
      </c>
      <c r="E512" s="17">
        <v>45291</v>
      </c>
      <c r="F512" s="18">
        <v>55553</v>
      </c>
      <c r="G512" s="19" t="s">
        <v>129</v>
      </c>
      <c r="H512" s="18">
        <v>8332.9083354583236</v>
      </c>
      <c r="I512" s="12" t="str">
        <f t="shared" si="26"/>
        <v>DCYCLE SAMadridelectricity4526145291</v>
      </c>
      <c r="J512" s="12">
        <f t="shared" si="30"/>
        <v>55553</v>
      </c>
      <c r="K512" s="12">
        <f>IF(Combinadas!$C111="electricity", Combinadas!$J111/6.6667,
IF(Combinadas!$C111="water", Combinadas!$J111/3.333,
IF(Combinadas!$C111="heat", Combinadas!$J111/0.8333, IF(Combinadas!$C111="waste",Combinadas!$J111/25,
"NA"))))</f>
        <v>2313.1084344578276</v>
      </c>
      <c r="L512" s="12">
        <f>Combinadas!$J111</f>
        <v>15420.8</v>
      </c>
      <c r="M512" s="12">
        <f>IF(Table4[[#This Row],[Type]]="waste", Table4[[#This Row],[Q_Tonnes]]/25, Table4[[#This Row],[CO2_Noduplicates]])</f>
        <v>2313.1084344578276</v>
      </c>
    </row>
    <row r="513" spans="1:13" x14ac:dyDescent="0.25">
      <c r="A513" s="12" t="s">
        <v>8</v>
      </c>
      <c r="B513" s="12" t="s">
        <v>160</v>
      </c>
      <c r="C513" s="12" t="s">
        <v>128</v>
      </c>
      <c r="D513" s="13">
        <v>45261</v>
      </c>
      <c r="E513" s="13">
        <v>45291</v>
      </c>
      <c r="F513" s="14">
        <v>3916.11</v>
      </c>
      <c r="G513" s="20" t="s">
        <v>129</v>
      </c>
      <c r="H513" s="14">
        <v>587.41356293218541</v>
      </c>
      <c r="I513" s="12" t="str">
        <f t="shared" si="26"/>
        <v>DCYCLE SATajonarelectricity4526145291</v>
      </c>
      <c r="J513" s="12">
        <f t="shared" si="30"/>
        <v>3916.11</v>
      </c>
      <c r="K513" s="12">
        <f>IF(Combinadas!$C154="electricity", Combinadas!$J154/6.6667,
IF(Combinadas!$C154="water", Combinadas!$J154/3.333,
IF(Combinadas!$C154="heat", Combinadas!$J154/0.8333, IF(Combinadas!$C154="waste",Combinadas!$J154/25,
"NA"))))</f>
        <v>0</v>
      </c>
      <c r="L513" s="12">
        <f>Combinadas!$J154</f>
        <v>0</v>
      </c>
      <c r="M513" s="12">
        <f>IF(Table4[[#This Row],[Type]]="waste", Table4[[#This Row],[Q_Tonnes]]/25, Table4[[#This Row],[CO2_Noduplicates]])</f>
        <v>0</v>
      </c>
    </row>
    <row r="514" spans="1:13" x14ac:dyDescent="0.25">
      <c r="A514" s="12" t="s">
        <v>8</v>
      </c>
      <c r="B514" s="12" t="s">
        <v>80</v>
      </c>
      <c r="C514" s="16" t="s">
        <v>237</v>
      </c>
      <c r="D514" s="17">
        <v>45261</v>
      </c>
      <c r="E514" s="17">
        <v>45291</v>
      </c>
      <c r="F514" s="14">
        <v>45</v>
      </c>
      <c r="G514" s="19" t="s">
        <v>232</v>
      </c>
      <c r="H514" s="14">
        <v>1.8</v>
      </c>
      <c r="I514" s="12" t="str">
        <f t="shared" ref="I514:I524" si="31">A514&amp;B514&amp;C514&amp;D514&amp;E514</f>
        <v>DCYCLE SAMadridwaste4526145291</v>
      </c>
      <c r="J514" s="12">
        <f>data_waste!L40</f>
        <v>45</v>
      </c>
      <c r="K514" s="12">
        <f>IF(Combinadas!$C475="electricity", Combinadas!$J475/6.6667,
IF(Combinadas!$C475="water", Combinadas!$J475/3.333,
IF(Combinadas!$C475="heat", Combinadas!$J475/0.8333, IF(Combinadas!$C475="waste",Combinadas!$J475/25,
"NA"))))</f>
        <v>7644.111779441103</v>
      </c>
      <c r="L514" s="12">
        <f>data_waste!M40</f>
        <v>45000</v>
      </c>
      <c r="M514" s="12">
        <f>IF(Table4[[#This Row],[Type]]="waste", Table4[[#This Row],[Q_Tonnes]]/25, Table4[[#This Row],[CO2_Noduplicates]])</f>
        <v>1800</v>
      </c>
    </row>
    <row r="515" spans="1:13" x14ac:dyDescent="0.25">
      <c r="A515" s="12" t="s">
        <v>8</v>
      </c>
      <c r="B515" s="12" t="s">
        <v>80</v>
      </c>
      <c r="C515" s="16" t="s">
        <v>237</v>
      </c>
      <c r="D515" s="17">
        <v>45261</v>
      </c>
      <c r="E515" s="17">
        <v>45291</v>
      </c>
      <c r="F515" s="14">
        <v>75</v>
      </c>
      <c r="G515" s="19" t="s">
        <v>232</v>
      </c>
      <c r="H515" s="14">
        <v>3</v>
      </c>
      <c r="I515" s="12" t="str">
        <f t="shared" si="31"/>
        <v>DCYCLE SAMadridwaste4526145291</v>
      </c>
      <c r="J515" s="12">
        <f>data_waste!L42</f>
        <v>75</v>
      </c>
      <c r="K515" s="12">
        <f>IF(Combinadas!$C477="electricity", Combinadas!$J477/6.6667,
IF(Combinadas!$C477="water", Combinadas!$J477/3.333,
IF(Combinadas!$C477="heat", Combinadas!$J477/0.8333, IF(Combinadas!$C477="waste",Combinadas!$J477/25,
"NA"))))</f>
        <v>54.4</v>
      </c>
      <c r="L515" s="12">
        <f>data_waste!M42</f>
        <v>75000</v>
      </c>
      <c r="M515" s="12">
        <f>IF(Table4[[#This Row],[Type]]="waste", Table4[[#This Row],[Q_Tonnes]]/25, Table4[[#This Row],[CO2_Noduplicates]])</f>
        <v>3000</v>
      </c>
    </row>
    <row r="516" spans="1:13" x14ac:dyDescent="0.25">
      <c r="A516" s="12" t="s">
        <v>8</v>
      </c>
      <c r="B516" s="12" t="s">
        <v>80</v>
      </c>
      <c r="C516" s="16" t="s">
        <v>237</v>
      </c>
      <c r="D516" s="17">
        <v>45261</v>
      </c>
      <c r="E516" s="17">
        <v>45291</v>
      </c>
      <c r="F516" s="14">
        <v>140</v>
      </c>
      <c r="G516" s="19" t="s">
        <v>232</v>
      </c>
      <c r="H516" s="14">
        <v>5.6</v>
      </c>
      <c r="I516" s="12" t="str">
        <f t="shared" si="31"/>
        <v>DCYCLE SAMadridwaste4526145291</v>
      </c>
      <c r="J516" s="12">
        <f>data_waste!L44</f>
        <v>140</v>
      </c>
      <c r="K516" s="12">
        <f>IF(Combinadas!$C479="electricity", Combinadas!$J479/6.6667,
IF(Combinadas!$C479="water", Combinadas!$J479/3.333,
IF(Combinadas!$C479="heat", Combinadas!$J479/0.8333, IF(Combinadas!$C479="waste",Combinadas!$J479/25,
"NA"))))</f>
        <v>1225.19387403063</v>
      </c>
      <c r="L516" s="12">
        <f>data_waste!M44</f>
        <v>140000</v>
      </c>
      <c r="M516" s="12">
        <f>IF(Table4[[#This Row],[Type]]="waste", Table4[[#This Row],[Q_Tonnes]]/25, Table4[[#This Row],[CO2_Noduplicates]])</f>
        <v>5600</v>
      </c>
    </row>
    <row r="517" spans="1:13" x14ac:dyDescent="0.25">
      <c r="A517" s="12" t="s">
        <v>8</v>
      </c>
      <c r="B517" s="12" t="s">
        <v>80</v>
      </c>
      <c r="C517" s="16" t="s">
        <v>237</v>
      </c>
      <c r="D517" s="13">
        <v>45261</v>
      </c>
      <c r="E517" s="13">
        <v>45291</v>
      </c>
      <c r="F517" s="14">
        <v>150</v>
      </c>
      <c r="G517" s="15" t="s">
        <v>232</v>
      </c>
      <c r="H517" s="14">
        <v>6</v>
      </c>
      <c r="I517" s="12" t="str">
        <f t="shared" si="31"/>
        <v>DCYCLE SAMadridwaste4526145291</v>
      </c>
      <c r="J517" s="12">
        <f>data_waste!L45</f>
        <v>150</v>
      </c>
      <c r="K517" s="12">
        <f>IF(Combinadas!$C480="electricity", Combinadas!$J480/6.6667,
IF(Combinadas!$C480="water", Combinadas!$J480/3.333,
IF(Combinadas!$C480="heat", Combinadas!$J480/0.8333, IF(Combinadas!$C480="waste",Combinadas!$J480/25,
"NA"))))</f>
        <v>0</v>
      </c>
      <c r="L517" s="12">
        <f>data_waste!M45</f>
        <v>150000</v>
      </c>
      <c r="M517" s="12">
        <f>IF(Table4[[#This Row],[Type]]="waste", Table4[[#This Row],[Q_Tonnes]]/25, Table4[[#This Row],[CO2_Noduplicates]])</f>
        <v>6000</v>
      </c>
    </row>
    <row r="518" spans="1:13" x14ac:dyDescent="0.25">
      <c r="A518" s="12" t="s">
        <v>8</v>
      </c>
      <c r="B518" s="12" t="s">
        <v>80</v>
      </c>
      <c r="C518" s="16" t="s">
        <v>237</v>
      </c>
      <c r="D518" s="17">
        <v>45261</v>
      </c>
      <c r="E518" s="17">
        <v>45291</v>
      </c>
      <c r="F518" s="14">
        <v>195</v>
      </c>
      <c r="G518" s="19" t="s">
        <v>232</v>
      </c>
      <c r="H518" s="14">
        <v>7.8</v>
      </c>
      <c r="I518" s="12" t="str">
        <f t="shared" si="31"/>
        <v>DCYCLE SAMadridwaste4526145291</v>
      </c>
      <c r="J518" s="12">
        <f>data_waste!L48</f>
        <v>195</v>
      </c>
      <c r="K518" s="12">
        <f>IF(Combinadas!$C483="electricity", Combinadas!$J483/6.6667,
IF(Combinadas!$C483="water", Combinadas!$J483/3.333,
IF(Combinadas!$C483="heat", Combinadas!$J483/0.8333, IF(Combinadas!$C483="waste",Combinadas!$J483/25,
"NA"))))</f>
        <v>0</v>
      </c>
      <c r="L518" s="12">
        <f>data_waste!M48</f>
        <v>195000</v>
      </c>
      <c r="M518" s="12">
        <f>IF(Table4[[#This Row],[Type]]="waste", Table4[[#This Row],[Q_Tonnes]]/25, Table4[[#This Row],[CO2_Noduplicates]])</f>
        <v>7800</v>
      </c>
    </row>
    <row r="519" spans="1:13" x14ac:dyDescent="0.25">
      <c r="A519" s="12" t="s">
        <v>8</v>
      </c>
      <c r="B519" s="12" t="s">
        <v>80</v>
      </c>
      <c r="C519" s="16" t="s">
        <v>237</v>
      </c>
      <c r="D519" s="17">
        <v>45261</v>
      </c>
      <c r="E519" s="17">
        <v>45291</v>
      </c>
      <c r="F519" s="14">
        <v>200</v>
      </c>
      <c r="G519" s="19" t="s">
        <v>232</v>
      </c>
      <c r="H519" s="14">
        <v>8</v>
      </c>
      <c r="I519" s="12" t="str">
        <f t="shared" si="31"/>
        <v>DCYCLE SAMadridwaste4526145291</v>
      </c>
      <c r="J519" s="12">
        <f>data_waste!L50</f>
        <v>200</v>
      </c>
      <c r="K519" s="12">
        <f>IF(Combinadas!$C485="electricity", Combinadas!$J485/6.6667,
IF(Combinadas!$C485="water", Combinadas!$J485/3.333,
IF(Combinadas!$C485="heat", Combinadas!$J485/0.8333, IF(Combinadas!$C485="waste",Combinadas!$J485/25,
"NA"))))</f>
        <v>7545.7122714386433</v>
      </c>
      <c r="L519" s="12">
        <f>data_waste!M50</f>
        <v>200000</v>
      </c>
      <c r="M519" s="12">
        <f>IF(Table4[[#This Row],[Type]]="waste", Table4[[#This Row],[Q_Tonnes]]/25, Table4[[#This Row],[CO2_Noduplicates]])</f>
        <v>8000</v>
      </c>
    </row>
    <row r="520" spans="1:13" x14ac:dyDescent="0.25">
      <c r="A520" s="12" t="s">
        <v>8</v>
      </c>
      <c r="B520" s="12" t="s">
        <v>80</v>
      </c>
      <c r="C520" s="16" t="s">
        <v>237</v>
      </c>
      <c r="D520" s="13">
        <v>45261</v>
      </c>
      <c r="E520" s="13">
        <v>45291</v>
      </c>
      <c r="F520" s="14">
        <v>830</v>
      </c>
      <c r="G520" s="15" t="s">
        <v>232</v>
      </c>
      <c r="H520" s="14">
        <v>33.200000000000003</v>
      </c>
      <c r="I520" s="12" t="str">
        <f t="shared" si="31"/>
        <v>DCYCLE SAMadridwaste4526145291</v>
      </c>
      <c r="J520" s="12">
        <f>data_waste!L53</f>
        <v>830</v>
      </c>
      <c r="K520" s="12">
        <f>IF(Combinadas!$C488="electricity", Combinadas!$J488/6.6667,
IF(Combinadas!$C488="water", Combinadas!$J488/3.333,
IF(Combinadas!$C488="heat", Combinadas!$J488/0.8333, IF(Combinadas!$C488="waste",Combinadas!$J488/25,
"NA"))))</f>
        <v>123.2</v>
      </c>
      <c r="L520" s="12">
        <f>data_waste!M53</f>
        <v>830000</v>
      </c>
      <c r="M520" s="12">
        <f>IF(Table4[[#This Row],[Type]]="waste", Table4[[#This Row],[Q_Tonnes]]/25, Table4[[#This Row],[CO2_Noduplicates]])</f>
        <v>33200</v>
      </c>
    </row>
    <row r="521" spans="1:13" x14ac:dyDescent="0.25">
      <c r="A521" s="12" t="s">
        <v>8</v>
      </c>
      <c r="B521" s="12" t="s">
        <v>80</v>
      </c>
      <c r="C521" s="16" t="s">
        <v>237</v>
      </c>
      <c r="D521" s="17">
        <v>45261</v>
      </c>
      <c r="E521" s="17">
        <v>45291</v>
      </c>
      <c r="F521" s="14">
        <v>970</v>
      </c>
      <c r="G521" s="19" t="s">
        <v>232</v>
      </c>
      <c r="H521" s="14">
        <v>38.799999999999997</v>
      </c>
      <c r="I521" s="12" t="str">
        <f t="shared" si="31"/>
        <v>DCYCLE SAMadridwaste4526145291</v>
      </c>
      <c r="J521" s="12">
        <f>data_waste!L54</f>
        <v>970</v>
      </c>
      <c r="K521" s="12">
        <f>IF(Combinadas!$C489="electricity", Combinadas!$J489/6.6667,
IF(Combinadas!$C489="water", Combinadas!$J489/3.333,
IF(Combinadas!$C489="heat", Combinadas!$J489/0.8333, IF(Combinadas!$C489="waste",Combinadas!$J489/25,
"NA"))))</f>
        <v>188.8</v>
      </c>
      <c r="L521" s="12">
        <f>data_waste!M54</f>
        <v>970000</v>
      </c>
      <c r="M521" s="12">
        <f>IF(Table4[[#This Row],[Type]]="waste", Table4[[#This Row],[Q_Tonnes]]/25, Table4[[#This Row],[CO2_Noduplicates]])</f>
        <v>38800</v>
      </c>
    </row>
    <row r="522" spans="1:13" x14ac:dyDescent="0.25">
      <c r="A522" s="12" t="s">
        <v>8</v>
      </c>
      <c r="B522" s="12" t="s">
        <v>80</v>
      </c>
      <c r="C522" s="16" t="s">
        <v>237</v>
      </c>
      <c r="D522" s="13">
        <v>45261</v>
      </c>
      <c r="E522" s="13">
        <v>45291</v>
      </c>
      <c r="F522" s="14">
        <v>1940</v>
      </c>
      <c r="G522" s="15" t="s">
        <v>232</v>
      </c>
      <c r="H522" s="14">
        <v>77.599999999999994</v>
      </c>
      <c r="I522" s="12" t="str">
        <f t="shared" si="31"/>
        <v>DCYCLE SAMadridwaste4526145291</v>
      </c>
      <c r="J522" s="12">
        <f>data_waste!L59</f>
        <v>1940</v>
      </c>
      <c r="K522" s="12">
        <f>IF(Combinadas!$C494="electricity", Combinadas!$J494/6.6667,
IF(Combinadas!$C494="water", Combinadas!$J494/3.333,
IF(Combinadas!$C494="heat", Combinadas!$J494/0.8333, IF(Combinadas!$C494="waste",Combinadas!$J494/25,
"NA"))))</f>
        <v>0</v>
      </c>
      <c r="L522" s="12">
        <f>data_waste!M59</f>
        <v>1940000</v>
      </c>
      <c r="M522" s="12">
        <f>IF(Table4[[#This Row],[Type]]="waste", Table4[[#This Row],[Q_Tonnes]]/25, Table4[[#This Row],[CO2_Noduplicates]])</f>
        <v>77600</v>
      </c>
    </row>
    <row r="523" spans="1:13" x14ac:dyDescent="0.25">
      <c r="A523" s="12" t="s">
        <v>8</v>
      </c>
      <c r="B523" s="12" t="s">
        <v>80</v>
      </c>
      <c r="C523" s="16" t="s">
        <v>237</v>
      </c>
      <c r="D523" s="17">
        <v>45261</v>
      </c>
      <c r="E523" s="17">
        <v>45291</v>
      </c>
      <c r="F523" s="14">
        <v>2360</v>
      </c>
      <c r="G523" s="19" t="s">
        <v>232</v>
      </c>
      <c r="H523" s="14">
        <v>94.4</v>
      </c>
      <c r="I523" s="12" t="str">
        <f t="shared" si="31"/>
        <v>DCYCLE SAMadridwaste4526145291</v>
      </c>
      <c r="J523" s="12">
        <f>data_waste!L70</f>
        <v>2360</v>
      </c>
      <c r="K523" s="12">
        <f>IF(Combinadas!$C505="electricity", Combinadas!$J505/6.6667,
IF(Combinadas!$C505="water", Combinadas!$J505/3.333,
IF(Combinadas!$C505="heat", Combinadas!$J505/0.8333, IF(Combinadas!$C505="waste",Combinadas!$J505/25,
"NA"))))</f>
        <v>4.5166516651665161</v>
      </c>
      <c r="L523" s="12">
        <f>data_waste!M70</f>
        <v>2360000</v>
      </c>
      <c r="M523" s="12">
        <f>IF(Table4[[#This Row],[Type]]="waste", Table4[[#This Row],[Q_Tonnes]]/25, Table4[[#This Row],[CO2_Noduplicates]])</f>
        <v>94400</v>
      </c>
    </row>
    <row r="524" spans="1:13" hidden="1" x14ac:dyDescent="0.25">
      <c r="A524" s="12" t="s">
        <v>8</v>
      </c>
      <c r="B524" s="12" t="s">
        <v>80</v>
      </c>
      <c r="C524" s="16" t="s">
        <v>237</v>
      </c>
      <c r="D524" s="13">
        <v>45292</v>
      </c>
      <c r="E524" s="13">
        <v>45316</v>
      </c>
      <c r="F524" s="14">
        <v>35</v>
      </c>
      <c r="G524" s="15" t="s">
        <v>232</v>
      </c>
      <c r="H524" s="14">
        <v>1.4</v>
      </c>
      <c r="I524" s="12" t="str">
        <f t="shared" si="31"/>
        <v>DCYCLE SAMadridwaste4529245316</v>
      </c>
      <c r="J524" s="12">
        <f>data_waste!L39</f>
        <v>35</v>
      </c>
      <c r="K524" s="12">
        <f>IF(Combinadas!$C474="electricity", Combinadas!$J474/6.6667,
IF(Combinadas!$C474="water", Combinadas!$J474/3.333,
IF(Combinadas!$C474="heat", Combinadas!$J474/0.8333, IF(Combinadas!$C474="waste",Combinadas!$J474/25,
"NA"))))</f>
        <v>0</v>
      </c>
      <c r="L524" s="12">
        <f>data_waste!M39</f>
        <v>35000</v>
      </c>
      <c r="M524" s="12">
        <f>IF(Table4[[#This Row],[Type]]="waste", Table4[[#This Row],[Q_Tonnes]]/25, Table4[[#This Row],[CO2_Noduplicates]])</f>
        <v>1400</v>
      </c>
    </row>
    <row r="525" spans="1:13" x14ac:dyDescent="0.25">
      <c r="A525" s="12" t="s">
        <v>17</v>
      </c>
      <c r="B525" s="12" t="s">
        <v>17</v>
      </c>
      <c r="C525" s="16" t="s">
        <v>237</v>
      </c>
      <c r="D525" s="17">
        <v>44562</v>
      </c>
      <c r="E525" s="17">
        <v>44926</v>
      </c>
      <c r="F525" s="14">
        <v>103</v>
      </c>
      <c r="G525" s="19" t="s">
        <v>232</v>
      </c>
      <c r="H525" s="14">
        <v>4.12</v>
      </c>
      <c r="I525" s="12" t="str">
        <f t="shared" ref="I525:I558" si="32">A525&amp;B525&amp;C525&amp;D525&amp;E525</f>
        <v>Dcycle LtdDcycle Ltdwaste4456244926</v>
      </c>
      <c r="J525" s="12">
        <f>data_waste!L90</f>
        <v>103</v>
      </c>
      <c r="K525" s="12">
        <f>IF(Combinadas!$C525="electricity", Combinadas!$J525/6.6667,
IF(Combinadas!$C525="water", Combinadas!$J525/3.333,
IF(Combinadas!$C525="heat", Combinadas!$J525/0.8333, IF(Combinadas!$C525="waste",Combinadas!$J525/25,
"NA"))))</f>
        <v>4.12</v>
      </c>
      <c r="L525" s="12">
        <f>data_waste!M90</f>
        <v>103000</v>
      </c>
      <c r="M525" s="12">
        <f>IF(Table4[[#This Row],[Type]]="waste", Table4[[#This Row],[Q_Tonnes]]/25, Table4[[#This Row],[CO2_Noduplicates]])</f>
        <v>4120</v>
      </c>
    </row>
    <row r="526" spans="1:13" x14ac:dyDescent="0.25">
      <c r="A526" s="12" t="s">
        <v>17</v>
      </c>
      <c r="B526" s="12" t="s">
        <v>17</v>
      </c>
      <c r="C526" s="16" t="s">
        <v>237</v>
      </c>
      <c r="D526" s="13">
        <v>44927</v>
      </c>
      <c r="E526" s="13">
        <v>45291</v>
      </c>
      <c r="F526" s="14">
        <v>138.44999999999999</v>
      </c>
      <c r="G526" s="15" t="s">
        <v>232</v>
      </c>
      <c r="H526" s="14">
        <v>5.5380000000000003</v>
      </c>
      <c r="I526" s="12" t="str">
        <f t="shared" si="32"/>
        <v>Dcycle LtdDcycle Ltdwaste4492745291</v>
      </c>
      <c r="J526" s="12">
        <f>data_waste!L91</f>
        <v>138.44999999999999</v>
      </c>
      <c r="K526" s="12">
        <f>IF(Combinadas!$C526="electricity", Combinadas!$J526/6.6667,
IF(Combinadas!$C526="water", Combinadas!$J526/3.333,
IF(Combinadas!$C526="heat", Combinadas!$J526/0.8333, IF(Combinadas!$C526="waste",Combinadas!$J526/25,
"NA"))))</f>
        <v>5.5379999999999994</v>
      </c>
      <c r="L526" s="12">
        <f>data_waste!M91</f>
        <v>138450</v>
      </c>
      <c r="M526" s="12">
        <f>IF(Table4[[#This Row],[Type]]="waste", Table4[[#This Row],[Q_Tonnes]]/25, Table4[[#This Row],[CO2_Noduplicates]])</f>
        <v>5538</v>
      </c>
    </row>
    <row r="527" spans="1:13" x14ac:dyDescent="0.25">
      <c r="A527" s="12" t="s">
        <v>17</v>
      </c>
      <c r="B527" s="12" t="s">
        <v>17</v>
      </c>
      <c r="C527" s="16" t="s">
        <v>237</v>
      </c>
      <c r="D527" s="17">
        <v>44562</v>
      </c>
      <c r="E527" s="17">
        <v>44926</v>
      </c>
      <c r="F527" s="14">
        <v>268.60000000000002</v>
      </c>
      <c r="G527" s="19" t="s">
        <v>232</v>
      </c>
      <c r="H527" s="14">
        <v>10.744</v>
      </c>
      <c r="I527" s="12" t="str">
        <f t="shared" si="32"/>
        <v>Dcycle LtdDcycle Ltdwaste4456244926</v>
      </c>
      <c r="J527" s="12">
        <f>data_waste!L92</f>
        <v>268.60000000000002</v>
      </c>
      <c r="K527" s="12">
        <f>IF(Combinadas!$C527="electricity", Combinadas!$J527/6.6667,
IF(Combinadas!$C527="water", Combinadas!$J527/3.333,
IF(Combinadas!$C527="heat", Combinadas!$J527/0.8333, IF(Combinadas!$C527="waste",Combinadas!$J527/25,
"NA"))))</f>
        <v>10.744000000000002</v>
      </c>
      <c r="L527" s="12">
        <f>data_waste!M92</f>
        <v>268600</v>
      </c>
      <c r="M527" s="12">
        <f>IF(Table4[[#This Row],[Type]]="waste", Table4[[#This Row],[Q_Tonnes]]/25, Table4[[#This Row],[CO2_Noduplicates]])</f>
        <v>10744</v>
      </c>
    </row>
    <row r="528" spans="1:13" x14ac:dyDescent="0.25">
      <c r="A528" s="12" t="s">
        <v>17</v>
      </c>
      <c r="B528" s="12" t="s">
        <v>17</v>
      </c>
      <c r="C528" s="16" t="s">
        <v>237</v>
      </c>
      <c r="D528" s="13">
        <v>44927</v>
      </c>
      <c r="E528" s="13">
        <v>45291</v>
      </c>
      <c r="F528" s="14">
        <v>280</v>
      </c>
      <c r="G528" s="15" t="s">
        <v>232</v>
      </c>
      <c r="H528" s="14">
        <v>11.2</v>
      </c>
      <c r="I528" s="12" t="str">
        <f t="shared" si="32"/>
        <v>Dcycle LtdDcycle Ltdwaste4492745291</v>
      </c>
      <c r="J528" s="12">
        <f>data_waste!L93</f>
        <v>280</v>
      </c>
      <c r="K528" s="12">
        <f>IF(Combinadas!$C528="electricity", Combinadas!$J528/6.6667,
IF(Combinadas!$C528="water", Combinadas!$J528/3.333,
IF(Combinadas!$C528="heat", Combinadas!$J528/0.8333, IF(Combinadas!$C528="waste",Combinadas!$J528/25,
"NA"))))</f>
        <v>11.2</v>
      </c>
      <c r="L528" s="12">
        <f>data_waste!M93</f>
        <v>280000</v>
      </c>
      <c r="M528" s="12">
        <f>IF(Table4[[#This Row],[Type]]="waste", Table4[[#This Row],[Q_Tonnes]]/25, Table4[[#This Row],[CO2_Noduplicates]])</f>
        <v>11200</v>
      </c>
    </row>
    <row r="529" spans="1:13" x14ac:dyDescent="0.25">
      <c r="A529" s="12" t="s">
        <v>17</v>
      </c>
      <c r="B529" s="12" t="s">
        <v>17</v>
      </c>
      <c r="C529" s="16" t="s">
        <v>237</v>
      </c>
      <c r="D529" s="17">
        <v>44927</v>
      </c>
      <c r="E529" s="17">
        <v>45291</v>
      </c>
      <c r="F529" s="14">
        <v>3280</v>
      </c>
      <c r="G529" s="19" t="s">
        <v>232</v>
      </c>
      <c r="H529" s="14">
        <v>131.19999999999999</v>
      </c>
      <c r="I529" s="12" t="str">
        <f t="shared" si="32"/>
        <v>Dcycle LtdDcycle Ltdwaste4492745291</v>
      </c>
      <c r="J529" s="12">
        <f>data_waste!L94</f>
        <v>3280</v>
      </c>
      <c r="K529" s="12">
        <f>IF(Combinadas!$C529="electricity", Combinadas!$J529/6.6667,
IF(Combinadas!$C529="water", Combinadas!$J529/3.333,
IF(Combinadas!$C529="heat", Combinadas!$J529/0.8333, IF(Combinadas!$C529="waste",Combinadas!$J529/25,
"NA"))))</f>
        <v>131.19999999999999</v>
      </c>
      <c r="L529" s="12">
        <f>data_waste!M94</f>
        <v>3280000</v>
      </c>
      <c r="M529" s="12">
        <f>IF(Table4[[#This Row],[Type]]="waste", Table4[[#This Row],[Q_Tonnes]]/25, Table4[[#This Row],[CO2_Noduplicates]])</f>
        <v>131200</v>
      </c>
    </row>
    <row r="530" spans="1:13" x14ac:dyDescent="0.25">
      <c r="A530" s="12" t="s">
        <v>17</v>
      </c>
      <c r="B530" s="12" t="s">
        <v>17</v>
      </c>
      <c r="C530" s="16" t="s">
        <v>237</v>
      </c>
      <c r="D530" s="13">
        <v>44562</v>
      </c>
      <c r="E530" s="13">
        <v>44926</v>
      </c>
      <c r="F530" s="14">
        <v>4160</v>
      </c>
      <c r="G530" s="15" t="s">
        <v>232</v>
      </c>
      <c r="H530" s="14">
        <v>166.4</v>
      </c>
      <c r="I530" s="12" t="str">
        <f t="shared" si="32"/>
        <v>Dcycle LtdDcycle Ltdwaste4456244926</v>
      </c>
      <c r="J530" s="12">
        <f>data_waste!L95</f>
        <v>4160</v>
      </c>
      <c r="K530" s="12">
        <f>IF(Combinadas!$C530="electricity", Combinadas!$J530/6.6667,
IF(Combinadas!$C530="water", Combinadas!$J530/3.333,
IF(Combinadas!$C530="heat", Combinadas!$J530/0.8333, IF(Combinadas!$C530="waste",Combinadas!$J530/25,
"NA"))))</f>
        <v>166.4</v>
      </c>
      <c r="L530" s="12">
        <f>data_waste!M95</f>
        <v>4160000</v>
      </c>
      <c r="M530" s="12">
        <f>IF(Table4[[#This Row],[Type]]="waste", Table4[[#This Row],[Q_Tonnes]]/25, Table4[[#This Row],[CO2_Noduplicates]])</f>
        <v>166400</v>
      </c>
    </row>
    <row r="531" spans="1:13" x14ac:dyDescent="0.25">
      <c r="A531" s="12" t="s">
        <v>17</v>
      </c>
      <c r="B531" s="12" t="s">
        <v>17</v>
      </c>
      <c r="C531" s="16" t="s">
        <v>237</v>
      </c>
      <c r="D531" s="17">
        <v>44562</v>
      </c>
      <c r="E531" s="17">
        <v>44926</v>
      </c>
      <c r="F531" s="14">
        <v>13640</v>
      </c>
      <c r="G531" s="19" t="s">
        <v>232</v>
      </c>
      <c r="H531" s="14">
        <v>545.6</v>
      </c>
      <c r="I531" s="12" t="str">
        <f t="shared" si="32"/>
        <v>Dcycle LtdDcycle Ltdwaste4456244926</v>
      </c>
      <c r="J531" s="12">
        <f>data_waste!L96</f>
        <v>13640</v>
      </c>
      <c r="K531" s="12">
        <f>IF(Combinadas!$C531="electricity", Combinadas!$J531/6.6667,
IF(Combinadas!$C531="water", Combinadas!$J531/3.333,
IF(Combinadas!$C531="heat", Combinadas!$J531/0.8333, IF(Combinadas!$C531="waste",Combinadas!$J531/25,
"NA"))))</f>
        <v>545.6</v>
      </c>
      <c r="L531" s="12">
        <f>data_waste!M96</f>
        <v>13640000</v>
      </c>
      <c r="M531" s="12">
        <f>IF(Table4[[#This Row],[Type]]="waste", Table4[[#This Row],[Q_Tonnes]]/25, Table4[[#This Row],[CO2_Noduplicates]])</f>
        <v>545600</v>
      </c>
    </row>
    <row r="532" spans="1:13" x14ac:dyDescent="0.25">
      <c r="A532" s="12" t="s">
        <v>17</v>
      </c>
      <c r="B532" s="12" t="s">
        <v>17</v>
      </c>
      <c r="C532" s="16" t="s">
        <v>237</v>
      </c>
      <c r="D532" s="13">
        <v>44927</v>
      </c>
      <c r="E532" s="13">
        <v>45291</v>
      </c>
      <c r="F532" s="14">
        <v>14322</v>
      </c>
      <c r="G532" s="15" t="s">
        <v>232</v>
      </c>
      <c r="H532" s="14">
        <v>572.88</v>
      </c>
      <c r="I532" s="12" t="str">
        <f t="shared" si="32"/>
        <v>Dcycle LtdDcycle Ltdwaste4492745291</v>
      </c>
      <c r="J532" s="12">
        <f>data_waste!L97</f>
        <v>14322</v>
      </c>
      <c r="K532" s="12">
        <f>IF(Combinadas!$C532="electricity", Combinadas!$J532/6.6667,
IF(Combinadas!$C532="water", Combinadas!$J532/3.333,
IF(Combinadas!$C532="heat", Combinadas!$J532/0.8333, IF(Combinadas!$C532="waste",Combinadas!$J532/25,
"NA"))))</f>
        <v>572.88</v>
      </c>
      <c r="L532" s="12">
        <f>data_waste!M97</f>
        <v>14322000</v>
      </c>
      <c r="M532" s="12">
        <f>IF(Table4[[#This Row],[Type]]="waste", Table4[[#This Row],[Q_Tonnes]]/25, Table4[[#This Row],[CO2_Noduplicates]])</f>
        <v>572880</v>
      </c>
    </row>
    <row r="533" spans="1:13" x14ac:dyDescent="0.25">
      <c r="A533" s="12" t="s">
        <v>17</v>
      </c>
      <c r="B533" s="12" t="s">
        <v>17</v>
      </c>
      <c r="C533" s="16" t="s">
        <v>237</v>
      </c>
      <c r="D533" s="17">
        <v>44562</v>
      </c>
      <c r="E533" s="17">
        <v>44926</v>
      </c>
      <c r="F533" s="14">
        <v>21000</v>
      </c>
      <c r="G533" s="19" t="s">
        <v>232</v>
      </c>
      <c r="H533" s="14">
        <v>840</v>
      </c>
      <c r="I533" s="12" t="str">
        <f t="shared" si="32"/>
        <v>Dcycle LtdDcycle Ltdwaste4456244926</v>
      </c>
      <c r="J533" s="12">
        <f>data_waste!L98</f>
        <v>21000</v>
      </c>
      <c r="K533" s="12">
        <f>IF(Combinadas!$C533="electricity", Combinadas!$J533/6.6667,
IF(Combinadas!$C533="water", Combinadas!$J533/3.333,
IF(Combinadas!$C533="heat", Combinadas!$J533/0.8333, IF(Combinadas!$C533="waste",Combinadas!$J533/25,
"NA"))))</f>
        <v>840</v>
      </c>
      <c r="L533" s="12">
        <f>data_waste!M98</f>
        <v>21000000</v>
      </c>
      <c r="M533" s="12">
        <f>IF(Table4[[#This Row],[Type]]="waste", Table4[[#This Row],[Q_Tonnes]]/25, Table4[[#This Row],[CO2_Noduplicates]])</f>
        <v>840000</v>
      </c>
    </row>
    <row r="534" spans="1:13" x14ac:dyDescent="0.25">
      <c r="A534" s="12" t="s">
        <v>17</v>
      </c>
      <c r="B534" s="12" t="s">
        <v>17</v>
      </c>
      <c r="C534" s="16" t="s">
        <v>237</v>
      </c>
      <c r="D534" s="13">
        <v>44927</v>
      </c>
      <c r="E534" s="13">
        <v>45291</v>
      </c>
      <c r="F534" s="14">
        <v>23300</v>
      </c>
      <c r="G534" s="15" t="s">
        <v>232</v>
      </c>
      <c r="H534" s="14">
        <v>932</v>
      </c>
      <c r="I534" s="12" t="str">
        <f t="shared" si="32"/>
        <v>Dcycle LtdDcycle Ltdwaste4492745291</v>
      </c>
      <c r="J534" s="12">
        <f>data_waste!L99</f>
        <v>23300</v>
      </c>
      <c r="K534" s="12">
        <f>IF(Combinadas!$C534="electricity", Combinadas!$J534/6.6667,
IF(Combinadas!$C534="water", Combinadas!$J534/3.333,
IF(Combinadas!$C534="heat", Combinadas!$J534/0.8333, IF(Combinadas!$C534="waste",Combinadas!$J534/25,
"NA"))))</f>
        <v>932</v>
      </c>
      <c r="L534" s="12">
        <f>data_waste!M99</f>
        <v>23300000</v>
      </c>
      <c r="M534" s="12">
        <f>IF(Table4[[#This Row],[Type]]="waste", Table4[[#This Row],[Q_Tonnes]]/25, Table4[[#This Row],[CO2_Noduplicates]])</f>
        <v>932000</v>
      </c>
    </row>
    <row r="535" spans="1:13" x14ac:dyDescent="0.25">
      <c r="A535" s="12" t="s">
        <v>18</v>
      </c>
      <c r="B535" s="12" t="s">
        <v>18</v>
      </c>
      <c r="C535" s="16" t="s">
        <v>237</v>
      </c>
      <c r="D535" s="17">
        <v>44562</v>
      </c>
      <c r="E535" s="17">
        <v>44926</v>
      </c>
      <c r="F535" s="14">
        <v>25</v>
      </c>
      <c r="G535" s="19" t="s">
        <v>232</v>
      </c>
      <c r="H535" s="14">
        <v>1</v>
      </c>
      <c r="I535" s="12" t="str">
        <f t="shared" si="32"/>
        <v>Dcycle SpA ItalyDcycle SpA Italywaste4456244926</v>
      </c>
      <c r="J535" s="12">
        <f>data_waste!L100</f>
        <v>25</v>
      </c>
      <c r="K535" s="12">
        <f>IF(Combinadas!$C535="electricity", Combinadas!$J535/6.6667,
IF(Combinadas!$C535="water", Combinadas!$J535/3.333,
IF(Combinadas!$C535="heat", Combinadas!$J535/0.8333, IF(Combinadas!$C535="waste",Combinadas!$J535/25,
"NA"))))</f>
        <v>1</v>
      </c>
      <c r="L535" s="12">
        <f>data_waste!M100</f>
        <v>25000</v>
      </c>
      <c r="M535" s="12">
        <f>IF(Table4[[#This Row],[Type]]="waste", Table4[[#This Row],[Q_Tonnes]]/25, Table4[[#This Row],[CO2_Noduplicates]])</f>
        <v>1000</v>
      </c>
    </row>
    <row r="536" spans="1:13" x14ac:dyDescent="0.25">
      <c r="A536" s="12" t="s">
        <v>18</v>
      </c>
      <c r="B536" s="12" t="s">
        <v>18</v>
      </c>
      <c r="C536" s="16" t="s">
        <v>237</v>
      </c>
      <c r="D536" s="13">
        <v>45019</v>
      </c>
      <c r="E536" s="13">
        <v>45020</v>
      </c>
      <c r="F536" s="14">
        <v>25</v>
      </c>
      <c r="G536" s="15" t="s">
        <v>232</v>
      </c>
      <c r="H536" s="14">
        <v>1</v>
      </c>
      <c r="I536" s="12" t="str">
        <f t="shared" si="32"/>
        <v>Dcycle SpA ItalyDcycle SpA Italywaste4501945020</v>
      </c>
      <c r="J536" s="12">
        <f>data_waste!L101</f>
        <v>25</v>
      </c>
      <c r="K536" s="12">
        <f>IF(Combinadas!$C536="electricity", Combinadas!$J536/6.6667,
IF(Combinadas!$C536="water", Combinadas!$J536/3.333,
IF(Combinadas!$C536="heat", Combinadas!$J536/0.8333, IF(Combinadas!$C536="waste",Combinadas!$J536/25,
"NA"))))</f>
        <v>1</v>
      </c>
      <c r="L536" s="12">
        <f>data_waste!M101</f>
        <v>25000</v>
      </c>
      <c r="M536" s="12">
        <f>IF(Table4[[#This Row],[Type]]="waste", Table4[[#This Row],[Q_Tonnes]]/25, Table4[[#This Row],[CO2_Noduplicates]])</f>
        <v>1000</v>
      </c>
    </row>
    <row r="537" spans="1:13" x14ac:dyDescent="0.25">
      <c r="A537" s="12" t="s">
        <v>18</v>
      </c>
      <c r="B537" s="12" t="s">
        <v>18</v>
      </c>
      <c r="C537" s="16" t="s">
        <v>237</v>
      </c>
      <c r="D537" s="17">
        <v>44966</v>
      </c>
      <c r="E537" s="17">
        <v>44967</v>
      </c>
      <c r="F537" s="14">
        <v>50</v>
      </c>
      <c r="G537" s="19" t="s">
        <v>232</v>
      </c>
      <c r="H537" s="14">
        <v>2</v>
      </c>
      <c r="I537" s="12" t="str">
        <f t="shared" si="32"/>
        <v>Dcycle SpA ItalyDcycle SpA Italywaste4496644967</v>
      </c>
      <c r="J537" s="12">
        <f>data_waste!L102</f>
        <v>50</v>
      </c>
      <c r="K537" s="12">
        <f>IF(Combinadas!$C537="electricity", Combinadas!$J537/6.6667,
IF(Combinadas!$C537="water", Combinadas!$J537/3.333,
IF(Combinadas!$C537="heat", Combinadas!$J537/0.8333, IF(Combinadas!$C537="waste",Combinadas!$J537/25,
"NA"))))</f>
        <v>2</v>
      </c>
      <c r="L537" s="12">
        <f>data_waste!M102</f>
        <v>50000</v>
      </c>
      <c r="M537" s="12">
        <f>IF(Table4[[#This Row],[Type]]="waste", Table4[[#This Row],[Q_Tonnes]]/25, Table4[[#This Row],[CO2_Noduplicates]])</f>
        <v>2000</v>
      </c>
    </row>
    <row r="538" spans="1:13" x14ac:dyDescent="0.25">
      <c r="A538" s="12" t="s">
        <v>18</v>
      </c>
      <c r="B538" s="12" t="s">
        <v>18</v>
      </c>
      <c r="C538" s="16" t="s">
        <v>237</v>
      </c>
      <c r="D538" s="13">
        <v>44562</v>
      </c>
      <c r="E538" s="13">
        <v>44926</v>
      </c>
      <c r="F538" s="14">
        <v>56</v>
      </c>
      <c r="G538" s="15" t="s">
        <v>232</v>
      </c>
      <c r="H538" s="14">
        <v>2.2400000000000002</v>
      </c>
      <c r="I538" s="12" t="str">
        <f t="shared" si="32"/>
        <v>Dcycle SpA ItalyDcycle SpA Italywaste4456244926</v>
      </c>
      <c r="J538" s="12">
        <f>data_waste!L103</f>
        <v>56</v>
      </c>
      <c r="K538" s="12">
        <f>IF(Combinadas!$C538="electricity", Combinadas!$J538/6.6667,
IF(Combinadas!$C538="water", Combinadas!$J538/3.333,
IF(Combinadas!$C538="heat", Combinadas!$J538/0.8333, IF(Combinadas!$C538="waste",Combinadas!$J538/25,
"NA"))))</f>
        <v>2.2400000000000002</v>
      </c>
      <c r="L538" s="12">
        <f>data_waste!M103</f>
        <v>56000</v>
      </c>
      <c r="M538" s="12">
        <f>IF(Table4[[#This Row],[Type]]="waste", Table4[[#This Row],[Q_Tonnes]]/25, Table4[[#This Row],[CO2_Noduplicates]])</f>
        <v>2240</v>
      </c>
    </row>
    <row r="539" spans="1:13" x14ac:dyDescent="0.25">
      <c r="A539" s="12" t="s">
        <v>18</v>
      </c>
      <c r="B539" s="12" t="s">
        <v>18</v>
      </c>
      <c r="C539" s="16" t="s">
        <v>237</v>
      </c>
      <c r="D539" s="17">
        <v>44562</v>
      </c>
      <c r="E539" s="17">
        <v>44926</v>
      </c>
      <c r="F539" s="14">
        <v>60</v>
      </c>
      <c r="G539" s="19" t="s">
        <v>232</v>
      </c>
      <c r="H539" s="14">
        <v>2.4</v>
      </c>
      <c r="I539" s="12" t="str">
        <f t="shared" si="32"/>
        <v>Dcycle SpA ItalyDcycle SpA Italywaste4456244926</v>
      </c>
      <c r="J539" s="12">
        <f>data_waste!L104</f>
        <v>60</v>
      </c>
      <c r="K539" s="12">
        <f>IF(Combinadas!$C539="electricity", Combinadas!$J539/6.6667,
IF(Combinadas!$C539="water", Combinadas!$J539/3.333,
IF(Combinadas!$C539="heat", Combinadas!$J539/0.8333, IF(Combinadas!$C539="waste",Combinadas!$J539/25,
"NA"))))</f>
        <v>2.4</v>
      </c>
      <c r="L539" s="12">
        <f>data_waste!M104</f>
        <v>60000</v>
      </c>
      <c r="M539" s="12">
        <f>IF(Table4[[#This Row],[Type]]="waste", Table4[[#This Row],[Q_Tonnes]]/25, Table4[[#This Row],[CO2_Noduplicates]])</f>
        <v>2400</v>
      </c>
    </row>
    <row r="540" spans="1:13" x14ac:dyDescent="0.25">
      <c r="A540" s="12" t="s">
        <v>18</v>
      </c>
      <c r="B540" s="12" t="s">
        <v>18</v>
      </c>
      <c r="C540" s="16" t="s">
        <v>237</v>
      </c>
      <c r="D540" s="13">
        <v>45173</v>
      </c>
      <c r="E540" s="13">
        <v>45275</v>
      </c>
      <c r="F540" s="14">
        <v>120</v>
      </c>
      <c r="G540" s="15" t="s">
        <v>232</v>
      </c>
      <c r="H540" s="14">
        <v>4.8</v>
      </c>
      <c r="I540" s="12" t="str">
        <f t="shared" si="32"/>
        <v>Dcycle SpA ItalyDcycle SpA Italywaste4517345275</v>
      </c>
      <c r="J540" s="12">
        <f>data_waste!L105</f>
        <v>120</v>
      </c>
      <c r="K540" s="12">
        <f>IF(Combinadas!$C540="electricity", Combinadas!$J540/6.6667,
IF(Combinadas!$C540="water", Combinadas!$J540/3.333,
IF(Combinadas!$C540="heat", Combinadas!$J540/0.8333, IF(Combinadas!$C540="waste",Combinadas!$J540/25,
"NA"))))</f>
        <v>4.8</v>
      </c>
      <c r="L540" s="12">
        <f>data_waste!M105</f>
        <v>120000</v>
      </c>
      <c r="M540" s="12">
        <f>IF(Table4[[#This Row],[Type]]="waste", Table4[[#This Row],[Q_Tonnes]]/25, Table4[[#This Row],[CO2_Noduplicates]])</f>
        <v>4800</v>
      </c>
    </row>
    <row r="541" spans="1:13" x14ac:dyDescent="0.25">
      <c r="A541" s="12" t="s">
        <v>18</v>
      </c>
      <c r="B541" s="12" t="s">
        <v>18</v>
      </c>
      <c r="C541" s="16" t="s">
        <v>237</v>
      </c>
      <c r="D541" s="17">
        <v>45019</v>
      </c>
      <c r="E541" s="17">
        <v>45020</v>
      </c>
      <c r="F541" s="14">
        <v>340</v>
      </c>
      <c r="G541" s="19" t="s">
        <v>232</v>
      </c>
      <c r="H541" s="14">
        <v>13.6</v>
      </c>
      <c r="I541" s="12" t="str">
        <f t="shared" si="32"/>
        <v>Dcycle SpA ItalyDcycle SpA Italywaste4501945020</v>
      </c>
      <c r="J541" s="12">
        <f>data_waste!L106</f>
        <v>340</v>
      </c>
      <c r="K541" s="12">
        <f>IF(Combinadas!$C541="electricity", Combinadas!$J541/6.6667,
IF(Combinadas!$C541="water", Combinadas!$J541/3.333,
IF(Combinadas!$C541="heat", Combinadas!$J541/0.8333, IF(Combinadas!$C541="waste",Combinadas!$J541/25,
"NA"))))</f>
        <v>13.6</v>
      </c>
      <c r="L541" s="12">
        <f>data_waste!M106</f>
        <v>340000</v>
      </c>
      <c r="M541" s="12">
        <f>IF(Table4[[#This Row],[Type]]="waste", Table4[[#This Row],[Q_Tonnes]]/25, Table4[[#This Row],[CO2_Noduplicates]])</f>
        <v>13600</v>
      </c>
    </row>
    <row r="542" spans="1:13" x14ac:dyDescent="0.25">
      <c r="A542" s="12" t="s">
        <v>18</v>
      </c>
      <c r="B542" s="12" t="s">
        <v>18</v>
      </c>
      <c r="C542" s="16" t="s">
        <v>237</v>
      </c>
      <c r="D542" s="13">
        <v>45173</v>
      </c>
      <c r="E542" s="13">
        <v>45275</v>
      </c>
      <c r="F542" s="14">
        <v>350</v>
      </c>
      <c r="G542" s="15" t="s">
        <v>232</v>
      </c>
      <c r="H542" s="14">
        <v>14</v>
      </c>
      <c r="I542" s="12" t="str">
        <f t="shared" si="32"/>
        <v>Dcycle SpA ItalyDcycle SpA Italywaste4517345275</v>
      </c>
      <c r="J542" s="12">
        <f>data_waste!L107</f>
        <v>350</v>
      </c>
      <c r="K542" s="12">
        <f>IF(Combinadas!$C542="electricity", Combinadas!$J542/6.6667,
IF(Combinadas!$C542="water", Combinadas!$J542/3.333,
IF(Combinadas!$C542="heat", Combinadas!$J542/0.8333, IF(Combinadas!$C542="waste",Combinadas!$J542/25,
"NA"))))</f>
        <v>14</v>
      </c>
      <c r="L542" s="12">
        <f>data_waste!M107</f>
        <v>350000</v>
      </c>
      <c r="M542" s="12">
        <f>IF(Table4[[#This Row],[Type]]="waste", Table4[[#This Row],[Q_Tonnes]]/25, Table4[[#This Row],[CO2_Noduplicates]])</f>
        <v>14000</v>
      </c>
    </row>
    <row r="543" spans="1:13" x14ac:dyDescent="0.25">
      <c r="A543" s="12" t="s">
        <v>18</v>
      </c>
      <c r="B543" s="12" t="s">
        <v>18</v>
      </c>
      <c r="C543" s="16" t="s">
        <v>237</v>
      </c>
      <c r="D543" s="17">
        <v>45036</v>
      </c>
      <c r="E543" s="17">
        <v>45173</v>
      </c>
      <c r="F543" s="14">
        <v>355</v>
      </c>
      <c r="G543" s="19" t="s">
        <v>232</v>
      </c>
      <c r="H543" s="14">
        <v>14.2</v>
      </c>
      <c r="I543" s="12" t="str">
        <f t="shared" si="32"/>
        <v>Dcycle SpA ItalyDcycle SpA Italywaste4503645173</v>
      </c>
      <c r="J543" s="12">
        <f>data_waste!L108</f>
        <v>355</v>
      </c>
      <c r="K543" s="12">
        <f>IF(Combinadas!$C543="electricity", Combinadas!$J543/6.6667,
IF(Combinadas!$C543="water", Combinadas!$J543/3.333,
IF(Combinadas!$C543="heat", Combinadas!$J543/0.8333, IF(Combinadas!$C543="waste",Combinadas!$J543/25,
"NA"))))</f>
        <v>14.2</v>
      </c>
      <c r="L543" s="12">
        <f>data_waste!M108</f>
        <v>355000</v>
      </c>
      <c r="M543" s="12">
        <f>IF(Table4[[#This Row],[Type]]="waste", Table4[[#This Row],[Q_Tonnes]]/25, Table4[[#This Row],[CO2_Noduplicates]])</f>
        <v>14200</v>
      </c>
    </row>
    <row r="544" spans="1:13" x14ac:dyDescent="0.25">
      <c r="A544" s="12" t="s">
        <v>18</v>
      </c>
      <c r="B544" s="12" t="s">
        <v>18</v>
      </c>
      <c r="C544" s="16" t="s">
        <v>237</v>
      </c>
      <c r="D544" s="13">
        <v>44562</v>
      </c>
      <c r="E544" s="13">
        <v>44926</v>
      </c>
      <c r="F544" s="14">
        <v>380</v>
      </c>
      <c r="G544" s="15" t="s">
        <v>232</v>
      </c>
      <c r="H544" s="14">
        <v>15.2</v>
      </c>
      <c r="I544" s="12" t="str">
        <f t="shared" si="32"/>
        <v>Dcycle SpA ItalyDcycle SpA Italywaste4456244926</v>
      </c>
      <c r="J544" s="12">
        <f>data_waste!L109</f>
        <v>380</v>
      </c>
      <c r="K544" s="12">
        <f>IF(Combinadas!$C544="electricity", Combinadas!$J544/6.6667,
IF(Combinadas!$C544="water", Combinadas!$J544/3.333,
IF(Combinadas!$C544="heat", Combinadas!$J544/0.8333, IF(Combinadas!$C544="waste",Combinadas!$J544/25,
"NA"))))</f>
        <v>15.2</v>
      </c>
      <c r="L544" s="12">
        <f>data_waste!M109</f>
        <v>380000</v>
      </c>
      <c r="M544" s="12">
        <f>IF(Table4[[#This Row],[Type]]="waste", Table4[[#This Row],[Q_Tonnes]]/25, Table4[[#This Row],[CO2_Noduplicates]])</f>
        <v>15200</v>
      </c>
    </row>
    <row r="545" spans="1:13" x14ac:dyDescent="0.25">
      <c r="A545" s="12" t="s">
        <v>18</v>
      </c>
      <c r="B545" s="12" t="s">
        <v>18</v>
      </c>
      <c r="C545" s="16" t="s">
        <v>237</v>
      </c>
      <c r="D545" s="17">
        <v>45005</v>
      </c>
      <c r="E545" s="17">
        <v>45173</v>
      </c>
      <c r="F545" s="14">
        <v>400</v>
      </c>
      <c r="G545" s="19" t="s">
        <v>232</v>
      </c>
      <c r="H545" s="14">
        <v>16</v>
      </c>
      <c r="I545" s="12" t="str">
        <f t="shared" si="32"/>
        <v>Dcycle SpA ItalyDcycle SpA Italywaste4500545173</v>
      </c>
      <c r="J545" s="12">
        <f>data_waste!L110</f>
        <v>400</v>
      </c>
      <c r="K545" s="12">
        <f>IF(Combinadas!$C545="electricity", Combinadas!$J545/6.6667,
IF(Combinadas!$C545="water", Combinadas!$J545/3.333,
IF(Combinadas!$C545="heat", Combinadas!$J545/0.8333, IF(Combinadas!$C545="waste",Combinadas!$J545/25,
"NA"))))</f>
        <v>16</v>
      </c>
      <c r="L545" s="12">
        <f>data_waste!M110</f>
        <v>400000</v>
      </c>
      <c r="M545" s="12">
        <f>IF(Table4[[#This Row],[Type]]="waste", Table4[[#This Row],[Q_Tonnes]]/25, Table4[[#This Row],[CO2_Noduplicates]])</f>
        <v>16000</v>
      </c>
    </row>
    <row r="546" spans="1:13" x14ac:dyDescent="0.25">
      <c r="A546" s="12" t="s">
        <v>18</v>
      </c>
      <c r="B546" s="12" t="s">
        <v>18</v>
      </c>
      <c r="C546" s="16" t="s">
        <v>237</v>
      </c>
      <c r="D546" s="13">
        <v>44562</v>
      </c>
      <c r="E546" s="13">
        <v>44926</v>
      </c>
      <c r="F546" s="14">
        <v>425</v>
      </c>
      <c r="G546" s="15" t="s">
        <v>232</v>
      </c>
      <c r="H546" s="14">
        <v>17</v>
      </c>
      <c r="I546" s="12" t="str">
        <f t="shared" si="32"/>
        <v>Dcycle SpA ItalyDcycle SpA Italywaste4456244926</v>
      </c>
      <c r="J546" s="12">
        <f>data_waste!L111</f>
        <v>425</v>
      </c>
      <c r="K546" s="12">
        <f>IF(Combinadas!$C546="electricity", Combinadas!$J546/6.6667,
IF(Combinadas!$C546="water", Combinadas!$J546/3.333,
IF(Combinadas!$C546="heat", Combinadas!$J546/0.8333, IF(Combinadas!$C546="waste",Combinadas!$J546/25,
"NA"))))</f>
        <v>17</v>
      </c>
      <c r="L546" s="12">
        <f>data_waste!M111</f>
        <v>425000</v>
      </c>
      <c r="M546" s="12">
        <f>IF(Table4[[#This Row],[Type]]="waste", Table4[[#This Row],[Q_Tonnes]]/25, Table4[[#This Row],[CO2_Noduplicates]])</f>
        <v>17000</v>
      </c>
    </row>
    <row r="547" spans="1:13" x14ac:dyDescent="0.25">
      <c r="A547" s="12" t="s">
        <v>18</v>
      </c>
      <c r="B547" s="12" t="s">
        <v>18</v>
      </c>
      <c r="C547" s="16" t="s">
        <v>237</v>
      </c>
      <c r="D547" s="17">
        <v>45173</v>
      </c>
      <c r="E547" s="17">
        <v>45275</v>
      </c>
      <c r="F547" s="14">
        <v>440</v>
      </c>
      <c r="G547" s="19" t="s">
        <v>232</v>
      </c>
      <c r="H547" s="14">
        <v>17.600000000000001</v>
      </c>
      <c r="I547" s="12" t="str">
        <f t="shared" si="32"/>
        <v>Dcycle SpA ItalyDcycle SpA Italywaste4517345275</v>
      </c>
      <c r="J547" s="12">
        <f>data_waste!L112</f>
        <v>440</v>
      </c>
      <c r="K547" s="12">
        <f>IF(Combinadas!$C547="electricity", Combinadas!$J547/6.6667,
IF(Combinadas!$C547="water", Combinadas!$J547/3.333,
IF(Combinadas!$C547="heat", Combinadas!$J547/0.8333, IF(Combinadas!$C547="waste",Combinadas!$J547/25,
"NA"))))</f>
        <v>17.600000000000001</v>
      </c>
      <c r="L547" s="12">
        <f>data_waste!M112</f>
        <v>440000</v>
      </c>
      <c r="M547" s="12">
        <f>IF(Table4[[#This Row],[Type]]="waste", Table4[[#This Row],[Q_Tonnes]]/25, Table4[[#This Row],[CO2_Noduplicates]])</f>
        <v>17600</v>
      </c>
    </row>
    <row r="548" spans="1:13" x14ac:dyDescent="0.25">
      <c r="A548" s="12" t="s">
        <v>18</v>
      </c>
      <c r="B548" s="12" t="s">
        <v>18</v>
      </c>
      <c r="C548" s="16" t="s">
        <v>237</v>
      </c>
      <c r="D548" s="13">
        <v>45231</v>
      </c>
      <c r="E548" s="13">
        <v>45275</v>
      </c>
      <c r="F548" s="14">
        <v>500</v>
      </c>
      <c r="G548" s="15" t="s">
        <v>232</v>
      </c>
      <c r="H548" s="14">
        <v>20</v>
      </c>
      <c r="I548" s="12" t="str">
        <f t="shared" si="32"/>
        <v>Dcycle SpA ItalyDcycle SpA Italywaste4523145275</v>
      </c>
      <c r="J548" s="12">
        <f>data_waste!L113</f>
        <v>500</v>
      </c>
      <c r="K548" s="12">
        <f>IF(Combinadas!$C548="electricity", Combinadas!$J548/6.6667,
IF(Combinadas!$C548="water", Combinadas!$J548/3.333,
IF(Combinadas!$C548="heat", Combinadas!$J548/0.8333, IF(Combinadas!$C548="waste",Combinadas!$J548/25,
"NA"))))</f>
        <v>20</v>
      </c>
      <c r="L548" s="12">
        <f>data_waste!M113</f>
        <v>500000</v>
      </c>
      <c r="M548" s="12">
        <f>IF(Table4[[#This Row],[Type]]="waste", Table4[[#This Row],[Q_Tonnes]]/25, Table4[[#This Row],[CO2_Noduplicates]])</f>
        <v>20000</v>
      </c>
    </row>
    <row r="549" spans="1:13" x14ac:dyDescent="0.25">
      <c r="A549" s="12" t="s">
        <v>18</v>
      </c>
      <c r="B549" s="12" t="s">
        <v>18</v>
      </c>
      <c r="C549" s="16" t="s">
        <v>237</v>
      </c>
      <c r="D549" s="17">
        <v>45019</v>
      </c>
      <c r="E549" s="17">
        <v>45020</v>
      </c>
      <c r="F549" s="14">
        <v>600</v>
      </c>
      <c r="G549" s="19" t="s">
        <v>232</v>
      </c>
      <c r="H549" s="14">
        <v>24</v>
      </c>
      <c r="I549" s="12" t="str">
        <f t="shared" si="32"/>
        <v>Dcycle SpA ItalyDcycle SpA Italywaste4501945020</v>
      </c>
      <c r="J549" s="12">
        <f>data_waste!L114</f>
        <v>600</v>
      </c>
      <c r="K549" s="12">
        <f>IF(Combinadas!$C549="electricity", Combinadas!$J549/6.6667,
IF(Combinadas!$C549="water", Combinadas!$J549/3.333,
IF(Combinadas!$C549="heat", Combinadas!$J549/0.8333, IF(Combinadas!$C549="waste",Combinadas!$J549/25,
"NA"))))</f>
        <v>24</v>
      </c>
      <c r="L549" s="12">
        <f>data_waste!M114</f>
        <v>600000</v>
      </c>
      <c r="M549" s="12">
        <f>IF(Table4[[#This Row],[Type]]="waste", Table4[[#This Row],[Q_Tonnes]]/25, Table4[[#This Row],[CO2_Noduplicates]])</f>
        <v>24000</v>
      </c>
    </row>
    <row r="550" spans="1:13" x14ac:dyDescent="0.25">
      <c r="A550" s="12" t="s">
        <v>18</v>
      </c>
      <c r="B550" s="12" t="s">
        <v>18</v>
      </c>
      <c r="C550" s="16" t="s">
        <v>237</v>
      </c>
      <c r="D550" s="13">
        <v>44562</v>
      </c>
      <c r="E550" s="13">
        <v>44926</v>
      </c>
      <c r="F550" s="14">
        <v>780</v>
      </c>
      <c r="G550" s="15" t="s">
        <v>232</v>
      </c>
      <c r="H550" s="14">
        <v>31.2</v>
      </c>
      <c r="I550" s="12" t="str">
        <f t="shared" si="32"/>
        <v>Dcycle SpA ItalyDcycle SpA Italywaste4456244926</v>
      </c>
      <c r="J550" s="12">
        <f>data_waste!L115</f>
        <v>780</v>
      </c>
      <c r="K550" s="12">
        <f>IF(Combinadas!$C550="electricity", Combinadas!$J550/6.6667,
IF(Combinadas!$C550="water", Combinadas!$J550/3.333,
IF(Combinadas!$C550="heat", Combinadas!$J550/0.8333, IF(Combinadas!$C550="waste",Combinadas!$J550/25,
"NA"))))</f>
        <v>31.2</v>
      </c>
      <c r="L550" s="12">
        <f>data_waste!M115</f>
        <v>780000</v>
      </c>
      <c r="M550" s="12">
        <f>IF(Table4[[#This Row],[Type]]="waste", Table4[[#This Row],[Q_Tonnes]]/25, Table4[[#This Row],[CO2_Noduplicates]])</f>
        <v>31200</v>
      </c>
    </row>
    <row r="551" spans="1:13" x14ac:dyDescent="0.25">
      <c r="A551" s="12" t="s">
        <v>18</v>
      </c>
      <c r="B551" s="12" t="s">
        <v>18</v>
      </c>
      <c r="C551" s="16" t="s">
        <v>237</v>
      </c>
      <c r="D551" s="17">
        <v>45173</v>
      </c>
      <c r="E551" s="17">
        <v>45275</v>
      </c>
      <c r="F551" s="14">
        <v>1641</v>
      </c>
      <c r="G551" s="19" t="s">
        <v>232</v>
      </c>
      <c r="H551" s="14">
        <v>65.64</v>
      </c>
      <c r="I551" s="12" t="str">
        <f t="shared" si="32"/>
        <v>Dcycle SpA ItalyDcycle SpA Italywaste4517345275</v>
      </c>
      <c r="J551" s="12">
        <f>data_waste!L116</f>
        <v>1641</v>
      </c>
      <c r="K551" s="12">
        <f>IF(Combinadas!$C551="electricity", Combinadas!$J551/6.6667,
IF(Combinadas!$C551="water", Combinadas!$J551/3.333,
IF(Combinadas!$C551="heat", Combinadas!$J551/0.8333, IF(Combinadas!$C551="waste",Combinadas!$J551/25,
"NA"))))</f>
        <v>65.64</v>
      </c>
      <c r="L551" s="12">
        <f>data_waste!M116</f>
        <v>1641000</v>
      </c>
      <c r="M551" s="12">
        <f>IF(Table4[[#This Row],[Type]]="waste", Table4[[#This Row],[Q_Tonnes]]/25, Table4[[#This Row],[CO2_Noduplicates]])</f>
        <v>65640</v>
      </c>
    </row>
    <row r="552" spans="1:13" x14ac:dyDescent="0.25">
      <c r="A552" s="12" t="s">
        <v>18</v>
      </c>
      <c r="B552" s="12" t="s">
        <v>18</v>
      </c>
      <c r="C552" s="16" t="s">
        <v>237</v>
      </c>
      <c r="D552" s="13">
        <v>45197</v>
      </c>
      <c r="E552" s="13">
        <v>45275</v>
      </c>
      <c r="F552" s="14">
        <v>4000</v>
      </c>
      <c r="G552" s="15" t="s">
        <v>232</v>
      </c>
      <c r="H552" s="14">
        <v>160</v>
      </c>
      <c r="I552" s="12" t="str">
        <f t="shared" si="32"/>
        <v>Dcycle SpA ItalyDcycle SpA Italywaste4519745275</v>
      </c>
      <c r="J552" s="12">
        <f>data_waste!L117</f>
        <v>4000</v>
      </c>
      <c r="K552" s="12">
        <f>IF(Combinadas!$C552="electricity", Combinadas!$J552/6.6667,
IF(Combinadas!$C552="water", Combinadas!$J552/3.333,
IF(Combinadas!$C552="heat", Combinadas!$J552/0.8333, IF(Combinadas!$C552="waste",Combinadas!$J552/25,
"NA"))))</f>
        <v>160</v>
      </c>
      <c r="L552" s="12">
        <f>data_waste!M117</f>
        <v>4000000</v>
      </c>
      <c r="M552" s="12">
        <f>IF(Table4[[#This Row],[Type]]="waste", Table4[[#This Row],[Q_Tonnes]]/25, Table4[[#This Row],[CO2_Noduplicates]])</f>
        <v>160000</v>
      </c>
    </row>
    <row r="553" spans="1:13" x14ac:dyDescent="0.25">
      <c r="A553" s="12" t="s">
        <v>18</v>
      </c>
      <c r="B553" s="12" t="s">
        <v>18</v>
      </c>
      <c r="C553" s="16" t="s">
        <v>237</v>
      </c>
      <c r="D553" s="17">
        <v>44986</v>
      </c>
      <c r="E553" s="17">
        <v>45142</v>
      </c>
      <c r="F553" s="14">
        <v>7290</v>
      </c>
      <c r="G553" s="19" t="s">
        <v>232</v>
      </c>
      <c r="H553" s="14">
        <v>291.60000000000002</v>
      </c>
      <c r="I553" s="12" t="str">
        <f t="shared" si="32"/>
        <v>Dcycle SpA ItalyDcycle SpA Italywaste4498645142</v>
      </c>
      <c r="J553" s="12">
        <f>data_waste!L118</f>
        <v>7290</v>
      </c>
      <c r="K553" s="12">
        <f>IF(Combinadas!$C553="electricity", Combinadas!$J553/6.6667,
IF(Combinadas!$C553="water", Combinadas!$J553/3.333,
IF(Combinadas!$C553="heat", Combinadas!$J553/0.8333, IF(Combinadas!$C553="waste",Combinadas!$J553/25,
"NA"))))</f>
        <v>291.60000000000002</v>
      </c>
      <c r="L553" s="12">
        <f>data_waste!M118</f>
        <v>7290000</v>
      </c>
      <c r="M553" s="12">
        <f>IF(Table4[[#This Row],[Type]]="waste", Table4[[#This Row],[Q_Tonnes]]/25, Table4[[#This Row],[CO2_Noduplicates]])</f>
        <v>291600</v>
      </c>
    </row>
    <row r="554" spans="1:13" x14ac:dyDescent="0.25">
      <c r="A554" s="12" t="s">
        <v>18</v>
      </c>
      <c r="B554" s="12" t="s">
        <v>18</v>
      </c>
      <c r="C554" s="16" t="s">
        <v>237</v>
      </c>
      <c r="D554" s="13">
        <v>44980</v>
      </c>
      <c r="E554" s="13">
        <v>45127</v>
      </c>
      <c r="F554" s="14">
        <v>8000</v>
      </c>
      <c r="G554" s="15" t="s">
        <v>232</v>
      </c>
      <c r="H554" s="14">
        <v>320</v>
      </c>
      <c r="I554" s="12" t="str">
        <f t="shared" si="32"/>
        <v>Dcycle SpA ItalyDcycle SpA Italywaste4498045127</v>
      </c>
      <c r="J554" s="12">
        <f>data_waste!L119</f>
        <v>8000</v>
      </c>
      <c r="K554" s="12">
        <f>IF(Combinadas!$C554="electricity", Combinadas!$J554/6.6667,
IF(Combinadas!$C554="water", Combinadas!$J554/3.333,
IF(Combinadas!$C554="heat", Combinadas!$J554/0.8333, IF(Combinadas!$C554="waste",Combinadas!$J554/25,
"NA"))))</f>
        <v>320</v>
      </c>
      <c r="L554" s="12">
        <f>data_waste!M119</f>
        <v>8000000</v>
      </c>
      <c r="M554" s="12">
        <f>IF(Table4[[#This Row],[Type]]="waste", Table4[[#This Row],[Q_Tonnes]]/25, Table4[[#This Row],[CO2_Noduplicates]])</f>
        <v>320000</v>
      </c>
    </row>
    <row r="555" spans="1:13" x14ac:dyDescent="0.25">
      <c r="A555" s="12" t="s">
        <v>18</v>
      </c>
      <c r="B555" s="12" t="s">
        <v>18</v>
      </c>
      <c r="C555" s="16" t="s">
        <v>237</v>
      </c>
      <c r="D555" s="17">
        <v>44562</v>
      </c>
      <c r="E555" s="17">
        <v>44926</v>
      </c>
      <c r="F555" s="14">
        <v>8780</v>
      </c>
      <c r="G555" s="19" t="s">
        <v>232</v>
      </c>
      <c r="H555" s="14">
        <v>351.2</v>
      </c>
      <c r="I555" s="12" t="str">
        <f t="shared" si="32"/>
        <v>Dcycle SpA ItalyDcycle SpA Italywaste4456244926</v>
      </c>
      <c r="J555" s="12">
        <f>data_waste!L120</f>
        <v>8780</v>
      </c>
      <c r="K555" s="12">
        <f>IF(Combinadas!$C555="electricity", Combinadas!$J555/6.6667,
IF(Combinadas!$C555="water", Combinadas!$J555/3.333,
IF(Combinadas!$C555="heat", Combinadas!$J555/0.8333, IF(Combinadas!$C555="waste",Combinadas!$J555/25,
"NA"))))</f>
        <v>351.2</v>
      </c>
      <c r="L555" s="12">
        <f>data_waste!M120</f>
        <v>8780000</v>
      </c>
      <c r="M555" s="12">
        <f>IF(Table4[[#This Row],[Type]]="waste", Table4[[#This Row],[Q_Tonnes]]/25, Table4[[#This Row],[CO2_Noduplicates]])</f>
        <v>351200</v>
      </c>
    </row>
    <row r="556" spans="1:13" x14ac:dyDescent="0.25">
      <c r="A556" s="12" t="s">
        <v>18</v>
      </c>
      <c r="B556" s="12" t="s">
        <v>18</v>
      </c>
      <c r="C556" s="16" t="s">
        <v>237</v>
      </c>
      <c r="D556" s="13">
        <v>44936</v>
      </c>
      <c r="E556" s="13">
        <v>44939</v>
      </c>
      <c r="F556" s="14">
        <v>10350</v>
      </c>
      <c r="G556" s="15" t="s">
        <v>232</v>
      </c>
      <c r="H556" s="14">
        <v>414</v>
      </c>
      <c r="I556" s="12" t="str">
        <f t="shared" si="32"/>
        <v>Dcycle SpA ItalyDcycle SpA Italywaste4493644939</v>
      </c>
      <c r="J556" s="12">
        <f>data_waste!L121</f>
        <v>10350</v>
      </c>
      <c r="K556" s="12">
        <f>IF(Combinadas!$C556="electricity", Combinadas!$J556/6.6667,
IF(Combinadas!$C556="water", Combinadas!$J556/3.333,
IF(Combinadas!$C556="heat", Combinadas!$J556/0.8333, IF(Combinadas!$C556="waste",Combinadas!$J556/25,
"NA"))))</f>
        <v>414</v>
      </c>
      <c r="L556" s="12">
        <f>data_waste!M121</f>
        <v>10350000</v>
      </c>
      <c r="M556" s="12">
        <f>IF(Table4[[#This Row],[Type]]="waste", Table4[[#This Row],[Q_Tonnes]]/25, Table4[[#This Row],[CO2_Noduplicates]])</f>
        <v>414000</v>
      </c>
    </row>
    <row r="557" spans="1:13" x14ac:dyDescent="0.25">
      <c r="A557" s="12" t="s">
        <v>18</v>
      </c>
      <c r="B557" s="12" t="s">
        <v>18</v>
      </c>
      <c r="C557" s="16" t="s">
        <v>237</v>
      </c>
      <c r="D557" s="17">
        <v>44562</v>
      </c>
      <c r="E557" s="17">
        <v>44926</v>
      </c>
      <c r="F557" s="14">
        <v>11240</v>
      </c>
      <c r="G557" s="19" t="s">
        <v>232</v>
      </c>
      <c r="H557" s="14">
        <v>449.6</v>
      </c>
      <c r="I557" s="12" t="str">
        <f t="shared" si="32"/>
        <v>Dcycle SpA ItalyDcycle SpA Italywaste4456244926</v>
      </c>
      <c r="J557" s="12">
        <f>data_waste!L122</f>
        <v>11240</v>
      </c>
      <c r="K557" s="12">
        <f>IF(Combinadas!$C557="electricity", Combinadas!$J557/6.6667,
IF(Combinadas!$C557="water", Combinadas!$J557/3.333,
IF(Combinadas!$C557="heat", Combinadas!$J557/0.8333, IF(Combinadas!$C557="waste",Combinadas!$J557/25,
"NA"))))</f>
        <v>449.6</v>
      </c>
      <c r="L557" s="12">
        <f>data_waste!M122</f>
        <v>11240000</v>
      </c>
      <c r="M557" s="12">
        <f>IF(Table4[[#This Row],[Type]]="waste", Table4[[#This Row],[Q_Tonnes]]/25, Table4[[#This Row],[CO2_Noduplicates]])</f>
        <v>449600</v>
      </c>
    </row>
    <row r="558" spans="1:13" x14ac:dyDescent="0.25">
      <c r="A558" s="12" t="s">
        <v>18</v>
      </c>
      <c r="B558" s="12" t="s">
        <v>18</v>
      </c>
      <c r="C558" s="16" t="s">
        <v>237</v>
      </c>
      <c r="D558" s="13">
        <v>44562</v>
      </c>
      <c r="E558" s="13">
        <v>44926</v>
      </c>
      <c r="F558" s="14">
        <v>13516</v>
      </c>
      <c r="G558" s="15" t="s">
        <v>232</v>
      </c>
      <c r="H558" s="14">
        <v>540.64</v>
      </c>
      <c r="I558" s="12" t="str">
        <f t="shared" si="32"/>
        <v>Dcycle SpA ItalyDcycle SpA Italywaste4456244926</v>
      </c>
      <c r="J558" s="12">
        <f>data_waste!L123</f>
        <v>13516</v>
      </c>
      <c r="K558" s="12">
        <f>IF(Combinadas!$C558="electricity", Combinadas!$J558/6.6667,
IF(Combinadas!$C558="water", Combinadas!$J558/3.333,
IF(Combinadas!$C558="heat", Combinadas!$J558/0.8333, IF(Combinadas!$C558="waste",Combinadas!$J558/25,
"NA"))))</f>
        <v>540.64</v>
      </c>
      <c r="L558" s="12">
        <f>data_waste!M123</f>
        <v>13516000</v>
      </c>
      <c r="M558" s="12">
        <f>IF(Table4[[#This Row],[Type]]="waste", Table4[[#This Row],[Q_Tonnes]]/25, Table4[[#This Row],[CO2_Noduplicates]])</f>
        <v>540640</v>
      </c>
    </row>
  </sheetData>
  <conditionalFormatting sqref="I2:I558">
    <cfRule type="duplicateValues" dxfId="33" priority="3"/>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4498-17B9-40C0-BC43-CB3A16D62251}">
  <dimension ref="A1:N85"/>
  <sheetViews>
    <sheetView topLeftCell="B55" zoomScaleNormal="100" workbookViewId="0">
      <selection activeCell="K78" sqref="K78:L78"/>
    </sheetView>
  </sheetViews>
  <sheetFormatPr defaultRowHeight="12.5" x14ac:dyDescent="0.25"/>
  <cols>
    <col min="1" max="1" width="22.90625" bestFit="1" customWidth="1"/>
    <col min="2" max="2" width="15.90625" bestFit="1" customWidth="1"/>
    <col min="3" max="3" width="11.81640625" bestFit="1" customWidth="1"/>
    <col min="4" max="4" width="8.81640625" bestFit="1" customWidth="1"/>
    <col min="5" max="6" width="11.81640625" bestFit="1" customWidth="1"/>
    <col min="7" max="7" width="11.6328125" bestFit="1" customWidth="1"/>
    <col min="8" max="8" width="22.90625" bestFit="1" customWidth="1"/>
    <col min="9" max="10" width="9.36328125" bestFit="1" customWidth="1"/>
    <col min="11" max="11" width="10.1796875" bestFit="1" customWidth="1"/>
    <col min="12" max="12" width="13.7265625" bestFit="1" customWidth="1"/>
    <col min="13" max="13" width="10.6328125" bestFit="1" customWidth="1"/>
  </cols>
  <sheetData>
    <row r="1" spans="1:11" x14ac:dyDescent="0.25">
      <c r="A1" s="23" t="s">
        <v>225</v>
      </c>
      <c r="B1" t="s">
        <v>238</v>
      </c>
      <c r="F1" s="72" t="s">
        <v>266</v>
      </c>
      <c r="G1" s="73"/>
      <c r="H1" s="73"/>
    </row>
    <row r="3" spans="1:11" x14ac:dyDescent="0.25">
      <c r="A3" s="23" t="s">
        <v>235</v>
      </c>
      <c r="B3" s="23" t="s">
        <v>236</v>
      </c>
    </row>
    <row r="4" spans="1:11" x14ac:dyDescent="0.25">
      <c r="A4" s="23" t="s">
        <v>233</v>
      </c>
      <c r="B4" t="s">
        <v>128</v>
      </c>
      <c r="C4" t="s">
        <v>140</v>
      </c>
      <c r="D4" t="s">
        <v>237</v>
      </c>
      <c r="E4" t="s">
        <v>130</v>
      </c>
      <c r="F4" t="s">
        <v>234</v>
      </c>
    </row>
    <row r="5" spans="1:11" x14ac:dyDescent="0.25">
      <c r="A5" s="24" t="s">
        <v>11</v>
      </c>
      <c r="B5" s="75">
        <v>3621.8818905905468</v>
      </c>
      <c r="C5" s="75"/>
      <c r="D5" s="75">
        <v>228.31199999999995</v>
      </c>
      <c r="E5" s="75">
        <v>66.665968829942983</v>
      </c>
      <c r="F5" s="75">
        <v>3916.8598594204896</v>
      </c>
    </row>
    <row r="6" spans="1:11" x14ac:dyDescent="0.25">
      <c r="A6" s="24" t="s">
        <v>12</v>
      </c>
      <c r="B6" s="75">
        <v>1335.7433212833937</v>
      </c>
      <c r="C6" s="75">
        <v>1245.290725946729</v>
      </c>
      <c r="D6" s="75"/>
      <c r="E6" s="75">
        <v>8.7008700870087008</v>
      </c>
      <c r="F6" s="75">
        <v>2589.7349173171315</v>
      </c>
    </row>
    <row r="7" spans="1:11" x14ac:dyDescent="0.25">
      <c r="A7" s="24" t="s">
        <v>10</v>
      </c>
      <c r="B7" s="75">
        <v>17306.313468432658</v>
      </c>
      <c r="C7" s="75"/>
      <c r="D7" s="75">
        <v>1646.04</v>
      </c>
      <c r="E7" s="75">
        <v>95.667566756675669</v>
      </c>
      <c r="F7" s="75">
        <v>19048.021035189333</v>
      </c>
    </row>
    <row r="8" spans="1:11" x14ac:dyDescent="0.25">
      <c r="A8" s="24" t="s">
        <v>14</v>
      </c>
      <c r="B8" s="75">
        <v>3391.7035414822926</v>
      </c>
      <c r="C8" s="75"/>
      <c r="D8" s="75"/>
      <c r="E8" s="75"/>
      <c r="F8" s="75">
        <v>3391.7035414822926</v>
      </c>
    </row>
    <row r="9" spans="1:11" x14ac:dyDescent="0.25">
      <c r="A9" s="24" t="s">
        <v>17</v>
      </c>
      <c r="B9" s="75">
        <v>22781.556092219544</v>
      </c>
      <c r="C9" s="75">
        <v>8230.2026517425966</v>
      </c>
      <c r="D9" s="75">
        <v>1652.8180000000002</v>
      </c>
      <c r="E9" s="75">
        <v>193.51935193519353</v>
      </c>
      <c r="F9" s="75">
        <v>32858.096095897337</v>
      </c>
    </row>
    <row r="10" spans="1:11" x14ac:dyDescent="0.25">
      <c r="A10" s="24" t="s">
        <v>8</v>
      </c>
      <c r="B10" s="75">
        <v>232807.16246418777</v>
      </c>
      <c r="C10" s="75">
        <v>4142.1517577048271</v>
      </c>
      <c r="D10" s="75">
        <v>4768.7599999999993</v>
      </c>
      <c r="E10" s="75">
        <v>659.94929492949302</v>
      </c>
      <c r="F10" s="75">
        <v>242378.02351682208</v>
      </c>
    </row>
    <row r="11" spans="1:11" x14ac:dyDescent="0.25">
      <c r="A11" s="24" t="s">
        <v>19</v>
      </c>
      <c r="B11" s="75">
        <v>5214.5739271303646</v>
      </c>
      <c r="C11" s="75">
        <v>12727.663959819209</v>
      </c>
      <c r="D11" s="75"/>
      <c r="E11" s="75">
        <v>54.335433543354334</v>
      </c>
      <c r="F11" s="75">
        <v>17996.573320492927</v>
      </c>
      <c r="H11" s="71" t="s">
        <v>250</v>
      </c>
      <c r="I11" s="71"/>
      <c r="J11" s="71"/>
      <c r="K11" s="71"/>
    </row>
    <row r="12" spans="1:11" x14ac:dyDescent="0.25">
      <c r="A12" s="24" t="s">
        <v>18</v>
      </c>
      <c r="B12" s="75">
        <v>36169.629651851741</v>
      </c>
      <c r="C12" s="75"/>
      <c r="D12" s="75">
        <v>964.44</v>
      </c>
      <c r="E12" s="75">
        <v>23735.232523252322</v>
      </c>
      <c r="F12" s="75">
        <v>60869.302175104065</v>
      </c>
      <c r="H12" s="26" t="s">
        <v>251</v>
      </c>
      <c r="I12" s="26" t="s">
        <v>252</v>
      </c>
      <c r="J12" s="26" t="s">
        <v>253</v>
      </c>
      <c r="K12" s="26" t="s">
        <v>254</v>
      </c>
    </row>
    <row r="13" spans="1:11" x14ac:dyDescent="0.25">
      <c r="A13" s="24" t="s">
        <v>15</v>
      </c>
      <c r="B13" s="75">
        <v>4000.5069974650123</v>
      </c>
      <c r="C13" s="75">
        <v>982.83931357254301</v>
      </c>
      <c r="D13" s="75"/>
      <c r="E13" s="75"/>
      <c r="F13" s="75">
        <v>4983.3463110375551</v>
      </c>
      <c r="H13">
        <f>GETPIVOTDATA("CO2eq(KG)",$A$3,"company_name","Dcycle Andina SAS","Type","electricity")/GETPIVOTDATA("Quantity_correct",$A$23,"company_name","Dcycle Andina SAS","Type","electricity")</f>
        <v>0.14999925000374997</v>
      </c>
      <c r="I13" t="s">
        <v>255</v>
      </c>
      <c r="J13">
        <f>GETPIVOTDATA("CO2eq(KG)",$A$3,"company_name","Dcycle Andina SAS","Type","waste")/GETPIVOTDATA("Quantity_correct",$A$23,"company_name","Dcycle Andina SAS","Type","waste")</f>
        <v>3.9999999999999994E-2</v>
      </c>
      <c r="K13">
        <f>GETPIVOTDATA("CO2eq(KG)",$A$3,"company_name","Dcycle Andina SAS","Type","water")/GETPIVOTDATA("Quantity_correct",$A$23,"company_name","Dcycle Andina SAS","Type","water")</f>
        <v>0.30003000300029997</v>
      </c>
    </row>
    <row r="14" spans="1:11" x14ac:dyDescent="0.25">
      <c r="A14" s="24" t="s">
        <v>234</v>
      </c>
      <c r="B14" s="75">
        <v>326629.07135464333</v>
      </c>
      <c r="C14" s="75">
        <v>27328.148408785903</v>
      </c>
      <c r="D14" s="75">
        <v>9260.3700000000008</v>
      </c>
      <c r="E14" s="75">
        <v>24814.071009333991</v>
      </c>
      <c r="F14" s="75">
        <v>388031.66077276319</v>
      </c>
      <c r="H14">
        <f>GETPIVOTDATA("CO2eq(KG)",$A$3,"company_name","Dcycle Deutschland  GmbH","Type","electricity")/GETPIVOTDATA("Quantity_correct",$A$23,"company_name","Dcycle Deutschland  GmbH","Type","electricity")</f>
        <v>0.14999925000375</v>
      </c>
      <c r="I14">
        <f>GETPIVOTDATA("CO2eq(KG)",$A$3,"company_name","Dcycle Deutschland  GmbH","Type","heat")/GETPIVOTDATA("Quantity_correct",$A$23,"company_name","Dcycle Deutschland  GmbH","Type","heat")</f>
        <v>1.2000480019200768</v>
      </c>
      <c r="J14" t="s">
        <v>255</v>
      </c>
      <c r="K14">
        <f>GETPIVOTDATA("CO2eq(KG)",$A$3,"company_name","Dcycle Deutschland  GmbH","Type","water")/GETPIVOTDATA("Quantity_correct",$A$23,"company_name","Dcycle Deutschland  GmbH","Type","water")</f>
        <v>0.30003000300030003</v>
      </c>
    </row>
    <row r="15" spans="1:11" x14ac:dyDescent="0.25">
      <c r="H15">
        <f>GETPIVOTDATA("CO2eq(KG)",$A$3,"company_name","Dcycle Factory SL","Type","electricity")/GETPIVOTDATA("Quantity_correct",$A$23,"company_name","Dcycle Factory SL","Type","electricity")</f>
        <v>0.14999925000374997</v>
      </c>
      <c r="I15" t="s">
        <v>255</v>
      </c>
      <c r="J15">
        <f>GETPIVOTDATA("CO2eq(KG)",$A$3,"company_name","Dcycle Factory SL","Type","waste")/GETPIVOTDATA("Quantity_correct",$A$23,"company_name","Dcycle Factory SL","Type","waste")</f>
        <v>0.04</v>
      </c>
      <c r="K15">
        <f>GETPIVOTDATA("CO2eq(KG)",$A$3,"company_name","Dcycle Factory SL","Type","water")/GETPIVOTDATA("Quantity_correct",$A$23,"company_name","Dcycle Factory SL","Type","water")</f>
        <v>0.30003000300030003</v>
      </c>
    </row>
    <row r="16" spans="1:11" x14ac:dyDescent="0.25">
      <c r="H16">
        <f>GETPIVOTDATA("CO2eq(KG)",$A$3,"company_name","Dcycle France SARL","Type","electricity")/GETPIVOTDATA("Quantity_correct",$A$23,"company_name","Dcycle France SARL","Type","electricity")</f>
        <v>0.14999925000374997</v>
      </c>
      <c r="I16" t="s">
        <v>255</v>
      </c>
      <c r="J16" t="s">
        <v>255</v>
      </c>
      <c r="K16" t="s">
        <v>255</v>
      </c>
    </row>
    <row r="17" spans="1:11" x14ac:dyDescent="0.25">
      <c r="H17">
        <f>GETPIVOTDATA("CO2eq(KG)",$A$3,"company_name","Dcycle Ltd","Type","electricity")/GETPIVOTDATA("Quantity_correct",$A$23,"company_name","Dcycle Ltd","Type","electricity")</f>
        <v>0.14999925000375006</v>
      </c>
      <c r="I17">
        <f>GETPIVOTDATA("CO2eq(KG)",$A$3,"company_name","Dcycle Ltd","Type","heat")/GETPIVOTDATA("Quantity_correct",$A$23,"company_name","Dcycle Ltd","Type","heat")</f>
        <v>1.200048001920077</v>
      </c>
      <c r="J17">
        <f>GETPIVOTDATA("CO2eq(KG)",$A$3,"company_name","Dcycle Ltd","Type","waste")/GETPIVOTDATA("Quantity_correct",$A$23,"company_name","Dcycle Ltd","Type","waste")</f>
        <v>4.0000000000000008E-2</v>
      </c>
      <c r="K17">
        <f>GETPIVOTDATA("CO2eq(KG)",$A$3,"company_name","Dcycle Ltd","Type","water")/GETPIVOTDATA("Quantity_correct",$A$23,"company_name","Dcycle Ltd","Type","water")</f>
        <v>0.30003000300030003</v>
      </c>
    </row>
    <row r="18" spans="1:11" x14ac:dyDescent="0.25">
      <c r="H18">
        <f>GETPIVOTDATA("CO2eq(KG)",$A$3,"company_name","DCYCLE SA","Type","electricity")/GETPIVOTDATA("Quantity_correct",$A$23,"company_name","DCYCLE SA","Type","electricity")</f>
        <v>0.14999925000375003</v>
      </c>
      <c r="I18">
        <f>GETPIVOTDATA("CO2eq(KG)",$A$3,"company_name","DCYCLE SA","Type","heat")/GETPIVOTDATA("Quantity_correct",$A$23,"company_name","DCYCLE SA","Type","heat")</f>
        <v>1.200048001920077</v>
      </c>
      <c r="J18">
        <f>GETPIVOTDATA("CO2eq(KG)",$A$3,"company_name","DCYCLE SA","Type","waste")/GETPIVOTDATA("Quantity_correct",$A$23,"company_name","DCYCLE SA","Type","waste")</f>
        <v>3.9999999999999994E-2</v>
      </c>
      <c r="K18">
        <f>GETPIVOTDATA("CO2eq(KG)",$A$3,"company_name","DCYCLE SA","Type","water")/GETPIVOTDATA("Quantity_correct",$A$23,"company_name","DCYCLE SA","Type","water")</f>
        <v>0.30003000300030008</v>
      </c>
    </row>
    <row r="19" spans="1:11" x14ac:dyDescent="0.25">
      <c r="H19">
        <f>GETPIVOTDATA("CO2eq(KG)",$A$3,"company_name","Dcycle SIA","Type","electricity")/GETPIVOTDATA("Quantity_correct",$A$23,"company_name","Dcycle SIA","Type","electricity")</f>
        <v>0.14999925000375</v>
      </c>
      <c r="I19">
        <f>GETPIVOTDATA("CO2eq(KG)",$A$3,"company_name","Dcycle SIA","Type","heat")/GETPIVOTDATA("Quantity_correct",$A$23,"company_name","Dcycle SIA","Type","heat")</f>
        <v>3.0411078315801126</v>
      </c>
      <c r="J19" t="s">
        <v>255</v>
      </c>
      <c r="K19">
        <f>GETPIVOTDATA("CO2eq(KG)",$A$3,"company_name","Dcycle SIA","Type","water")/GETPIVOTDATA("Quantity_correct",$A$23,"company_name","Dcycle SIA","Type","water")</f>
        <v>0.30003000300030008</v>
      </c>
    </row>
    <row r="20" spans="1:11" x14ac:dyDescent="0.25">
      <c r="H20">
        <f>GETPIVOTDATA("CO2eq(KG)",$A$3,"company_name","Dcycle SpA Italy","Type","electricity")/GETPIVOTDATA("Quantity_correct",$A$23,"company_name","Dcycle SpA Italy","Type","electricity")</f>
        <v>0.14999925000374997</v>
      </c>
      <c r="I20" t="s">
        <v>255</v>
      </c>
      <c r="J20">
        <f>GETPIVOTDATA("CO2eq(KG)",$A$3,"company_name","Dcycle SpA Italy","Type","waste")/GETPIVOTDATA("Quantity_correct",$A$23,"company_name","Dcycle SpA Italy","Type","waste")</f>
        <v>0.04</v>
      </c>
      <c r="K20">
        <f>GETPIVOTDATA("CO2eq(KG)",$A$3,"company_name","Dcycle SpA Italy","Type","water")/GETPIVOTDATA("Quantity_correct",$A$23,"company_name","Dcycle SpA Italy","Type","water")</f>
        <v>0.30003000300029997</v>
      </c>
    </row>
    <row r="21" spans="1:11" x14ac:dyDescent="0.25">
      <c r="A21" s="23" t="s">
        <v>225</v>
      </c>
      <c r="B21" t="s">
        <v>238</v>
      </c>
      <c r="H21">
        <f>GETPIVOTDATA("CO2eq(KG)",$A$3,"company_name","Dcycle USA Inc","Type","electricity")/GETPIVOTDATA("Quantity_correct",$A$23,"company_name","Dcycle USA Inc","Type","electricity")</f>
        <v>0.14999925000374997</v>
      </c>
      <c r="I21">
        <f>GETPIVOTDATA("CO2eq(KG)",$A$3,"company_name","Dcycle USA Inc","Type","heat")/GETPIVOTDATA("Quantity_correct",$A$23,"company_name","Dcycle USA Inc","Type","heat")</f>
        <v>1.200048001920077</v>
      </c>
      <c r="J21" t="s">
        <v>255</v>
      </c>
      <c r="K21" t="s">
        <v>255</v>
      </c>
    </row>
    <row r="23" spans="1:11" ht="12.5" customHeight="1" x14ac:dyDescent="0.25">
      <c r="A23" s="23" t="s">
        <v>249</v>
      </c>
      <c r="B23" s="23" t="s">
        <v>236</v>
      </c>
      <c r="H23" s="68" t="s">
        <v>270</v>
      </c>
      <c r="I23" s="68"/>
      <c r="J23" s="68"/>
      <c r="K23" s="68"/>
    </row>
    <row r="24" spans="1:11" x14ac:dyDescent="0.25">
      <c r="A24" s="23" t="s">
        <v>233</v>
      </c>
      <c r="B24" t="s">
        <v>128</v>
      </c>
      <c r="C24" t="s">
        <v>140</v>
      </c>
      <c r="D24" t="s">
        <v>237</v>
      </c>
      <c r="E24" t="s">
        <v>130</v>
      </c>
      <c r="F24" t="s">
        <v>234</v>
      </c>
      <c r="H24" s="68"/>
      <c r="I24" s="68"/>
      <c r="J24" s="68"/>
      <c r="K24" s="68"/>
    </row>
    <row r="25" spans="1:11" ht="12.5" customHeight="1" x14ac:dyDescent="0.25">
      <c r="A25" s="24" t="s">
        <v>11</v>
      </c>
      <c r="B25" s="75">
        <v>24146</v>
      </c>
      <c r="C25" s="75"/>
      <c r="D25" s="75">
        <v>5707.8</v>
      </c>
      <c r="E25" s="75">
        <v>222.19767411020001</v>
      </c>
      <c r="F25" s="75">
        <v>30075.9976741102</v>
      </c>
      <c r="H25" s="68"/>
      <c r="I25" s="68"/>
      <c r="J25" s="68"/>
      <c r="K25" s="68"/>
    </row>
    <row r="26" spans="1:11" x14ac:dyDescent="0.25">
      <c r="A26" s="24" t="s">
        <v>12</v>
      </c>
      <c r="B26" s="75">
        <v>8905</v>
      </c>
      <c r="C26" s="75">
        <v>1037.7007619314093</v>
      </c>
      <c r="D26" s="75"/>
      <c r="E26" s="75">
        <v>29</v>
      </c>
      <c r="F26" s="75">
        <v>9971.7007619314099</v>
      </c>
      <c r="H26" s="68"/>
      <c r="I26" s="68"/>
      <c r="J26" s="68"/>
      <c r="K26" s="68"/>
    </row>
    <row r="27" spans="1:11" x14ac:dyDescent="0.25">
      <c r="A27" s="24" t="s">
        <v>10</v>
      </c>
      <c r="B27" s="75">
        <v>115376</v>
      </c>
      <c r="C27" s="75"/>
      <c r="D27" s="75">
        <v>41151</v>
      </c>
      <c r="E27" s="75">
        <v>318.86</v>
      </c>
      <c r="F27" s="75">
        <v>156845.85999999999</v>
      </c>
    </row>
    <row r="28" spans="1:11" x14ac:dyDescent="0.25">
      <c r="A28" s="24" t="s">
        <v>14</v>
      </c>
      <c r="B28" s="75">
        <v>22611.47</v>
      </c>
      <c r="C28" s="75"/>
      <c r="D28" s="75"/>
      <c r="E28" s="75"/>
      <c r="F28" s="75">
        <v>22611.47</v>
      </c>
    </row>
    <row r="29" spans="1:11" x14ac:dyDescent="0.25">
      <c r="A29" s="24" t="s">
        <v>17</v>
      </c>
      <c r="B29" s="75">
        <v>151877.79999999996</v>
      </c>
      <c r="C29" s="75">
        <v>6858.2278696971052</v>
      </c>
      <c r="D29" s="75">
        <v>41320.449999999997</v>
      </c>
      <c r="E29" s="75">
        <v>645</v>
      </c>
      <c r="F29" s="75">
        <v>200701.47786969709</v>
      </c>
    </row>
    <row r="30" spans="1:11" x14ac:dyDescent="0.25">
      <c r="A30" s="24" t="s">
        <v>8</v>
      </c>
      <c r="B30" s="75">
        <v>1552055.51</v>
      </c>
      <c r="C30" s="75">
        <v>3451.6550596954321</v>
      </c>
      <c r="D30" s="75">
        <v>119219</v>
      </c>
      <c r="E30" s="75">
        <v>2199.6109999999999</v>
      </c>
      <c r="F30" s="75">
        <v>1676925.7760596955</v>
      </c>
    </row>
    <row r="31" spans="1:11" x14ac:dyDescent="0.25">
      <c r="A31" s="24" t="s">
        <v>19</v>
      </c>
      <c r="B31" s="75">
        <v>34764</v>
      </c>
      <c r="C31" s="75">
        <v>4185.2064</v>
      </c>
      <c r="D31" s="75"/>
      <c r="E31" s="75">
        <v>181.09999999999997</v>
      </c>
      <c r="F31" s="75">
        <v>39130.306400000001</v>
      </c>
    </row>
    <row r="32" spans="1:11" x14ac:dyDescent="0.25">
      <c r="A32" s="24" t="s">
        <v>18</v>
      </c>
      <c r="B32" s="75">
        <v>241132.07</v>
      </c>
      <c r="C32" s="75"/>
      <c r="D32" s="75">
        <v>24111</v>
      </c>
      <c r="E32" s="75">
        <v>79109.53</v>
      </c>
      <c r="F32" s="75">
        <v>344352.6</v>
      </c>
    </row>
    <row r="33" spans="1:13" x14ac:dyDescent="0.25">
      <c r="A33" s="24" t="s">
        <v>15</v>
      </c>
      <c r="B33" s="75">
        <v>26670.18</v>
      </c>
      <c r="C33" s="75">
        <v>819</v>
      </c>
      <c r="D33" s="75"/>
      <c r="E33" s="75"/>
      <c r="F33" s="75">
        <v>27489.18</v>
      </c>
    </row>
    <row r="34" spans="1:13" x14ac:dyDescent="0.25">
      <c r="A34" s="24" t="s">
        <v>234</v>
      </c>
      <c r="B34" s="75">
        <v>2177538.0300000003</v>
      </c>
      <c r="C34" s="75">
        <v>16351.790091323946</v>
      </c>
      <c r="D34" s="75">
        <v>231509.25</v>
      </c>
      <c r="E34" s="75">
        <v>82705.298674110192</v>
      </c>
      <c r="F34" s="75">
        <v>2508104.3687654347</v>
      </c>
    </row>
    <row r="38" spans="1:13" x14ac:dyDescent="0.25">
      <c r="F38" s="72" t="s">
        <v>267</v>
      </c>
      <c r="G38" s="73"/>
      <c r="H38" s="73"/>
    </row>
    <row r="41" spans="1:13" x14ac:dyDescent="0.25">
      <c r="A41" s="11"/>
      <c r="B41" s="11"/>
      <c r="C41" s="11"/>
      <c r="D41" s="11"/>
      <c r="E41" s="11"/>
      <c r="F41" s="11"/>
      <c r="G41" s="11"/>
      <c r="H41" s="11"/>
      <c r="I41" s="11"/>
      <c r="J41" s="11"/>
      <c r="K41" s="11"/>
      <c r="L41" s="11"/>
      <c r="M41" s="11"/>
    </row>
    <row r="42" spans="1:13" ht="13" x14ac:dyDescent="0.3">
      <c r="A42" s="27" t="s">
        <v>233</v>
      </c>
      <c r="B42" s="11" t="s">
        <v>235</v>
      </c>
      <c r="C42" s="11"/>
      <c r="D42" s="29" t="s">
        <v>243</v>
      </c>
      <c r="E42" s="29" t="s">
        <v>245</v>
      </c>
      <c r="F42" s="29" t="s">
        <v>247</v>
      </c>
      <c r="G42" s="29" t="s">
        <v>258</v>
      </c>
      <c r="H42" s="11"/>
      <c r="I42" s="30" t="s">
        <v>243</v>
      </c>
      <c r="J42" s="30" t="s">
        <v>245</v>
      </c>
      <c r="K42" s="30" t="s">
        <v>257</v>
      </c>
      <c r="L42" s="30" t="s">
        <v>259</v>
      </c>
      <c r="M42" s="11"/>
    </row>
    <row r="43" spans="1:13" x14ac:dyDescent="0.25">
      <c r="A43" s="28" t="s">
        <v>11</v>
      </c>
      <c r="B43" s="11">
        <v>5120.966890735921</v>
      </c>
      <c r="C43" s="11"/>
      <c r="D43" s="11" t="str">
        <f>A43</f>
        <v>Dcycle Andina SAS</v>
      </c>
      <c r="E43" s="11">
        <f>GETPIVOTDATA("CO2eq(KG)",$A$42,"company_name","Dcycle Andina SAS")</f>
        <v>5120.966890735921</v>
      </c>
      <c r="F43" s="11" cm="1">
        <f t="array" ref="F43:F51">VLOOKUP(D43:D51,Table3[[Company_name]:[Industry]],4,FALSE)</f>
        <v>12.83</v>
      </c>
      <c r="G43" s="11">
        <f>E43/F43</f>
        <v>399.14005383756205</v>
      </c>
      <c r="H43" s="11"/>
      <c r="I43" s="11" t="str">
        <f>A43</f>
        <v>Dcycle Andina SAS</v>
      </c>
      <c r="J43" s="11">
        <f>GETPIVOTDATA("CO2eq(KG)",$A$42,"company_name","Dcycle Andina SAS")</f>
        <v>5120.966890735921</v>
      </c>
      <c r="K43" s="11" cm="1">
        <f t="array" ref="K43:K51">VLOOKUP(I43:I51,Table3[#All],3,FALSE)</f>
        <v>20</v>
      </c>
      <c r="L43" s="11">
        <f>J43/K43</f>
        <v>256.04834453679604</v>
      </c>
      <c r="M43" s="11"/>
    </row>
    <row r="44" spans="1:13" x14ac:dyDescent="0.25">
      <c r="A44" s="28" t="s">
        <v>12</v>
      </c>
      <c r="B44" s="11">
        <v>5481.5743848211932</v>
      </c>
      <c r="C44" s="11"/>
      <c r="D44" s="11" t="str">
        <f t="shared" ref="D44:D51" si="0">A44</f>
        <v>Dcycle Deutschland  GmbH</v>
      </c>
      <c r="E44" s="11">
        <f>GETPIVOTDATA("CO2eq(KG)",$A$42,"company_name","Dcycle Deutschland  GmbH")</f>
        <v>5481.5743848211932</v>
      </c>
      <c r="F44" s="11">
        <v>19.25</v>
      </c>
      <c r="G44" s="11">
        <f t="shared" ref="G44:G51" si="1">E44/F44</f>
        <v>284.75711089980223</v>
      </c>
      <c r="H44" s="11"/>
      <c r="I44" s="11" t="str">
        <f t="shared" ref="I44:I51" si="2">A44</f>
        <v>Dcycle Deutschland  GmbH</v>
      </c>
      <c r="J44" s="11">
        <f>GETPIVOTDATA("CO2eq(KG)",$A$42,"company_name","Dcycle Deutschland  GmbH")</f>
        <v>5481.5743848211932</v>
      </c>
      <c r="K44" s="11">
        <v>30</v>
      </c>
      <c r="L44" s="11">
        <f t="shared" ref="L44:L51" si="3">J44/K44</f>
        <v>182.71914616070643</v>
      </c>
      <c r="M44" s="11"/>
    </row>
    <row r="45" spans="1:13" x14ac:dyDescent="0.25">
      <c r="A45" s="28" t="s">
        <v>10</v>
      </c>
      <c r="B45" s="11">
        <v>39234.470102944011</v>
      </c>
      <c r="C45" s="11"/>
      <c r="D45" s="11" t="str">
        <f t="shared" si="0"/>
        <v>Dcycle Factory SL</v>
      </c>
      <c r="E45" s="11">
        <f>GETPIVOTDATA("CO2eq(KG)",$A$42,"company_name","Dcycle Factory SL")</f>
        <v>39234.470102944011</v>
      </c>
      <c r="F45" s="11">
        <v>14.81</v>
      </c>
      <c r="G45" s="11">
        <f t="shared" si="1"/>
        <v>2649.1877179570565</v>
      </c>
      <c r="H45" s="11"/>
      <c r="I45" s="11" t="str">
        <f t="shared" si="2"/>
        <v>Dcycle Factory SL</v>
      </c>
      <c r="J45" s="11">
        <f>GETPIVOTDATA("CO2eq(KG)",$A$42,"company_name","Dcycle Factory SL")</f>
        <v>39234.470102944011</v>
      </c>
      <c r="K45" s="11">
        <v>100</v>
      </c>
      <c r="L45" s="11">
        <f t="shared" si="3"/>
        <v>392.3447010294401</v>
      </c>
      <c r="M45" s="11"/>
    </row>
    <row r="46" spans="1:13" x14ac:dyDescent="0.25">
      <c r="A46" s="28" t="s">
        <v>14</v>
      </c>
      <c r="B46" s="11">
        <v>3391.7035414822926</v>
      </c>
      <c r="C46" s="11"/>
      <c r="D46" s="11" t="str">
        <f t="shared" si="0"/>
        <v>Dcycle France SARL</v>
      </c>
      <c r="E46" s="11">
        <f>GETPIVOTDATA("CO2eq(KG)",$A$42,"company_name","Dcycle France SARL")</f>
        <v>3391.7035414822926</v>
      </c>
      <c r="F46" s="11">
        <v>38.5</v>
      </c>
      <c r="G46" s="11">
        <f t="shared" si="1"/>
        <v>88.096195882656957</v>
      </c>
      <c r="H46" s="11"/>
      <c r="I46" s="11" t="str">
        <f t="shared" si="2"/>
        <v>Dcycle France SARL</v>
      </c>
      <c r="J46" s="11">
        <f>GETPIVOTDATA("CO2eq(KG)",$A$42,"company_name","Dcycle France SARL")</f>
        <v>3391.7035414822926</v>
      </c>
      <c r="K46" s="11">
        <v>200</v>
      </c>
      <c r="L46" s="11">
        <f t="shared" si="3"/>
        <v>16.958517707411463</v>
      </c>
      <c r="M46" s="11"/>
    </row>
    <row r="47" spans="1:13" x14ac:dyDescent="0.25">
      <c r="A47" s="28" t="s">
        <v>17</v>
      </c>
      <c r="B47" s="11">
        <v>34600.777677655511</v>
      </c>
      <c r="C47" s="11"/>
      <c r="D47" s="11" t="str">
        <f t="shared" si="0"/>
        <v>Dcycle Ltd</v>
      </c>
      <c r="E47" s="11">
        <f>GETPIVOTDATA("CO2eq(KG)",$A$42,"company_name","Dcycle Ltd")</f>
        <v>34600.777677655511</v>
      </c>
      <c r="F47" s="11">
        <v>19.25</v>
      </c>
      <c r="G47" s="11">
        <f t="shared" si="1"/>
        <v>1797.4429962418446</v>
      </c>
      <c r="H47" s="11"/>
      <c r="I47" s="11" t="str">
        <f t="shared" si="2"/>
        <v>Dcycle Ltd</v>
      </c>
      <c r="J47" s="11">
        <f>GETPIVOTDATA("CO2eq(KG)",$A$42,"company_name","Dcycle Ltd")</f>
        <v>34600.777677655511</v>
      </c>
      <c r="K47" s="11">
        <v>30</v>
      </c>
      <c r="L47" s="11">
        <f t="shared" si="3"/>
        <v>1153.3592559218503</v>
      </c>
      <c r="M47" s="11"/>
    </row>
    <row r="48" spans="1:13" x14ac:dyDescent="0.25">
      <c r="A48" s="28" t="s">
        <v>8</v>
      </c>
      <c r="B48" s="11">
        <v>483017.52447730378</v>
      </c>
      <c r="C48" s="11"/>
      <c r="D48" s="11" t="str">
        <f t="shared" si="0"/>
        <v>DCYCLE SA</v>
      </c>
      <c r="E48" s="11">
        <f>GETPIVOTDATA("CO2eq(KG)",$A$42,"company_name","DCYCLE SA")</f>
        <v>483017.52447730378</v>
      </c>
      <c r="F48" s="11">
        <v>9.6300000000000008</v>
      </c>
      <c r="G48" s="11">
        <f t="shared" si="1"/>
        <v>50157.583019450023</v>
      </c>
      <c r="H48" s="11"/>
      <c r="I48" s="11" t="str">
        <f t="shared" si="2"/>
        <v>DCYCLE SA</v>
      </c>
      <c r="J48" s="11">
        <f>GETPIVOTDATA("CO2eq(KG)",$A$42,"company_name","DCYCLE SA")</f>
        <v>483017.52447730378</v>
      </c>
      <c r="K48" s="11">
        <v>150</v>
      </c>
      <c r="L48" s="11">
        <f t="shared" si="3"/>
        <v>3220.1168298486919</v>
      </c>
      <c r="M48" s="11"/>
    </row>
    <row r="49" spans="1:13" x14ac:dyDescent="0.25">
      <c r="A49" s="28" t="s">
        <v>19</v>
      </c>
      <c r="B49" s="11">
        <v>17996.573320492924</v>
      </c>
      <c r="C49" s="11"/>
      <c r="D49" s="11" t="str">
        <f t="shared" si="0"/>
        <v>Dcycle SIA</v>
      </c>
      <c r="E49" s="11">
        <f>GETPIVOTDATA("CO2eq(KG)",$A$42,"company_name","Dcycle SIA")</f>
        <v>17996.573320492924</v>
      </c>
      <c r="F49" s="11">
        <v>12.83</v>
      </c>
      <c r="G49" s="11">
        <f t="shared" si="1"/>
        <v>1402.6947249020207</v>
      </c>
      <c r="H49" s="11"/>
      <c r="I49" s="11" t="str">
        <f t="shared" si="2"/>
        <v>Dcycle SIA</v>
      </c>
      <c r="J49" s="11">
        <f>GETPIVOTDATA("CO2eq(KG)",$A$42,"company_name","Dcycle SIA")</f>
        <v>17996.573320492924</v>
      </c>
      <c r="K49" s="11">
        <v>145</v>
      </c>
      <c r="L49" s="11">
        <f t="shared" si="3"/>
        <v>124.11429876202017</v>
      </c>
      <c r="M49" s="11"/>
    </row>
    <row r="50" spans="1:13" x14ac:dyDescent="0.25">
      <c r="A50" s="28" t="s">
        <v>18</v>
      </c>
      <c r="B50" s="11">
        <v>66481.633735846233</v>
      </c>
      <c r="C50" s="11"/>
      <c r="D50" s="11" t="str">
        <f t="shared" si="0"/>
        <v>Dcycle SpA Italy</v>
      </c>
      <c r="E50" s="11">
        <f>GETPIVOTDATA("CO2eq(KG)",$A$42,"company_name","Dcycle SpA Italy")</f>
        <v>66481.633735846233</v>
      </c>
      <c r="F50" s="11">
        <v>27.5</v>
      </c>
      <c r="G50" s="11">
        <f t="shared" si="1"/>
        <v>2417.5139540307723</v>
      </c>
      <c r="H50" s="11"/>
      <c r="I50" s="11" t="str">
        <f t="shared" si="2"/>
        <v>Dcycle SpA Italy</v>
      </c>
      <c r="J50" s="11">
        <f>GETPIVOTDATA("CO2eq(KG)",$A$42,"company_name","Dcycle SpA Italy")</f>
        <v>66481.633735846233</v>
      </c>
      <c r="K50" s="11">
        <v>99</v>
      </c>
      <c r="L50" s="11">
        <f t="shared" si="3"/>
        <v>671.53165389743674</v>
      </c>
      <c r="M50" s="11"/>
    </row>
    <row r="51" spans="1:13" x14ac:dyDescent="0.25">
      <c r="A51" s="28" t="s">
        <v>15</v>
      </c>
      <c r="B51" s="11">
        <v>5400.96301570574</v>
      </c>
      <c r="C51" s="11"/>
      <c r="D51" s="11" t="str">
        <f t="shared" si="0"/>
        <v>Dcycle USA Inc</v>
      </c>
      <c r="E51" s="11">
        <f>GETPIVOTDATA("CO2eq(KG)",$A$42,"company_name","Dcycle USA Inc")</f>
        <v>5400.96301570574</v>
      </c>
      <c r="F51" s="11">
        <v>38.5</v>
      </c>
      <c r="G51" s="11">
        <f t="shared" si="1"/>
        <v>140.28475365469455</v>
      </c>
      <c r="H51" s="11"/>
      <c r="I51" s="11" t="str">
        <f t="shared" si="2"/>
        <v>Dcycle USA Inc</v>
      </c>
      <c r="J51" s="11">
        <f>GETPIVOTDATA("CO2eq(KG)",$A$42,"company_name","Dcycle USA Inc")</f>
        <v>5400.96301570574</v>
      </c>
      <c r="K51" s="11">
        <v>130</v>
      </c>
      <c r="L51" s="11">
        <f t="shared" si="3"/>
        <v>41.545869351582617</v>
      </c>
      <c r="M51" s="11"/>
    </row>
    <row r="52" spans="1:13" x14ac:dyDescent="0.25">
      <c r="A52" s="28" t="s">
        <v>234</v>
      </c>
      <c r="B52" s="11">
        <v>660726.18714698753</v>
      </c>
      <c r="C52" s="11"/>
      <c r="D52" s="11"/>
      <c r="E52" s="11"/>
      <c r="F52" s="11"/>
      <c r="G52" s="11"/>
    </row>
    <row r="53" spans="1:13" x14ac:dyDescent="0.25">
      <c r="A53" s="11"/>
      <c r="B53" s="11"/>
      <c r="C53" s="11"/>
      <c r="D53" s="11"/>
      <c r="E53" s="11"/>
      <c r="F53" s="11"/>
      <c r="G53" s="11"/>
    </row>
    <row r="54" spans="1:13" x14ac:dyDescent="0.25">
      <c r="A54" s="11"/>
      <c r="B54" s="11"/>
      <c r="C54" s="11"/>
      <c r="D54" s="11"/>
      <c r="E54" s="11"/>
      <c r="F54" s="11"/>
      <c r="G54" s="11"/>
    </row>
    <row r="55" spans="1:13" x14ac:dyDescent="0.25">
      <c r="A55" s="11"/>
      <c r="B55" s="11"/>
      <c r="C55" s="11"/>
      <c r="D55" s="11"/>
      <c r="E55" s="11"/>
      <c r="F55" s="74" t="s">
        <v>268</v>
      </c>
      <c r="G55" s="74"/>
      <c r="H55" s="74"/>
    </row>
    <row r="58" spans="1:13" x14ac:dyDescent="0.25">
      <c r="H58" s="33" t="s">
        <v>243</v>
      </c>
      <c r="I58" s="33" t="s">
        <v>261</v>
      </c>
      <c r="J58" s="33" t="s">
        <v>262</v>
      </c>
      <c r="L58" s="33" t="s">
        <v>263</v>
      </c>
      <c r="M58" s="33" t="s">
        <v>264</v>
      </c>
    </row>
    <row r="59" spans="1:13" x14ac:dyDescent="0.25">
      <c r="H59" s="34" t="s">
        <v>11</v>
      </c>
      <c r="I59" s="35">
        <v>990.20810081008096</v>
      </c>
      <c r="J59" s="35">
        <v>3831.3602869183524</v>
      </c>
      <c r="L59" s="35">
        <f>J59-I59</f>
        <v>2841.1521861082715</v>
      </c>
      <c r="M59" s="39">
        <f>(I59-J59)/I59</f>
        <v>-2.869247569055382</v>
      </c>
    </row>
    <row r="60" spans="1:13" x14ac:dyDescent="0.25">
      <c r="A60" s="27" t="s">
        <v>225</v>
      </c>
      <c r="B60" s="11" t="s">
        <v>244</v>
      </c>
      <c r="H60" s="34" t="s">
        <v>12</v>
      </c>
      <c r="I60" s="35">
        <v>2891.8394675040622</v>
      </c>
      <c r="J60" s="35">
        <v>2589.7349173171315</v>
      </c>
      <c r="L60" s="35">
        <f t="shared" ref="L60:L68" si="4">J60-I60</f>
        <v>-302.10455018693074</v>
      </c>
      <c r="M60" s="39">
        <f t="shared" ref="M60:M68" si="5">(I60-J60)/I60</f>
        <v>0.10446795321168925</v>
      </c>
    </row>
    <row r="61" spans="1:13" x14ac:dyDescent="0.25">
      <c r="A61" s="27" t="s">
        <v>256</v>
      </c>
      <c r="B61" s="11" t="s">
        <v>260</v>
      </c>
      <c r="H61" s="34" t="s">
        <v>10</v>
      </c>
      <c r="I61" s="35">
        <v>16368.818155909223</v>
      </c>
      <c r="J61" s="35">
        <v>19048.021035189333</v>
      </c>
      <c r="L61" s="35">
        <f t="shared" si="4"/>
        <v>2679.2028792801102</v>
      </c>
      <c r="M61" s="39">
        <f t="shared" si="5"/>
        <v>-0.16367723397995626</v>
      </c>
    </row>
    <row r="62" spans="1:13" x14ac:dyDescent="0.25">
      <c r="H62" s="34" t="s">
        <v>17</v>
      </c>
      <c r="I62" s="35">
        <v>1742.6815817581755</v>
      </c>
      <c r="J62" s="35">
        <v>32858.096095897337</v>
      </c>
      <c r="L62" s="35">
        <f t="shared" si="4"/>
        <v>31115.414514139164</v>
      </c>
      <c r="M62" s="39">
        <f t="shared" si="5"/>
        <v>-17.854905244793546</v>
      </c>
    </row>
    <row r="63" spans="1:13" x14ac:dyDescent="0.25">
      <c r="A63" s="27" t="s">
        <v>274</v>
      </c>
      <c r="B63" s="27" t="s">
        <v>236</v>
      </c>
      <c r="C63" s="11"/>
      <c r="D63" s="11"/>
      <c r="E63" s="11"/>
      <c r="F63" s="11"/>
      <c r="H63" s="34" t="s">
        <v>8</v>
      </c>
      <c r="I63" s="35">
        <v>165821.37505111159</v>
      </c>
      <c r="J63" s="35">
        <v>317194.74942619249</v>
      </c>
      <c r="L63" s="35">
        <f t="shared" si="4"/>
        <v>151373.37437508089</v>
      </c>
      <c r="M63" s="39">
        <f t="shared" si="5"/>
        <v>-0.91287009487421422</v>
      </c>
    </row>
    <row r="64" spans="1:13" x14ac:dyDescent="0.25">
      <c r="A64" s="27" t="s">
        <v>233</v>
      </c>
      <c r="B64" s="11" t="s">
        <v>128</v>
      </c>
      <c r="C64" s="11" t="s">
        <v>140</v>
      </c>
      <c r="D64" s="11" t="s">
        <v>237</v>
      </c>
      <c r="E64" s="11" t="s">
        <v>130</v>
      </c>
      <c r="F64" s="11" t="s">
        <v>234</v>
      </c>
      <c r="H64" s="34" t="s">
        <v>18</v>
      </c>
      <c r="I64" s="35">
        <v>5198.3315607421973</v>
      </c>
      <c r="J64" s="35">
        <v>61283.302175104065</v>
      </c>
      <c r="L64" s="35">
        <f t="shared" si="4"/>
        <v>56084.970614361868</v>
      </c>
      <c r="M64" s="39">
        <f t="shared" si="5"/>
        <v>-10.78903297317847</v>
      </c>
    </row>
    <row r="65" spans="1:14" x14ac:dyDescent="0.25">
      <c r="A65" s="28" t="s">
        <v>8</v>
      </c>
      <c r="B65" s="11">
        <v>321495.89042026433</v>
      </c>
      <c r="C65" s="11">
        <v>4571.9255013359798</v>
      </c>
      <c r="D65" s="11">
        <v>56395.744600747341</v>
      </c>
      <c r="E65" s="11">
        <v>11557.832237243438</v>
      </c>
      <c r="F65" s="11">
        <v>394021.39275959105</v>
      </c>
      <c r="H65" s="34" t="s">
        <v>14</v>
      </c>
      <c r="I65" s="36"/>
      <c r="J65" s="35">
        <v>3391.7035414822926</v>
      </c>
      <c r="L65" s="35">
        <f t="shared" si="4"/>
        <v>3391.7035414822926</v>
      </c>
      <c r="M65" s="39" t="e">
        <f t="shared" si="5"/>
        <v>#DIV/0!</v>
      </c>
    </row>
    <row r="66" spans="1:14" x14ac:dyDescent="0.25">
      <c r="A66" s="47" t="s">
        <v>127</v>
      </c>
      <c r="B66" s="11">
        <v>237046.93901006313</v>
      </c>
      <c r="C66" s="11"/>
      <c r="D66" s="11"/>
      <c r="E66" s="11">
        <v>1929.7392630121662</v>
      </c>
      <c r="F66" s="11">
        <v>238976.67827307529</v>
      </c>
      <c r="H66" s="34" t="s">
        <v>19</v>
      </c>
      <c r="I66" s="36"/>
      <c r="J66" s="35">
        <v>17996.573320492927</v>
      </c>
      <c r="L66" s="35">
        <f t="shared" si="4"/>
        <v>17996.573320492927</v>
      </c>
      <c r="M66" s="39" t="e">
        <f t="shared" si="5"/>
        <v>#DIV/0!</v>
      </c>
    </row>
    <row r="67" spans="1:14" x14ac:dyDescent="0.25">
      <c r="A67" s="47" t="s">
        <v>80</v>
      </c>
      <c r="B67" s="11">
        <v>51269.316921953337</v>
      </c>
      <c r="C67" s="11"/>
      <c r="D67" s="11">
        <v>56395.744600747341</v>
      </c>
      <c r="E67" s="11">
        <v>7274.6016419053822</v>
      </c>
      <c r="F67" s="11">
        <v>114939.66316460606</v>
      </c>
      <c r="H67" s="34" t="s">
        <v>15</v>
      </c>
      <c r="I67" s="36"/>
      <c r="J67" s="35">
        <v>5400.9630157057418</v>
      </c>
      <c r="L67" s="35">
        <f t="shared" si="4"/>
        <v>5400.9630157057418</v>
      </c>
      <c r="M67" s="39" t="e">
        <f t="shared" si="5"/>
        <v>#DIV/0!</v>
      </c>
    </row>
    <row r="68" spans="1:14" ht="13" x14ac:dyDescent="0.3">
      <c r="A68" s="47" t="s">
        <v>139</v>
      </c>
      <c r="B68" s="11">
        <v>25248.855702336183</v>
      </c>
      <c r="C68" s="11">
        <v>4571.9255013359798</v>
      </c>
      <c r="D68" s="11"/>
      <c r="E68" s="11">
        <v>2353.4913323258897</v>
      </c>
      <c r="F68" s="11">
        <v>32174.272535998054</v>
      </c>
      <c r="H68" s="37" t="s">
        <v>234</v>
      </c>
      <c r="I68" s="38">
        <v>193013.25391783533</v>
      </c>
      <c r="J68" s="38">
        <v>463594.50381429965</v>
      </c>
      <c r="L68" s="40">
        <f t="shared" si="4"/>
        <v>270581.24989646429</v>
      </c>
      <c r="M68" s="41">
        <f t="shared" si="5"/>
        <v>-1.4018791166105578</v>
      </c>
    </row>
    <row r="69" spans="1:14" x14ac:dyDescent="0.25">
      <c r="A69" s="47" t="s">
        <v>160</v>
      </c>
      <c r="B69" s="11">
        <v>7930.7787859116515</v>
      </c>
      <c r="C69" s="11"/>
      <c r="D69" s="11"/>
      <c r="E69" s="11">
        <v>0</v>
      </c>
      <c r="F69" s="11">
        <v>7930.7787859116515</v>
      </c>
    </row>
    <row r="70" spans="1:14" x14ac:dyDescent="0.25">
      <c r="A70" s="28" t="s">
        <v>234</v>
      </c>
      <c r="B70" s="11">
        <v>321495.89042026433</v>
      </c>
      <c r="C70" s="11">
        <v>4571.9255013359798</v>
      </c>
      <c r="D70" s="11">
        <v>56395.744600747341</v>
      </c>
      <c r="E70" s="11">
        <v>11557.832237243438</v>
      </c>
      <c r="F70" s="11">
        <v>394021.39275959105</v>
      </c>
    </row>
    <row r="72" spans="1:14" ht="13" customHeight="1" x14ac:dyDescent="0.3">
      <c r="H72" s="44" t="s">
        <v>265</v>
      </c>
      <c r="I72" s="44">
        <v>2022</v>
      </c>
      <c r="J72" s="44">
        <v>2023</v>
      </c>
      <c r="K72" s="44" t="s">
        <v>264</v>
      </c>
      <c r="L72" s="69" t="s">
        <v>269</v>
      </c>
      <c r="M72" s="70"/>
      <c r="N72" s="70"/>
    </row>
    <row r="73" spans="1:14" ht="13" x14ac:dyDescent="0.3">
      <c r="H73" s="42" t="s">
        <v>80</v>
      </c>
      <c r="I73" s="35">
        <v>136565.31717341414</v>
      </c>
      <c r="J73" s="11">
        <v>121592.86003569985</v>
      </c>
      <c r="K73" s="45">
        <f>(I73-J73)/I73</f>
        <v>0.10963586837133675</v>
      </c>
      <c r="L73" s="69"/>
      <c r="M73" s="70"/>
      <c r="N73" s="70"/>
    </row>
    <row r="74" spans="1:14" ht="13" x14ac:dyDescent="0.3">
      <c r="H74" s="42" t="s">
        <v>127</v>
      </c>
      <c r="I74" s="43">
        <v>17138.614306928466</v>
      </c>
      <c r="J74" s="11">
        <v>16726.266368668159</v>
      </c>
      <c r="K74" s="45">
        <f>(I74-J74)/I74</f>
        <v>2.4059584449228854E-2</v>
      </c>
      <c r="L74" s="69"/>
      <c r="M74" s="70"/>
      <c r="N74" s="70"/>
    </row>
    <row r="75" spans="1:14" ht="13" x14ac:dyDescent="0.3">
      <c r="H75" s="42" t="s">
        <v>160</v>
      </c>
      <c r="I75" s="35">
        <v>5877.8706106469472</v>
      </c>
      <c r="J75" s="11">
        <v>6225.5793721031405</v>
      </c>
      <c r="K75" s="45">
        <f>(I75-J75)/I75</f>
        <v>-5.9155565763282902E-2</v>
      </c>
      <c r="L75" s="69"/>
      <c r="M75" s="70"/>
      <c r="N75" s="70"/>
    </row>
    <row r="76" spans="1:14" ht="13" x14ac:dyDescent="0.3">
      <c r="H76" s="42" t="s">
        <v>139</v>
      </c>
      <c r="I76" s="43">
        <v>74818.125909370458</v>
      </c>
      <c r="J76" s="11">
        <v>74292.438537807306</v>
      </c>
      <c r="K76" s="45">
        <f>(I76-J76)/I76</f>
        <v>7.0262034122577921E-3</v>
      </c>
      <c r="L76" s="69"/>
      <c r="M76" s="70"/>
      <c r="N76" s="70"/>
    </row>
    <row r="78" spans="1:14" x14ac:dyDescent="0.25">
      <c r="K78" s="67" t="s">
        <v>275</v>
      </c>
      <c r="L78" s="67"/>
    </row>
    <row r="85" spans="9:9" x14ac:dyDescent="0.25">
      <c r="I85" s="11"/>
    </row>
  </sheetData>
  <mergeCells count="7">
    <mergeCell ref="K78:L78"/>
    <mergeCell ref="H23:K26"/>
    <mergeCell ref="L72:N76"/>
    <mergeCell ref="H11:K11"/>
    <mergeCell ref="F1:H1"/>
    <mergeCell ref="F38:H38"/>
    <mergeCell ref="F55:H55"/>
  </mergeCells>
  <conditionalFormatting sqref="G43:G51">
    <cfRule type="colorScale" priority="2">
      <colorScale>
        <cfvo type="min"/>
        <cfvo type="percentile" val="50"/>
        <cfvo type="max"/>
        <color rgb="FF63BE7B"/>
        <color rgb="FFFFEB84"/>
        <color rgb="FFF8696B"/>
      </colorScale>
    </cfRule>
  </conditionalFormatting>
  <conditionalFormatting sqref="L43:L51">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76B7-A150-4E22-BEE2-4CDC9AAD9F64}">
  <dimension ref="A3:K134"/>
  <sheetViews>
    <sheetView zoomScale="60" workbookViewId="0">
      <selection activeCell="C3" sqref="C3:F3"/>
      <pivotSelection pane="bottomRight" activeRow="2" activeCol="2" click="1" r:id="rId11">
        <pivotArea type="topRight" dataOnly="0" labelOnly="1" outline="0" fieldPosition="0"/>
      </pivotSelection>
    </sheetView>
  </sheetViews>
  <sheetFormatPr defaultRowHeight="12.5" x14ac:dyDescent="0.25"/>
  <cols>
    <col min="1" max="1" width="22.36328125" bestFit="1" customWidth="1"/>
    <col min="2" max="2" width="8.453125" bestFit="1" customWidth="1"/>
    <col min="3" max="3" width="12.6328125" bestFit="1" customWidth="1"/>
    <col min="4" max="4" width="9.453125" bestFit="1" customWidth="1"/>
    <col min="5" max="5" width="22.36328125" bestFit="1" customWidth="1"/>
    <col min="6" max="6" width="9.36328125" bestFit="1" customWidth="1"/>
    <col min="7" max="8" width="12.6328125" bestFit="1" customWidth="1"/>
    <col min="9" max="9" width="14.81640625" bestFit="1" customWidth="1"/>
    <col min="10" max="10" width="14" bestFit="1" customWidth="1"/>
    <col min="11" max="11" width="12.6328125" bestFit="1" customWidth="1"/>
    <col min="12" max="12" width="14.90625" bestFit="1" customWidth="1"/>
    <col min="13" max="13" width="11.54296875" bestFit="1" customWidth="1"/>
    <col min="14" max="14" width="4.54296875" bestFit="1" customWidth="1"/>
    <col min="15" max="15" width="14.90625" bestFit="1" customWidth="1"/>
    <col min="16" max="16" width="11.54296875" bestFit="1" customWidth="1"/>
    <col min="17" max="17" width="4.54296875" bestFit="1" customWidth="1"/>
    <col min="18" max="18" width="14.90625" bestFit="1" customWidth="1"/>
    <col min="19" max="19" width="11.54296875" bestFit="1" customWidth="1"/>
    <col min="20" max="20" width="4.54296875" bestFit="1" customWidth="1"/>
    <col min="21" max="21" width="14.90625" bestFit="1" customWidth="1"/>
    <col min="22" max="22" width="11.54296875" bestFit="1" customWidth="1"/>
    <col min="23" max="23" width="14.90625" bestFit="1" customWidth="1"/>
    <col min="24" max="24" width="11.54296875" bestFit="1" customWidth="1"/>
    <col min="25" max="25" width="4.54296875" bestFit="1" customWidth="1"/>
    <col min="26" max="26" width="14.90625" bestFit="1" customWidth="1"/>
    <col min="27" max="27" width="11.54296875" bestFit="1" customWidth="1"/>
    <col min="28" max="28" width="4.54296875" bestFit="1" customWidth="1"/>
    <col min="29" max="29" width="14.90625" bestFit="1" customWidth="1"/>
    <col min="30" max="30" width="11.54296875" bestFit="1" customWidth="1"/>
    <col min="31" max="31" width="4.54296875" bestFit="1" customWidth="1"/>
    <col min="32" max="32" width="14.90625" bestFit="1" customWidth="1"/>
    <col min="33" max="33" width="11.54296875" bestFit="1" customWidth="1"/>
    <col min="34" max="34" width="14.90625" bestFit="1" customWidth="1"/>
    <col min="35" max="35" width="11.54296875" bestFit="1" customWidth="1"/>
    <col min="36" max="36" width="4.54296875" bestFit="1" customWidth="1"/>
    <col min="37" max="37" width="14.90625" bestFit="1" customWidth="1"/>
    <col min="38" max="38" width="11.54296875" bestFit="1" customWidth="1"/>
    <col min="39" max="39" width="4.54296875" bestFit="1" customWidth="1"/>
    <col min="40" max="40" width="14.90625" bestFit="1" customWidth="1"/>
    <col min="41" max="41" width="11.54296875" bestFit="1" customWidth="1"/>
    <col min="42" max="42" width="4.54296875" bestFit="1" customWidth="1"/>
    <col min="43" max="43" width="14.90625" bestFit="1" customWidth="1"/>
    <col min="44" max="44" width="11.54296875" bestFit="1" customWidth="1"/>
    <col min="45" max="45" width="4.54296875" bestFit="1" customWidth="1"/>
    <col min="46" max="46" width="14.90625" bestFit="1" customWidth="1"/>
    <col min="47" max="47" width="11.54296875" bestFit="1" customWidth="1"/>
    <col min="48" max="48" width="14.90625" bestFit="1" customWidth="1"/>
    <col min="49" max="49" width="11.54296875" bestFit="1" customWidth="1"/>
    <col min="50" max="50" width="4.54296875" bestFit="1" customWidth="1"/>
    <col min="51" max="51" width="5.54296875" bestFit="1" customWidth="1"/>
    <col min="52" max="52" width="14.90625" bestFit="1" customWidth="1"/>
    <col min="53" max="53" width="11.54296875" bestFit="1" customWidth="1"/>
    <col min="54" max="54" width="14.90625" bestFit="1" customWidth="1"/>
    <col min="55" max="55" width="11.54296875" bestFit="1" customWidth="1"/>
    <col min="56" max="56" width="4.54296875" bestFit="1" customWidth="1"/>
    <col min="57" max="57" width="5.81640625" bestFit="1" customWidth="1"/>
    <col min="58" max="58" width="5.54296875" bestFit="1" customWidth="1"/>
    <col min="59" max="59" width="14.90625" bestFit="1" customWidth="1"/>
    <col min="60" max="60" width="11.54296875" bestFit="1" customWidth="1"/>
    <col min="61" max="61" width="14.90625" bestFit="1" customWidth="1"/>
    <col min="62" max="62" width="11.54296875" bestFit="1" customWidth="1"/>
    <col min="63" max="63" width="14.90625" bestFit="1" customWidth="1"/>
    <col min="64" max="64" width="11.54296875" bestFit="1" customWidth="1"/>
    <col min="65" max="65" width="14.90625" bestFit="1" customWidth="1"/>
    <col min="66" max="66" width="11.54296875" bestFit="1" customWidth="1"/>
    <col min="67" max="67" width="14.90625" bestFit="1" customWidth="1"/>
    <col min="68" max="68" width="11.54296875" bestFit="1" customWidth="1"/>
    <col min="69" max="69" width="14.90625" bestFit="1" customWidth="1"/>
    <col min="70" max="70" width="11.54296875" bestFit="1" customWidth="1"/>
    <col min="71" max="71" width="14.90625" bestFit="1" customWidth="1"/>
    <col min="72" max="72" width="11.54296875" bestFit="1" customWidth="1"/>
    <col min="73" max="73" width="4.54296875" bestFit="1" customWidth="1"/>
    <col min="74" max="74" width="5.81640625" bestFit="1" customWidth="1"/>
    <col min="75" max="75" width="5.54296875" bestFit="1" customWidth="1"/>
    <col min="76" max="76" width="14.90625" bestFit="1" customWidth="1"/>
    <col min="77" max="77" width="11.54296875" bestFit="1" customWidth="1"/>
    <col min="78" max="78" width="14.90625" bestFit="1" customWidth="1"/>
    <col min="79" max="79" width="11.54296875" bestFit="1" customWidth="1"/>
    <col min="80" max="80" width="14.90625" bestFit="1" customWidth="1"/>
    <col min="81" max="81" width="11.54296875" bestFit="1" customWidth="1"/>
    <col min="82" max="82" width="14.90625" bestFit="1" customWidth="1"/>
    <col min="83" max="83" width="11.54296875" bestFit="1" customWidth="1"/>
    <col min="84" max="84" width="14.90625" bestFit="1" customWidth="1"/>
    <col min="85" max="85" width="11.54296875" bestFit="1" customWidth="1"/>
    <col min="86" max="86" width="14.90625" bestFit="1" customWidth="1"/>
    <col min="87" max="87" width="11.54296875" bestFit="1" customWidth="1"/>
    <col min="88" max="88" width="14.90625" bestFit="1" customWidth="1"/>
    <col min="89" max="89" width="11.54296875" bestFit="1" customWidth="1"/>
    <col min="90" max="90" width="14.90625" bestFit="1" customWidth="1"/>
    <col min="91" max="91" width="11.54296875" bestFit="1" customWidth="1"/>
    <col min="92" max="92" width="14.90625" bestFit="1" customWidth="1"/>
    <col min="93" max="93" width="11.54296875" bestFit="1" customWidth="1"/>
    <col min="94" max="94" width="5.81640625" bestFit="1" customWidth="1"/>
    <col min="95" max="95" width="14.90625" bestFit="1" customWidth="1"/>
    <col min="96" max="96" width="11.54296875" bestFit="1" customWidth="1"/>
    <col min="97" max="97" width="4.54296875" bestFit="1" customWidth="1"/>
    <col min="98" max="98" width="5.81640625" bestFit="1" customWidth="1"/>
    <col min="99" max="99" width="5.54296875" bestFit="1" customWidth="1"/>
    <col min="100" max="100" width="14.90625" bestFit="1" customWidth="1"/>
    <col min="101" max="101" width="11.54296875" bestFit="1" customWidth="1"/>
    <col min="102" max="102" width="14.90625" bestFit="1" customWidth="1"/>
    <col min="103" max="103" width="11.54296875" bestFit="1" customWidth="1"/>
    <col min="104" max="104" width="14.90625" bestFit="1" customWidth="1"/>
    <col min="105" max="105" width="11.54296875" bestFit="1" customWidth="1"/>
    <col min="106" max="106" width="14.90625" bestFit="1" customWidth="1"/>
    <col min="107" max="107" width="11.54296875" bestFit="1" customWidth="1"/>
    <col min="108" max="108" width="14.90625" bestFit="1" customWidth="1"/>
    <col min="109" max="109" width="11.54296875" bestFit="1" customWidth="1"/>
    <col min="110" max="110" width="14.90625" bestFit="1" customWidth="1"/>
    <col min="111" max="111" width="11.54296875" bestFit="1" customWidth="1"/>
    <col min="112" max="112" width="14.90625" bestFit="1" customWidth="1"/>
    <col min="113" max="113" width="11.54296875" bestFit="1" customWidth="1"/>
    <col min="114" max="114" width="14.90625" bestFit="1" customWidth="1"/>
    <col min="115" max="115" width="11.54296875" bestFit="1" customWidth="1"/>
    <col min="116" max="116" width="4.54296875" bestFit="1" customWidth="1"/>
    <col min="117" max="117" width="5.81640625" bestFit="1" customWidth="1"/>
    <col min="118" max="118" width="5.54296875" bestFit="1" customWidth="1"/>
    <col min="119" max="119" width="14.90625" bestFit="1" customWidth="1"/>
    <col min="120" max="120" width="11.54296875" bestFit="1" customWidth="1"/>
    <col min="121" max="121" width="14.90625" bestFit="1" customWidth="1"/>
    <col min="122" max="122" width="11.54296875" bestFit="1" customWidth="1"/>
    <col min="123" max="123" width="14.90625" bestFit="1" customWidth="1"/>
    <col min="124" max="124" width="11.54296875" bestFit="1" customWidth="1"/>
    <col min="125" max="125" width="5.54296875" bestFit="1" customWidth="1"/>
    <col min="126" max="126" width="14.90625" bestFit="1" customWidth="1"/>
    <col min="127" max="127" width="11.54296875" bestFit="1" customWidth="1"/>
    <col min="128" max="128" width="14.90625" bestFit="1" customWidth="1"/>
    <col min="129" max="129" width="11.54296875" bestFit="1" customWidth="1"/>
    <col min="130" max="130" width="5.54296875" bestFit="1" customWidth="1"/>
    <col min="131" max="131" width="14.90625" bestFit="1" customWidth="1"/>
    <col min="132" max="132" width="11.54296875" bestFit="1" customWidth="1"/>
    <col min="133" max="133" width="14.90625" bestFit="1" customWidth="1"/>
    <col min="134" max="134" width="11.54296875" bestFit="1" customWidth="1"/>
    <col min="135" max="135" width="14.90625" bestFit="1" customWidth="1"/>
    <col min="136" max="136" width="11.54296875" bestFit="1" customWidth="1"/>
    <col min="137" max="137" width="4.54296875" bestFit="1" customWidth="1"/>
    <col min="138" max="138" width="5.81640625" bestFit="1" customWidth="1"/>
    <col min="139" max="139" width="5.54296875" bestFit="1" customWidth="1"/>
    <col min="140" max="140" width="14.90625" bestFit="1" customWidth="1"/>
    <col min="141" max="141" width="11.54296875" bestFit="1" customWidth="1"/>
    <col min="142" max="142" width="14.90625" bestFit="1" customWidth="1"/>
    <col min="143" max="143" width="11.54296875" bestFit="1" customWidth="1"/>
    <col min="144" max="144" width="14.90625" bestFit="1" customWidth="1"/>
    <col min="145" max="145" width="11.54296875" bestFit="1" customWidth="1"/>
    <col min="146" max="146" width="14.90625" bestFit="1" customWidth="1"/>
    <col min="147" max="147" width="11.54296875" bestFit="1" customWidth="1"/>
    <col min="148" max="148" width="14.90625" bestFit="1" customWidth="1"/>
    <col min="149" max="149" width="11.54296875" bestFit="1" customWidth="1"/>
    <col min="150" max="150" width="14.90625" bestFit="1" customWidth="1"/>
    <col min="151" max="151" width="11.54296875" bestFit="1" customWidth="1"/>
    <col min="152" max="152" width="14.90625" bestFit="1" customWidth="1"/>
    <col min="153" max="153" width="11.54296875" bestFit="1" customWidth="1"/>
    <col min="154" max="154" width="4.54296875" bestFit="1" customWidth="1"/>
    <col min="155" max="155" width="5.81640625" bestFit="1" customWidth="1"/>
    <col min="156" max="156" width="5.54296875" bestFit="1" customWidth="1"/>
    <col min="157" max="157" width="14.90625" bestFit="1" customWidth="1"/>
    <col min="158" max="158" width="11.54296875" bestFit="1" customWidth="1"/>
    <col min="159" max="159" width="14.90625" bestFit="1" customWidth="1"/>
    <col min="160" max="160" width="11.54296875" bestFit="1" customWidth="1"/>
    <col min="161" max="161" width="5.54296875" bestFit="1" customWidth="1"/>
    <col min="162" max="162" width="14.90625" bestFit="1" customWidth="1"/>
    <col min="163" max="163" width="11.54296875" bestFit="1" customWidth="1"/>
    <col min="164" max="164" width="14.90625" bestFit="1" customWidth="1"/>
    <col min="165" max="165" width="11.54296875" bestFit="1" customWidth="1"/>
    <col min="166" max="166" width="14.90625" bestFit="1" customWidth="1"/>
    <col min="167" max="167" width="11.54296875" bestFit="1" customWidth="1"/>
    <col min="168" max="168" width="14.90625" bestFit="1" customWidth="1"/>
    <col min="169" max="169" width="11.54296875" bestFit="1" customWidth="1"/>
    <col min="170" max="170" width="14.90625" bestFit="1" customWidth="1"/>
    <col min="171" max="171" width="11.54296875" bestFit="1" customWidth="1"/>
    <col min="172" max="172" width="14.90625" bestFit="1" customWidth="1"/>
    <col min="173" max="173" width="11.54296875" bestFit="1" customWidth="1"/>
    <col min="174" max="174" width="4.54296875" bestFit="1" customWidth="1"/>
    <col min="175" max="175" width="5.81640625" bestFit="1" customWidth="1"/>
    <col min="176" max="176" width="5.54296875" bestFit="1" customWidth="1"/>
    <col min="177" max="177" width="14.90625" bestFit="1" customWidth="1"/>
    <col min="178" max="178" width="11.54296875" bestFit="1" customWidth="1"/>
    <col min="179" max="179" width="5.54296875" bestFit="1" customWidth="1"/>
    <col min="180" max="180" width="14.90625" bestFit="1" customWidth="1"/>
    <col min="181" max="181" width="11.54296875" bestFit="1" customWidth="1"/>
    <col min="182" max="182" width="14.90625" bestFit="1" customWidth="1"/>
    <col min="183" max="183" width="11.54296875" bestFit="1" customWidth="1"/>
    <col min="184" max="184" width="14.90625" bestFit="1" customWidth="1"/>
    <col min="185" max="185" width="11.54296875" bestFit="1" customWidth="1"/>
    <col min="186" max="186" width="14.90625" bestFit="1" customWidth="1"/>
    <col min="187" max="187" width="11.54296875" bestFit="1" customWidth="1"/>
    <col min="188" max="188" width="14.90625" bestFit="1" customWidth="1"/>
    <col min="189" max="189" width="11.54296875" bestFit="1" customWidth="1"/>
    <col min="190" max="190" width="14.90625" bestFit="1" customWidth="1"/>
    <col min="191" max="191" width="11.54296875" bestFit="1" customWidth="1"/>
    <col min="192" max="192" width="14.90625" bestFit="1" customWidth="1"/>
    <col min="193" max="193" width="11.54296875" bestFit="1" customWidth="1"/>
    <col min="194" max="194" width="4.54296875" bestFit="1" customWidth="1"/>
    <col min="195" max="195" width="5.81640625" bestFit="1" customWidth="1"/>
    <col min="196" max="196" width="5.54296875" bestFit="1" customWidth="1"/>
    <col min="197" max="197" width="14.90625" bestFit="1" customWidth="1"/>
    <col min="198" max="198" width="11.54296875" bestFit="1" customWidth="1"/>
    <col min="199" max="199" width="14.90625" bestFit="1" customWidth="1"/>
    <col min="200" max="200" width="11.54296875" bestFit="1" customWidth="1"/>
    <col min="201" max="201" width="5.81640625" bestFit="1" customWidth="1"/>
    <col min="202" max="202" width="14.90625" bestFit="1" customWidth="1"/>
    <col min="203" max="203" width="11.54296875" bestFit="1" customWidth="1"/>
    <col min="204" max="204" width="14.90625" bestFit="1" customWidth="1"/>
    <col min="205" max="205" width="11.54296875" bestFit="1" customWidth="1"/>
    <col min="206" max="206" width="14.90625" bestFit="1" customWidth="1"/>
    <col min="207" max="207" width="11.54296875" bestFit="1" customWidth="1"/>
    <col min="208" max="208" width="14.90625" bestFit="1" customWidth="1"/>
    <col min="209" max="209" width="11.54296875" bestFit="1" customWidth="1"/>
    <col min="210" max="210" width="14.90625" bestFit="1" customWidth="1"/>
    <col min="211" max="211" width="11.54296875" bestFit="1" customWidth="1"/>
    <col min="212" max="212" width="14.90625" bestFit="1" customWidth="1"/>
    <col min="213" max="213" width="11.54296875" bestFit="1" customWidth="1"/>
    <col min="214" max="214" width="14.90625" bestFit="1" customWidth="1"/>
    <col min="215" max="215" width="11.54296875" bestFit="1" customWidth="1"/>
    <col min="216" max="216" width="14.90625" bestFit="1" customWidth="1"/>
    <col min="217" max="217" width="11.54296875" bestFit="1" customWidth="1"/>
    <col min="218" max="218" width="4.54296875" bestFit="1" customWidth="1"/>
    <col min="219" max="219" width="5.81640625" bestFit="1" customWidth="1"/>
    <col min="220" max="220" width="5.54296875" bestFit="1" customWidth="1"/>
    <col min="221" max="221" width="14.90625" bestFit="1" customWidth="1"/>
    <col min="222" max="222" width="11.54296875" bestFit="1" customWidth="1"/>
    <col min="223" max="223" width="14.90625" bestFit="1" customWidth="1"/>
    <col min="224" max="224" width="11.54296875" bestFit="1" customWidth="1"/>
    <col min="225" max="225" width="5.81640625" bestFit="1" customWidth="1"/>
    <col min="226" max="226" width="14.90625" bestFit="1" customWidth="1"/>
    <col min="227" max="227" width="11.54296875" bestFit="1" customWidth="1"/>
    <col min="228" max="228" width="5.54296875" bestFit="1" customWidth="1"/>
    <col min="229" max="229" width="14.90625" bestFit="1" customWidth="1"/>
    <col min="230" max="230" width="11.54296875" bestFit="1" customWidth="1"/>
    <col min="231" max="231" width="14.90625" bestFit="1" customWidth="1"/>
    <col min="232" max="232" width="11.54296875" bestFit="1" customWidth="1"/>
    <col min="233" max="233" width="14.90625" bestFit="1" customWidth="1"/>
    <col min="234" max="234" width="11.54296875" bestFit="1" customWidth="1"/>
    <col min="235" max="235" width="4.54296875" bestFit="1" customWidth="1"/>
    <col min="236" max="236" width="5.81640625" bestFit="1" customWidth="1"/>
    <col min="237" max="237" width="5.54296875" bestFit="1" customWidth="1"/>
    <col min="238" max="238" width="14.90625" bestFit="1" customWidth="1"/>
    <col min="239" max="239" width="11.54296875" bestFit="1" customWidth="1"/>
    <col min="240" max="240" width="14.90625" bestFit="1" customWidth="1"/>
    <col min="241" max="241" width="11.54296875" bestFit="1" customWidth="1"/>
    <col min="242" max="242" width="4.54296875" bestFit="1" customWidth="1"/>
    <col min="243" max="243" width="5.54296875" bestFit="1" customWidth="1"/>
    <col min="244" max="244" width="14.90625" bestFit="1" customWidth="1"/>
    <col min="245" max="245" width="11.54296875" bestFit="1" customWidth="1"/>
    <col min="246" max="246" width="5.54296875" bestFit="1" customWidth="1"/>
    <col min="247" max="247" width="14.90625" bestFit="1" customWidth="1"/>
    <col min="248" max="248" width="11.54296875" bestFit="1" customWidth="1"/>
    <col min="249" max="249" width="14.90625" bestFit="1" customWidth="1"/>
    <col min="250" max="250" width="11.54296875" bestFit="1" customWidth="1"/>
    <col min="251" max="251" width="14.90625" bestFit="1" customWidth="1"/>
    <col min="252" max="252" width="11.54296875" bestFit="1" customWidth="1"/>
    <col min="253" max="253" width="5.54296875" bestFit="1" customWidth="1"/>
    <col min="254" max="254" width="14.90625" bestFit="1" customWidth="1"/>
    <col min="255" max="255" width="11.54296875" bestFit="1" customWidth="1"/>
    <col min="256" max="256" width="14.90625" bestFit="1" customWidth="1"/>
    <col min="257" max="257" width="11.54296875" bestFit="1" customWidth="1"/>
    <col min="258" max="258" width="14.90625" bestFit="1" customWidth="1"/>
    <col min="259" max="259" width="11.54296875" bestFit="1" customWidth="1"/>
    <col min="260" max="260" width="4.54296875" bestFit="1" customWidth="1"/>
    <col min="261" max="261" width="5.81640625" bestFit="1" customWidth="1"/>
    <col min="262" max="262" width="5.54296875" bestFit="1" customWidth="1"/>
    <col min="263" max="263" width="14.90625" bestFit="1" customWidth="1"/>
    <col min="264" max="264" width="11.54296875" bestFit="1" customWidth="1"/>
    <col min="265" max="265" width="14.90625" bestFit="1" customWidth="1"/>
    <col min="266" max="266" width="11.54296875" bestFit="1" customWidth="1"/>
    <col min="267" max="267" width="14.90625" bestFit="1" customWidth="1"/>
    <col min="268" max="268" width="11.54296875" bestFit="1" customWidth="1"/>
    <col min="269" max="269" width="14.90625" bestFit="1" customWidth="1"/>
    <col min="270" max="270" width="11.54296875" bestFit="1" customWidth="1"/>
    <col min="271" max="271" width="14.90625" bestFit="1" customWidth="1"/>
    <col min="272" max="272" width="11.54296875" bestFit="1" customWidth="1"/>
    <col min="273" max="273" width="14.90625" bestFit="1" customWidth="1"/>
    <col min="274" max="274" width="11.54296875" bestFit="1" customWidth="1"/>
    <col min="275" max="275" width="4.54296875" bestFit="1" customWidth="1"/>
    <col min="276" max="276" width="5.81640625" bestFit="1" customWidth="1"/>
    <col min="277" max="277" width="5.54296875" bestFit="1" customWidth="1"/>
    <col min="278" max="278" width="14.90625" bestFit="1" customWidth="1"/>
    <col min="279" max="279" width="11.54296875" bestFit="1" customWidth="1"/>
    <col min="280" max="280" width="4.54296875" bestFit="1" customWidth="1"/>
    <col min="281" max="281" width="14.90625" bestFit="1" customWidth="1"/>
    <col min="282" max="282" width="11.54296875" bestFit="1" customWidth="1"/>
    <col min="283" max="283" width="14.90625" bestFit="1" customWidth="1"/>
    <col min="284" max="284" width="11.54296875" bestFit="1" customWidth="1"/>
    <col min="285" max="285" width="14.90625" bestFit="1" customWidth="1"/>
    <col min="286" max="286" width="11.54296875" bestFit="1" customWidth="1"/>
    <col min="287" max="287" width="5.54296875" bestFit="1" customWidth="1"/>
    <col min="288" max="288" width="14.90625" bestFit="1" customWidth="1"/>
    <col min="289" max="289" width="11.54296875" bestFit="1" customWidth="1"/>
    <col min="290" max="290" width="14.90625" bestFit="1" customWidth="1"/>
    <col min="291" max="291" width="11.54296875" bestFit="1" customWidth="1"/>
    <col min="292" max="292" width="14.90625" bestFit="1" customWidth="1"/>
    <col min="293" max="293" width="11.54296875" bestFit="1" customWidth="1"/>
    <col min="294" max="294" width="14.90625" bestFit="1" customWidth="1"/>
    <col min="295" max="295" width="11.54296875" bestFit="1" customWidth="1"/>
    <col min="296" max="296" width="14.90625" bestFit="1" customWidth="1"/>
    <col min="297" max="297" width="11.54296875" bestFit="1" customWidth="1"/>
    <col min="298" max="298" width="4.54296875" bestFit="1" customWidth="1"/>
    <col min="299" max="299" width="5.81640625" bestFit="1" customWidth="1"/>
    <col min="300" max="300" width="5.54296875" bestFit="1" customWidth="1"/>
    <col min="301" max="301" width="14.90625" bestFit="1" customWidth="1"/>
    <col min="302" max="302" width="11.54296875" bestFit="1" customWidth="1"/>
    <col min="303" max="303" width="14.90625" bestFit="1" customWidth="1"/>
    <col min="304" max="304" width="11.54296875" bestFit="1" customWidth="1"/>
    <col min="305" max="305" width="14.90625" bestFit="1" customWidth="1"/>
    <col min="306" max="306" width="11.08984375" bestFit="1" customWidth="1"/>
  </cols>
  <sheetData>
    <row r="3" spans="1:6" x14ac:dyDescent="0.25">
      <c r="A3" s="23" t="s">
        <v>235</v>
      </c>
      <c r="B3" s="23" t="s">
        <v>236</v>
      </c>
    </row>
    <row r="4" spans="1:6" x14ac:dyDescent="0.25">
      <c r="A4" s="23" t="s">
        <v>233</v>
      </c>
      <c r="B4" t="s">
        <v>128</v>
      </c>
      <c r="C4" t="s">
        <v>140</v>
      </c>
      <c r="D4" t="s">
        <v>237</v>
      </c>
      <c r="E4" t="s">
        <v>130</v>
      </c>
      <c r="F4" t="s">
        <v>234</v>
      </c>
    </row>
    <row r="5" spans="1:6" x14ac:dyDescent="0.25">
      <c r="A5" s="24" t="s">
        <v>11</v>
      </c>
      <c r="B5" s="75">
        <v>3322.4833875830623</v>
      </c>
      <c r="C5" s="75"/>
      <c r="D5" s="75">
        <v>228.31199999999993</v>
      </c>
      <c r="E5" s="75">
        <v>66.665968829942983</v>
      </c>
      <c r="F5" s="75">
        <v>3617.461356413005</v>
      </c>
    </row>
    <row r="6" spans="1:6" x14ac:dyDescent="0.25">
      <c r="A6" s="24" t="s">
        <v>12</v>
      </c>
      <c r="B6" s="75"/>
      <c r="C6" s="75"/>
      <c r="D6" s="75"/>
      <c r="E6" s="75">
        <v>8.7008700870087008</v>
      </c>
      <c r="F6" s="75">
        <v>8.7008700870087008</v>
      </c>
    </row>
    <row r="7" spans="1:6" x14ac:dyDescent="0.25">
      <c r="A7" s="24" t="s">
        <v>10</v>
      </c>
      <c r="B7" s="75">
        <v>17306.313468432658</v>
      </c>
      <c r="C7" s="75"/>
      <c r="D7" s="75">
        <v>1646.04</v>
      </c>
      <c r="E7" s="75">
        <v>95.667566756675669</v>
      </c>
      <c r="F7" s="75">
        <v>19048.021035189333</v>
      </c>
    </row>
    <row r="8" spans="1:6" x14ac:dyDescent="0.25">
      <c r="A8" s="24" t="s">
        <v>14</v>
      </c>
      <c r="B8" s="75">
        <v>2974.7056264718681</v>
      </c>
      <c r="C8" s="75"/>
      <c r="D8" s="75"/>
      <c r="E8" s="75"/>
      <c r="F8" s="75">
        <v>2974.7056264718681</v>
      </c>
    </row>
    <row r="9" spans="1:6" x14ac:dyDescent="0.25">
      <c r="A9" s="24" t="s">
        <v>17</v>
      </c>
      <c r="B9" s="75">
        <v>22781.556092219544</v>
      </c>
      <c r="C9" s="75">
        <v>8230.2026517425966</v>
      </c>
      <c r="D9" s="75">
        <v>1652.8180000000002</v>
      </c>
      <c r="E9" s="75">
        <v>97.809780978097805</v>
      </c>
      <c r="F9" s="75">
        <v>32762.386524940241</v>
      </c>
    </row>
    <row r="10" spans="1:6" x14ac:dyDescent="0.25">
      <c r="A10" s="24" t="s">
        <v>8</v>
      </c>
      <c r="B10" s="75">
        <v>208833.23233383839</v>
      </c>
      <c r="C10" s="75">
        <v>4142.1517577048271</v>
      </c>
      <c r="D10" s="75">
        <v>4767.3599999999997</v>
      </c>
      <c r="E10" s="75">
        <v>519.83528352835287</v>
      </c>
      <c r="F10" s="75">
        <v>218262.57937507154</v>
      </c>
    </row>
    <row r="11" spans="1:6" x14ac:dyDescent="0.25">
      <c r="A11" s="24" t="s">
        <v>19</v>
      </c>
      <c r="B11" s="75">
        <v>5214.5739271303646</v>
      </c>
      <c r="C11" s="75">
        <v>12727.663959819209</v>
      </c>
      <c r="D11" s="75"/>
      <c r="E11" s="75">
        <v>54.335433543354334</v>
      </c>
      <c r="F11" s="75">
        <v>17996.573320492927</v>
      </c>
    </row>
    <row r="12" spans="1:6" x14ac:dyDescent="0.25">
      <c r="A12" s="24" t="s">
        <v>18</v>
      </c>
      <c r="B12" s="75">
        <v>36169.629651851741</v>
      </c>
      <c r="C12" s="75"/>
      <c r="D12" s="75">
        <v>1378.4399999999998</v>
      </c>
      <c r="E12" s="75">
        <v>23546.243624362429</v>
      </c>
      <c r="F12" s="75">
        <v>61094.313276214176</v>
      </c>
    </row>
    <row r="13" spans="1:6" x14ac:dyDescent="0.25">
      <c r="A13" s="24" t="s">
        <v>15</v>
      </c>
      <c r="B13" s="75">
        <v>3746.5582672086639</v>
      </c>
      <c r="C13" s="75">
        <v>982.83931357254301</v>
      </c>
      <c r="D13" s="75"/>
      <c r="E13" s="75"/>
      <c r="F13" s="75">
        <v>4729.3975807812067</v>
      </c>
    </row>
    <row r="14" spans="1:6" x14ac:dyDescent="0.25">
      <c r="A14" s="24" t="s">
        <v>234</v>
      </c>
      <c r="B14" s="75">
        <v>300349.05275473633</v>
      </c>
      <c r="C14" s="75">
        <v>26082.857682839174</v>
      </c>
      <c r="D14" s="75">
        <v>9672.9699999999993</v>
      </c>
      <c r="E14" s="75">
        <v>24389.258528085862</v>
      </c>
      <c r="F14" s="75">
        <v>360494.13896566129</v>
      </c>
    </row>
    <row r="20" spans="1:11" x14ac:dyDescent="0.25">
      <c r="A20" s="23" t="s">
        <v>235</v>
      </c>
      <c r="B20" s="23" t="s">
        <v>236</v>
      </c>
    </row>
    <row r="21" spans="1:11" x14ac:dyDescent="0.25">
      <c r="A21" s="23" t="s">
        <v>233</v>
      </c>
      <c r="B21" t="s">
        <v>11</v>
      </c>
      <c r="C21" t="s">
        <v>12</v>
      </c>
      <c r="D21" t="s">
        <v>10</v>
      </c>
      <c r="E21" t="s">
        <v>14</v>
      </c>
      <c r="F21" t="s">
        <v>17</v>
      </c>
      <c r="G21" t="s">
        <v>8</v>
      </c>
      <c r="H21" t="s">
        <v>19</v>
      </c>
      <c r="I21" t="s">
        <v>18</v>
      </c>
      <c r="J21" t="s">
        <v>15</v>
      </c>
      <c r="K21" t="s">
        <v>234</v>
      </c>
    </row>
    <row r="22" spans="1:11" x14ac:dyDescent="0.25">
      <c r="A22" s="24" t="s">
        <v>128</v>
      </c>
      <c r="B22" s="75">
        <v>3322.4833875830623</v>
      </c>
      <c r="C22" s="75"/>
      <c r="D22" s="75">
        <v>17306.313468432658</v>
      </c>
      <c r="E22" s="75">
        <v>2974.7056264718681</v>
      </c>
      <c r="F22" s="75">
        <v>22781.556092219544</v>
      </c>
      <c r="G22" s="75">
        <v>208833.23233383839</v>
      </c>
      <c r="H22" s="75">
        <v>5214.5739271303646</v>
      </c>
      <c r="I22" s="75">
        <v>36169.629651851741</v>
      </c>
      <c r="J22" s="75">
        <v>3746.5582672086639</v>
      </c>
      <c r="K22" s="75">
        <v>300349.05275473633</v>
      </c>
    </row>
    <row r="23" spans="1:11" x14ac:dyDescent="0.25">
      <c r="A23" s="24" t="s">
        <v>140</v>
      </c>
      <c r="B23" s="75"/>
      <c r="C23" s="75"/>
      <c r="D23" s="75"/>
      <c r="E23" s="75"/>
      <c r="F23" s="75">
        <v>8230.2026517425966</v>
      </c>
      <c r="G23" s="75">
        <v>4142.1517577048271</v>
      </c>
      <c r="H23" s="75">
        <v>12727.663959819209</v>
      </c>
      <c r="I23" s="75"/>
      <c r="J23" s="75">
        <v>982.83931357254301</v>
      </c>
      <c r="K23" s="75">
        <v>26082.857682839174</v>
      </c>
    </row>
    <row r="24" spans="1:11" x14ac:dyDescent="0.25">
      <c r="A24" s="24" t="s">
        <v>237</v>
      </c>
      <c r="B24" s="75">
        <v>228.31199999999993</v>
      </c>
      <c r="C24" s="75"/>
      <c r="D24" s="75">
        <v>1646.04</v>
      </c>
      <c r="E24" s="75"/>
      <c r="F24" s="75">
        <v>1652.8180000000002</v>
      </c>
      <c r="G24" s="75">
        <v>4767.3599999999997</v>
      </c>
      <c r="H24" s="75"/>
      <c r="I24" s="75">
        <v>1378.4399999999998</v>
      </c>
      <c r="J24" s="75"/>
      <c r="K24" s="75">
        <v>9672.9699999999993</v>
      </c>
    </row>
    <row r="25" spans="1:11" x14ac:dyDescent="0.25">
      <c r="A25" s="24" t="s">
        <v>130</v>
      </c>
      <c r="B25" s="75">
        <v>66.665968829942983</v>
      </c>
      <c r="C25" s="75">
        <v>8.7008700870087008</v>
      </c>
      <c r="D25" s="75">
        <v>95.667566756675669</v>
      </c>
      <c r="E25" s="75"/>
      <c r="F25" s="75">
        <v>97.809780978097805</v>
      </c>
      <c r="G25" s="75">
        <v>519.83528352835287</v>
      </c>
      <c r="H25" s="75">
        <v>54.335433543354334</v>
      </c>
      <c r="I25" s="75">
        <v>23546.243624362429</v>
      </c>
      <c r="J25" s="75"/>
      <c r="K25" s="75">
        <v>24389.258528085862</v>
      </c>
    </row>
    <row r="26" spans="1:11" x14ac:dyDescent="0.25">
      <c r="A26" s="24" t="s">
        <v>234</v>
      </c>
      <c r="B26" s="75">
        <v>3617.461356413005</v>
      </c>
      <c r="C26" s="75">
        <v>8.7008700870087008</v>
      </c>
      <c r="D26" s="75">
        <v>19048.021035189333</v>
      </c>
      <c r="E26" s="75">
        <v>2974.7056264718681</v>
      </c>
      <c r="F26" s="75">
        <v>32762.386524940241</v>
      </c>
      <c r="G26" s="75">
        <v>218262.57937507154</v>
      </c>
      <c r="H26" s="75">
        <v>17996.573320492927</v>
      </c>
      <c r="I26" s="75">
        <v>61094.313276214176</v>
      </c>
      <c r="J26" s="75">
        <v>4729.3975807812067</v>
      </c>
      <c r="K26" s="75">
        <v>360494.13896566129</v>
      </c>
    </row>
    <row r="34" spans="1:6" x14ac:dyDescent="0.25">
      <c r="A34" s="23" t="s">
        <v>235</v>
      </c>
      <c r="B34" s="23" t="s">
        <v>236</v>
      </c>
    </row>
    <row r="35" spans="1:6" x14ac:dyDescent="0.25">
      <c r="A35" s="23" t="s">
        <v>233</v>
      </c>
      <c r="B35" t="s">
        <v>128</v>
      </c>
      <c r="C35" t="s">
        <v>140</v>
      </c>
      <c r="D35" t="s">
        <v>237</v>
      </c>
      <c r="E35" t="s">
        <v>130</v>
      </c>
      <c r="F35" t="s">
        <v>234</v>
      </c>
    </row>
    <row r="36" spans="1:6" x14ac:dyDescent="0.25">
      <c r="A36" s="24" t="s">
        <v>239</v>
      </c>
      <c r="B36" s="75">
        <v>73574.335128324383</v>
      </c>
      <c r="C36" s="75">
        <v>14649.449073936288</v>
      </c>
      <c r="D36" s="75">
        <v>1863.2800000000004</v>
      </c>
      <c r="E36" s="75">
        <v>14709.239423942394</v>
      </c>
      <c r="F36" s="75">
        <v>104796.30362620305</v>
      </c>
    </row>
    <row r="37" spans="1:6" x14ac:dyDescent="0.25">
      <c r="A37" s="24" t="s">
        <v>240</v>
      </c>
      <c r="B37" s="75">
        <v>75721.619391903063</v>
      </c>
      <c r="C37" s="75">
        <v>2793.981120594121</v>
      </c>
      <c r="D37" s="75">
        <v>989.48</v>
      </c>
      <c r="E37" s="75">
        <v>982.25622562256217</v>
      </c>
      <c r="F37" s="75">
        <v>80487.336738119746</v>
      </c>
    </row>
    <row r="38" spans="1:6" x14ac:dyDescent="0.25">
      <c r="A38" s="24" t="s">
        <v>241</v>
      </c>
      <c r="B38" s="75">
        <v>74798.33050834747</v>
      </c>
      <c r="C38" s="75">
        <v>323.06515227057491</v>
      </c>
      <c r="D38" s="75">
        <v>1550.84</v>
      </c>
      <c r="E38" s="75">
        <v>436.57295952901296</v>
      </c>
      <c r="F38" s="75">
        <v>77108.808620147058</v>
      </c>
    </row>
    <row r="39" spans="1:6" x14ac:dyDescent="0.25">
      <c r="A39" s="24" t="s">
        <v>242</v>
      </c>
      <c r="B39" s="75">
        <v>76254.767726161357</v>
      </c>
      <c r="C39" s="75">
        <v>8316.3623360381862</v>
      </c>
      <c r="D39" s="75">
        <v>5269.3700000000008</v>
      </c>
      <c r="E39" s="75">
        <v>8261.1899189918986</v>
      </c>
      <c r="F39" s="75">
        <v>98101.689981191448</v>
      </c>
    </row>
    <row r="40" spans="1:6" x14ac:dyDescent="0.25">
      <c r="A40" s="24" t="s">
        <v>234</v>
      </c>
      <c r="B40" s="75">
        <v>300349.05275473627</v>
      </c>
      <c r="C40" s="75">
        <v>26082.857682839171</v>
      </c>
      <c r="D40" s="75">
        <v>9672.9700000000012</v>
      </c>
      <c r="E40" s="75">
        <v>24389.258528085869</v>
      </c>
      <c r="F40" s="75">
        <v>360494.13896566129</v>
      </c>
    </row>
    <row r="47" spans="1:6" x14ac:dyDescent="0.25">
      <c r="A47" s="23" t="s">
        <v>235</v>
      </c>
      <c r="B47" s="23" t="s">
        <v>236</v>
      </c>
    </row>
    <row r="48" spans="1:6" x14ac:dyDescent="0.25">
      <c r="A48" s="23" t="s">
        <v>233</v>
      </c>
      <c r="B48" t="s">
        <v>128</v>
      </c>
      <c r="C48" t="s">
        <v>140</v>
      </c>
      <c r="D48" t="s">
        <v>237</v>
      </c>
      <c r="E48" t="s">
        <v>130</v>
      </c>
      <c r="F48" t="s">
        <v>234</v>
      </c>
    </row>
    <row r="49" spans="1:6" x14ac:dyDescent="0.25">
      <c r="A49" s="24" t="s">
        <v>11</v>
      </c>
      <c r="B49" s="75">
        <v>3322.4833875830623</v>
      </c>
      <c r="C49" s="75"/>
      <c r="D49" s="75">
        <v>228.31199999999993</v>
      </c>
      <c r="E49" s="75">
        <v>66.665968829942983</v>
      </c>
      <c r="F49" s="75">
        <v>3617.461356413005</v>
      </c>
    </row>
    <row r="50" spans="1:6" x14ac:dyDescent="0.25">
      <c r="A50" s="24" t="s">
        <v>12</v>
      </c>
      <c r="B50" s="75"/>
      <c r="C50" s="75"/>
      <c r="D50" s="75"/>
      <c r="E50" s="75">
        <v>8.7008700870087008</v>
      </c>
      <c r="F50" s="75">
        <v>8.7008700870087008</v>
      </c>
    </row>
    <row r="51" spans="1:6" x14ac:dyDescent="0.25">
      <c r="A51" s="24" t="s">
        <v>10</v>
      </c>
      <c r="B51" s="75">
        <v>17306.313468432658</v>
      </c>
      <c r="C51" s="75"/>
      <c r="D51" s="75">
        <v>1646.04</v>
      </c>
      <c r="E51" s="75">
        <v>95.667566756675669</v>
      </c>
      <c r="F51" s="75">
        <v>19048.021035189333</v>
      </c>
    </row>
    <row r="52" spans="1:6" x14ac:dyDescent="0.25">
      <c r="A52" s="24" t="s">
        <v>14</v>
      </c>
      <c r="B52" s="75">
        <v>2974.7056264718681</v>
      </c>
      <c r="C52" s="75"/>
      <c r="D52" s="75"/>
      <c r="E52" s="75"/>
      <c r="F52" s="75">
        <v>2974.7056264718681</v>
      </c>
    </row>
    <row r="53" spans="1:6" x14ac:dyDescent="0.25">
      <c r="A53" s="24" t="s">
        <v>17</v>
      </c>
      <c r="B53" s="75">
        <v>22781.556092219544</v>
      </c>
      <c r="C53" s="75">
        <v>8230.2026517425966</v>
      </c>
      <c r="D53" s="75">
        <v>1652.8180000000002</v>
      </c>
      <c r="E53" s="75">
        <v>97.809780978097805</v>
      </c>
      <c r="F53" s="75">
        <v>32762.386524940241</v>
      </c>
    </row>
    <row r="54" spans="1:6" x14ac:dyDescent="0.25">
      <c r="A54" s="24" t="s">
        <v>8</v>
      </c>
      <c r="B54" s="75">
        <v>208833.23233383839</v>
      </c>
      <c r="C54" s="75">
        <v>4142.1517577048271</v>
      </c>
      <c r="D54" s="75">
        <v>4767.3599999999997</v>
      </c>
      <c r="E54" s="75">
        <v>519.83528352835287</v>
      </c>
      <c r="F54" s="75">
        <v>218262.57937507154</v>
      </c>
    </row>
    <row r="55" spans="1:6" x14ac:dyDescent="0.25">
      <c r="A55" s="24" t="s">
        <v>19</v>
      </c>
      <c r="B55" s="75">
        <v>5214.5739271303646</v>
      </c>
      <c r="C55" s="75">
        <v>12727.663959819209</v>
      </c>
      <c r="D55" s="75"/>
      <c r="E55" s="75">
        <v>54.335433543354334</v>
      </c>
      <c r="F55" s="75">
        <v>17996.573320492927</v>
      </c>
    </row>
    <row r="56" spans="1:6" x14ac:dyDescent="0.25">
      <c r="A56" s="24" t="s">
        <v>18</v>
      </c>
      <c r="B56" s="75">
        <v>36169.629651851741</v>
      </c>
      <c r="C56" s="75"/>
      <c r="D56" s="75">
        <v>1378.4399999999998</v>
      </c>
      <c r="E56" s="75">
        <v>23546.243624362429</v>
      </c>
      <c r="F56" s="75">
        <v>61094.313276214176</v>
      </c>
    </row>
    <row r="57" spans="1:6" x14ac:dyDescent="0.25">
      <c r="A57" s="24" t="s">
        <v>15</v>
      </c>
      <c r="B57" s="75">
        <v>3746.5582672086639</v>
      </c>
      <c r="C57" s="75">
        <v>982.83931357254301</v>
      </c>
      <c r="D57" s="75"/>
      <c r="E57" s="75"/>
      <c r="F57" s="75">
        <v>4729.3975807812067</v>
      </c>
    </row>
    <row r="58" spans="1:6" x14ac:dyDescent="0.25">
      <c r="A58" s="24" t="s">
        <v>234</v>
      </c>
      <c r="B58" s="75">
        <v>300349.05275473633</v>
      </c>
      <c r="C58" s="75">
        <v>26082.857682839174</v>
      </c>
      <c r="D58" s="75">
        <v>9672.9699999999993</v>
      </c>
      <c r="E58" s="75">
        <v>24389.258528085862</v>
      </c>
      <c r="F58" s="75">
        <v>360494.13896566129</v>
      </c>
    </row>
    <row r="61" spans="1:6" x14ac:dyDescent="0.25">
      <c r="A61" s="23" t="s">
        <v>225</v>
      </c>
      <c r="B61" t="s">
        <v>238</v>
      </c>
    </row>
    <row r="62" spans="1:6" x14ac:dyDescent="0.25">
      <c r="A62" s="23" t="s">
        <v>224</v>
      </c>
      <c r="B62" t="s">
        <v>238</v>
      </c>
    </row>
    <row r="64" spans="1:6" x14ac:dyDescent="0.25">
      <c r="A64" s="23" t="s">
        <v>248</v>
      </c>
      <c r="B64" s="23" t="s">
        <v>236</v>
      </c>
    </row>
    <row r="65" spans="1:9" x14ac:dyDescent="0.25">
      <c r="A65" s="23" t="s">
        <v>233</v>
      </c>
      <c r="B65" t="s">
        <v>46</v>
      </c>
      <c r="C65" t="s">
        <v>52</v>
      </c>
      <c r="D65" t="s">
        <v>234</v>
      </c>
    </row>
    <row r="66" spans="1:9" x14ac:dyDescent="0.25">
      <c r="A66" s="24" t="s">
        <v>11</v>
      </c>
      <c r="B66" s="75">
        <v>5677</v>
      </c>
      <c r="C66" s="75">
        <v>30.8</v>
      </c>
      <c r="D66" s="75">
        <v>5707.8</v>
      </c>
    </row>
    <row r="67" spans="1:9" x14ac:dyDescent="0.25">
      <c r="A67" s="24" t="s">
        <v>10</v>
      </c>
      <c r="B67" s="75">
        <v>41151</v>
      </c>
      <c r="C67" s="75"/>
      <c r="D67" s="75">
        <v>41151</v>
      </c>
    </row>
    <row r="68" spans="1:9" x14ac:dyDescent="0.25">
      <c r="A68" s="24" t="s">
        <v>17</v>
      </c>
      <c r="B68" s="75">
        <v>40902</v>
      </c>
      <c r="C68" s="75">
        <v>418.45</v>
      </c>
      <c r="D68" s="75">
        <v>41320.449999999997</v>
      </c>
    </row>
    <row r="69" spans="1:9" x14ac:dyDescent="0.25">
      <c r="A69" s="24" t="s">
        <v>8</v>
      </c>
      <c r="B69" s="75">
        <v>115905</v>
      </c>
      <c r="C69" s="75">
        <v>3279</v>
      </c>
      <c r="D69" s="75">
        <v>119184</v>
      </c>
    </row>
    <row r="70" spans="1:9" x14ac:dyDescent="0.25">
      <c r="A70" s="24" t="s">
        <v>18</v>
      </c>
      <c r="B70" s="75">
        <v>33936</v>
      </c>
      <c r="C70" s="75">
        <v>525</v>
      </c>
      <c r="D70" s="75">
        <v>34461</v>
      </c>
    </row>
    <row r="71" spans="1:9" x14ac:dyDescent="0.25">
      <c r="A71" s="24" t="s">
        <v>234</v>
      </c>
      <c r="B71" s="75">
        <v>237571</v>
      </c>
      <c r="C71" s="75">
        <v>4253.25</v>
      </c>
      <c r="D71" s="75">
        <v>241824.25</v>
      </c>
    </row>
    <row r="78" spans="1:9" ht="13" x14ac:dyDescent="0.3">
      <c r="A78" s="23" t="s">
        <v>233</v>
      </c>
      <c r="B78" t="s">
        <v>235</v>
      </c>
      <c r="D78" s="25" t="s">
        <v>243</v>
      </c>
      <c r="E78" s="25" t="s">
        <v>245</v>
      </c>
      <c r="F78" s="25" t="s">
        <v>247</v>
      </c>
      <c r="G78" s="25" t="s">
        <v>280</v>
      </c>
      <c r="H78" s="29" t="s">
        <v>281</v>
      </c>
      <c r="I78" s="29" t="s">
        <v>282</v>
      </c>
    </row>
    <row r="79" spans="1:9" x14ac:dyDescent="0.25">
      <c r="A79" s="24" t="s">
        <v>11</v>
      </c>
      <c r="B79" s="11">
        <v>3617.4613564130059</v>
      </c>
      <c r="D79" t="str">
        <f>A79</f>
        <v>Dcycle Andina SAS</v>
      </c>
      <c r="E79" s="11">
        <f>GETPIVOTDATA("CO2eq(KG)",$A$78,"company_name","Dcycle Andina SAS")</f>
        <v>3617.4613564130059</v>
      </c>
      <c r="F79" cm="1">
        <f t="array" ref="F79:F87">VLOOKUP(D79:D87,Table3[[#All],[Company_name]:[Turnover M€]],4,FALSE)</f>
        <v>12.83</v>
      </c>
      <c r="G79" cm="1">
        <f t="array" ref="G79:G87">VLOOKUP(D79:D87,Table3[[#All],[Company_name]:[Employee]],3,FALSE)</f>
        <v>20</v>
      </c>
      <c r="H79" s="11">
        <f t="shared" ref="H79:H87" si="0">E79/F79</f>
        <v>281.95334032837144</v>
      </c>
      <c r="I79" s="11">
        <f>E79/G79</f>
        <v>180.87306782065031</v>
      </c>
    </row>
    <row r="80" spans="1:9" x14ac:dyDescent="0.25">
      <c r="A80" s="24" t="s">
        <v>12</v>
      </c>
      <c r="B80" s="11">
        <v>8.7008700870087008</v>
      </c>
      <c r="D80" t="str">
        <f t="shared" ref="D80:D87" si="1">A80</f>
        <v>Dcycle Deutschland  GmbH</v>
      </c>
      <c r="E80" s="11">
        <f>GETPIVOTDATA("CO2eq(KG)",$A$78,"company_name","Dcycle Deutschland  GmbH")</f>
        <v>8.7008700870087008</v>
      </c>
      <c r="F80">
        <v>19.25</v>
      </c>
      <c r="G80">
        <v>30</v>
      </c>
      <c r="H80" s="11">
        <f t="shared" si="0"/>
        <v>0.45199325127317924</v>
      </c>
      <c r="I80" s="11">
        <f t="shared" ref="I80:I87" si="2">E80/G80</f>
        <v>0.29002900290029004</v>
      </c>
    </row>
    <row r="81" spans="1:9" x14ac:dyDescent="0.25">
      <c r="A81" s="24" t="s">
        <v>10</v>
      </c>
      <c r="B81" s="11">
        <v>19048.021035189333</v>
      </c>
      <c r="D81" t="str">
        <f t="shared" si="1"/>
        <v>Dcycle Factory SL</v>
      </c>
      <c r="E81" s="11">
        <f>GETPIVOTDATA("CO2eq(KG)",$A$78,"company_name","Dcycle Factory SL")</f>
        <v>19048.021035189333</v>
      </c>
      <c r="F81">
        <v>14.81</v>
      </c>
      <c r="G81">
        <v>100</v>
      </c>
      <c r="H81" s="11">
        <f t="shared" si="0"/>
        <v>1286.1594216873284</v>
      </c>
      <c r="I81" s="11">
        <f t="shared" si="2"/>
        <v>190.48021035189333</v>
      </c>
    </row>
    <row r="82" spans="1:9" x14ac:dyDescent="0.25">
      <c r="A82" s="24" t="s">
        <v>14</v>
      </c>
      <c r="B82" s="11">
        <v>2974.7056264718681</v>
      </c>
      <c r="D82" t="str">
        <f t="shared" si="1"/>
        <v>Dcycle France SARL</v>
      </c>
      <c r="E82" s="11">
        <f>GETPIVOTDATA("CO2eq(KG)",$A$78,"company_name","Dcycle France SARL")</f>
        <v>2974.7056264718681</v>
      </c>
      <c r="F82">
        <v>38.5</v>
      </c>
      <c r="G82">
        <v>200</v>
      </c>
      <c r="H82" s="11">
        <f t="shared" si="0"/>
        <v>77.265081207061513</v>
      </c>
      <c r="I82" s="11">
        <f t="shared" si="2"/>
        <v>14.87352813235934</v>
      </c>
    </row>
    <row r="83" spans="1:9" x14ac:dyDescent="0.25">
      <c r="A83" s="24" t="s">
        <v>17</v>
      </c>
      <c r="B83" s="11">
        <v>32762.386524940237</v>
      </c>
      <c r="D83" t="str">
        <f t="shared" si="1"/>
        <v>Dcycle Ltd</v>
      </c>
      <c r="E83" s="11">
        <f>GETPIVOTDATA("CO2eq(KG)",$A$78,"company_name","Dcycle Ltd")</f>
        <v>32762.386524940237</v>
      </c>
      <c r="F83">
        <v>19.25</v>
      </c>
      <c r="G83">
        <v>30</v>
      </c>
      <c r="H83" s="11">
        <f t="shared" si="0"/>
        <v>1701.9421571397527</v>
      </c>
      <c r="I83" s="11">
        <f t="shared" si="2"/>
        <v>1092.0795508313413</v>
      </c>
    </row>
    <row r="84" spans="1:9" x14ac:dyDescent="0.25">
      <c r="A84" s="24" t="s">
        <v>8</v>
      </c>
      <c r="B84" s="11">
        <v>218262.57937507163</v>
      </c>
      <c r="D84" t="str">
        <f t="shared" si="1"/>
        <v>DCYCLE SA</v>
      </c>
      <c r="E84" s="11">
        <f>GETPIVOTDATA("CO2eq(KG)",$A$78,"company_name","DCYCLE SA")</f>
        <v>218262.57937507163</v>
      </c>
      <c r="F84">
        <v>9.6300000000000008</v>
      </c>
      <c r="G84">
        <v>150</v>
      </c>
      <c r="H84" s="11">
        <f t="shared" si="0"/>
        <v>22664.857671346999</v>
      </c>
      <c r="I84" s="11">
        <f t="shared" si="2"/>
        <v>1455.0838625004776</v>
      </c>
    </row>
    <row r="85" spans="1:9" x14ac:dyDescent="0.25">
      <c r="A85" s="24" t="s">
        <v>19</v>
      </c>
      <c r="B85" s="11">
        <v>17996.573320492924</v>
      </c>
      <c r="D85" t="str">
        <f t="shared" si="1"/>
        <v>Dcycle SIA</v>
      </c>
      <c r="E85" s="11">
        <f>GETPIVOTDATA("CO2eq(KG)",$A$78,"company_name","Dcycle SIA")</f>
        <v>17996.573320492924</v>
      </c>
      <c r="F85">
        <v>12.83</v>
      </c>
      <c r="G85">
        <v>145</v>
      </c>
      <c r="H85" s="11">
        <f t="shared" si="0"/>
        <v>1402.6947249020207</v>
      </c>
      <c r="I85" s="11">
        <f t="shared" si="2"/>
        <v>124.11429876202017</v>
      </c>
    </row>
    <row r="86" spans="1:9" x14ac:dyDescent="0.25">
      <c r="A86" s="24" t="s">
        <v>18</v>
      </c>
      <c r="B86" s="11">
        <v>61094.313276214161</v>
      </c>
      <c r="D86" t="str">
        <f t="shared" si="1"/>
        <v>Dcycle SpA Italy</v>
      </c>
      <c r="E86" s="11">
        <f>GETPIVOTDATA("CO2eq(KG)",$A$78,"company_name","Dcycle SpA Italy")</f>
        <v>61094.313276214161</v>
      </c>
      <c r="F86">
        <v>27.5</v>
      </c>
      <c r="G86">
        <v>99</v>
      </c>
      <c r="H86" s="11">
        <f t="shared" si="0"/>
        <v>2221.6113918623332</v>
      </c>
      <c r="I86" s="11">
        <f t="shared" si="2"/>
        <v>617.11427551731481</v>
      </c>
    </row>
    <row r="87" spans="1:9" x14ac:dyDescent="0.25">
      <c r="A87" s="24" t="s">
        <v>15</v>
      </c>
      <c r="B87" s="11">
        <v>4729.3975807812049</v>
      </c>
      <c r="D87" t="str">
        <f t="shared" si="1"/>
        <v>Dcycle USA Inc</v>
      </c>
      <c r="E87" s="11">
        <f>GETPIVOTDATA("CO2eq(KG)",$A$78,"company_name","Dcycle USA Inc")</f>
        <v>4729.3975807812049</v>
      </c>
      <c r="F87">
        <v>38.5</v>
      </c>
      <c r="G87">
        <v>130</v>
      </c>
      <c r="H87" s="11">
        <f t="shared" si="0"/>
        <v>122.84149560470662</v>
      </c>
      <c r="I87" s="11">
        <f t="shared" si="2"/>
        <v>36.37998139062465</v>
      </c>
    </row>
    <row r="88" spans="1:9" x14ac:dyDescent="0.25">
      <c r="A88" s="24" t="s">
        <v>234</v>
      </c>
      <c r="B88" s="11">
        <v>360494.1389656614</v>
      </c>
    </row>
    <row r="95" spans="1:9" x14ac:dyDescent="0.25">
      <c r="A95" s="23" t="s">
        <v>235</v>
      </c>
      <c r="B95" s="23" t="s">
        <v>236</v>
      </c>
    </row>
    <row r="96" spans="1:9" x14ac:dyDescent="0.25">
      <c r="A96" s="23" t="s">
        <v>233</v>
      </c>
      <c r="B96" t="s">
        <v>128</v>
      </c>
      <c r="C96" t="s">
        <v>140</v>
      </c>
      <c r="D96" t="s">
        <v>237</v>
      </c>
      <c r="E96" t="s">
        <v>130</v>
      </c>
      <c r="F96" t="s">
        <v>234</v>
      </c>
    </row>
    <row r="97" spans="1:6" x14ac:dyDescent="0.25">
      <c r="A97" s="24" t="s">
        <v>127</v>
      </c>
      <c r="B97" s="75">
        <v>14924.325378373111</v>
      </c>
      <c r="C97" s="75"/>
      <c r="D97" s="75"/>
      <c r="E97" s="75">
        <v>43.504350435043499</v>
      </c>
      <c r="F97" s="75">
        <v>14967.829728808154</v>
      </c>
    </row>
    <row r="98" spans="1:6" x14ac:dyDescent="0.25">
      <c r="A98" s="24" t="s">
        <v>214</v>
      </c>
      <c r="B98" s="75">
        <v>551.69724151379239</v>
      </c>
      <c r="C98" s="75"/>
      <c r="D98" s="75"/>
      <c r="E98" s="75">
        <v>115.70057005700568</v>
      </c>
      <c r="F98" s="75">
        <v>667.39781157079801</v>
      </c>
    </row>
    <row r="99" spans="1:6" x14ac:dyDescent="0.25">
      <c r="A99" s="24" t="s">
        <v>48</v>
      </c>
      <c r="B99" s="75">
        <v>2642.8367858160709</v>
      </c>
      <c r="C99" s="75"/>
      <c r="D99" s="75"/>
      <c r="E99" s="75">
        <v>44.763778610921094</v>
      </c>
      <c r="F99" s="75">
        <v>2687.6005644269922</v>
      </c>
    </row>
    <row r="100" spans="1:6" x14ac:dyDescent="0.25">
      <c r="A100" s="24" t="s">
        <v>53</v>
      </c>
      <c r="B100" s="75">
        <v>679.64660176699124</v>
      </c>
      <c r="C100" s="75"/>
      <c r="D100" s="75">
        <v>228.31199999999993</v>
      </c>
      <c r="E100" s="75">
        <v>21.902190219021904</v>
      </c>
      <c r="F100" s="75">
        <v>929.86079198601306</v>
      </c>
    </row>
    <row r="101" spans="1:6" x14ac:dyDescent="0.25">
      <c r="A101" s="24" t="s">
        <v>169</v>
      </c>
      <c r="B101" s="75"/>
      <c r="C101" s="75"/>
      <c r="D101" s="75"/>
      <c r="E101" s="75">
        <v>8.7008700870087008</v>
      </c>
      <c r="F101" s="75">
        <v>8.7008700870087008</v>
      </c>
    </row>
    <row r="102" spans="1:6" x14ac:dyDescent="0.25">
      <c r="A102" s="24" t="s">
        <v>10</v>
      </c>
      <c r="B102" s="75">
        <v>17306.313468432658</v>
      </c>
      <c r="C102" s="75"/>
      <c r="D102" s="75">
        <v>1646.04</v>
      </c>
      <c r="E102" s="75">
        <v>95.667566756675669</v>
      </c>
      <c r="F102" s="75">
        <v>19048.021035189333</v>
      </c>
    </row>
    <row r="103" spans="1:6" x14ac:dyDescent="0.25">
      <c r="A103" s="24" t="s">
        <v>14</v>
      </c>
      <c r="B103" s="75">
        <v>2974.7056264718681</v>
      </c>
      <c r="C103" s="75"/>
      <c r="D103" s="75"/>
      <c r="E103" s="75"/>
      <c r="F103" s="75">
        <v>2974.7056264718681</v>
      </c>
    </row>
    <row r="104" spans="1:6" x14ac:dyDescent="0.25">
      <c r="A104" s="24" t="s">
        <v>17</v>
      </c>
      <c r="B104" s="75">
        <v>22781.556092219544</v>
      </c>
      <c r="C104" s="75">
        <v>8230.2026517425966</v>
      </c>
      <c r="D104" s="75">
        <v>1652.8180000000002</v>
      </c>
      <c r="E104" s="75">
        <v>97.809780978097805</v>
      </c>
      <c r="F104" s="75">
        <v>32762.386524940241</v>
      </c>
    </row>
    <row r="105" spans="1:6" x14ac:dyDescent="0.25">
      <c r="A105" s="24" t="s">
        <v>19</v>
      </c>
      <c r="B105" s="75">
        <v>5214.5739271303646</v>
      </c>
      <c r="C105" s="75">
        <v>12727.663959819209</v>
      </c>
      <c r="D105" s="75"/>
      <c r="E105" s="75">
        <v>54.335433543354334</v>
      </c>
      <c r="F105" s="75">
        <v>17996.573320492927</v>
      </c>
    </row>
    <row r="106" spans="1:6" x14ac:dyDescent="0.25">
      <c r="A106" s="24" t="s">
        <v>18</v>
      </c>
      <c r="B106" s="75">
        <v>35617.932410337955</v>
      </c>
      <c r="C106" s="75"/>
      <c r="D106" s="75">
        <v>1378.4399999999998</v>
      </c>
      <c r="E106" s="75">
        <v>23430.543054305428</v>
      </c>
      <c r="F106" s="75">
        <v>60426.915464643389</v>
      </c>
    </row>
    <row r="107" spans="1:6" x14ac:dyDescent="0.25">
      <c r="A107" s="24" t="s">
        <v>15</v>
      </c>
      <c r="B107" s="75">
        <v>3746.5582672086639</v>
      </c>
      <c r="C107" s="75">
        <v>982.83931357254301</v>
      </c>
      <c r="D107" s="75"/>
      <c r="E107" s="75"/>
      <c r="F107" s="75">
        <v>4729.3975807812067</v>
      </c>
    </row>
    <row r="108" spans="1:6" x14ac:dyDescent="0.25">
      <c r="A108" s="24" t="s">
        <v>80</v>
      </c>
      <c r="B108" s="75">
        <v>118371.7791411043</v>
      </c>
      <c r="C108" s="75"/>
      <c r="D108" s="75">
        <v>4767.3599999999997</v>
      </c>
      <c r="E108" s="75">
        <v>362.44854485448536</v>
      </c>
      <c r="F108" s="75">
        <v>123501.58768595879</v>
      </c>
    </row>
    <row r="109" spans="1:6" x14ac:dyDescent="0.25">
      <c r="A109" s="24" t="s">
        <v>139</v>
      </c>
      <c r="B109" s="75">
        <v>70224.743876280627</v>
      </c>
      <c r="C109" s="75">
        <v>4142.1517577048271</v>
      </c>
      <c r="D109" s="75"/>
      <c r="E109" s="75">
        <v>111.9111911191119</v>
      </c>
      <c r="F109" s="75">
        <v>74478.806825104562</v>
      </c>
    </row>
    <row r="110" spans="1:6" x14ac:dyDescent="0.25">
      <c r="A110" s="24" t="s">
        <v>160</v>
      </c>
      <c r="B110" s="75">
        <v>5312.3839380803111</v>
      </c>
      <c r="C110" s="75"/>
      <c r="D110" s="75"/>
      <c r="E110" s="75">
        <v>1.9711971197119711</v>
      </c>
      <c r="F110" s="75">
        <v>5314.3551352000231</v>
      </c>
    </row>
    <row r="111" spans="1:6" x14ac:dyDescent="0.25">
      <c r="A111" s="24" t="s">
        <v>234</v>
      </c>
      <c r="B111" s="75">
        <v>300349.05275473627</v>
      </c>
      <c r="C111" s="75">
        <v>26082.857682839174</v>
      </c>
      <c r="D111" s="75">
        <v>9672.9699999999993</v>
      </c>
      <c r="E111" s="75">
        <v>24389.258528085862</v>
      </c>
      <c r="F111" s="75">
        <v>360494.13896566129</v>
      </c>
    </row>
    <row r="118" spans="1:6" x14ac:dyDescent="0.25">
      <c r="A118" s="23" t="s">
        <v>226</v>
      </c>
      <c r="B118" t="s">
        <v>128</v>
      </c>
      <c r="E118" s="23" t="s">
        <v>226</v>
      </c>
      <c r="F118" t="s">
        <v>237</v>
      </c>
    </row>
    <row r="120" spans="1:6" x14ac:dyDescent="0.25">
      <c r="A120" t="s">
        <v>249</v>
      </c>
      <c r="E120" t="s">
        <v>249</v>
      </c>
    </row>
    <row r="121" spans="1:6" x14ac:dyDescent="0.25">
      <c r="A121" s="11">
        <v>2002337.0299999991</v>
      </c>
      <c r="E121" s="11">
        <v>241824.25</v>
      </c>
    </row>
    <row r="123" spans="1:6" x14ac:dyDescent="0.25">
      <c r="A123" s="23" t="s">
        <v>226</v>
      </c>
      <c r="B123" t="s">
        <v>140</v>
      </c>
      <c r="E123" s="23" t="s">
        <v>226</v>
      </c>
      <c r="F123" t="s">
        <v>130</v>
      </c>
    </row>
    <row r="125" spans="1:6" x14ac:dyDescent="0.25">
      <c r="A125" t="s">
        <v>249</v>
      </c>
      <c r="E125" t="s">
        <v>249</v>
      </c>
    </row>
    <row r="126" spans="1:6" x14ac:dyDescent="0.25">
      <c r="A126" s="11">
        <v>15314.089329392536</v>
      </c>
      <c r="E126" s="11">
        <v>81289.398674110213</v>
      </c>
    </row>
    <row r="133" spans="1:1" x14ac:dyDescent="0.25">
      <c r="A133" t="s">
        <v>235</v>
      </c>
    </row>
    <row r="134" spans="1:1" x14ac:dyDescent="0.25">
      <c r="A134" s="11">
        <v>360494.13896566129</v>
      </c>
    </row>
  </sheetData>
  <conditionalFormatting sqref="H79:H87">
    <cfRule type="colorScale" priority="2">
      <colorScale>
        <cfvo type="min"/>
        <cfvo type="percentile" val="50"/>
        <cfvo type="max"/>
        <color rgb="FF63BE7B"/>
        <color rgb="FFFFEB84"/>
        <color rgb="FFF8696B"/>
      </colorScale>
    </cfRule>
  </conditionalFormatting>
  <conditionalFormatting sqref="I79:I87">
    <cfRule type="colorScale" priority="1">
      <colorScale>
        <cfvo type="min"/>
        <cfvo type="percentile" val="50"/>
        <cfvo type="max"/>
        <color rgb="FF63BE7B"/>
        <color rgb="FFFFEB84"/>
        <color rgb="FFF8696B"/>
      </colorScale>
    </cfRule>
  </conditionalFormatting>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3958-1DB6-4A7B-BDED-52A07A5ACC96}">
  <dimension ref="S49:X58"/>
  <sheetViews>
    <sheetView tabSelected="1" zoomScale="43" zoomScaleNormal="44" workbookViewId="0">
      <selection activeCell="B12" sqref="B12"/>
    </sheetView>
  </sheetViews>
  <sheetFormatPr defaultRowHeight="12.5" x14ac:dyDescent="0.25"/>
  <cols>
    <col min="1" max="16" width="8.7265625" style="52"/>
    <col min="17" max="17" width="8.7265625" style="52" customWidth="1"/>
    <col min="18" max="18" width="14.90625" style="52" customWidth="1"/>
    <col min="19" max="19" width="38.453125" style="52" bestFit="1" customWidth="1"/>
    <col min="20" max="20" width="18.26953125" style="52" bestFit="1" customWidth="1"/>
    <col min="21" max="21" width="21.1796875" style="52" bestFit="1" customWidth="1"/>
    <col min="22" max="22" width="17.54296875" style="52" bestFit="1" customWidth="1"/>
    <col min="23" max="23" width="15.26953125" style="52" bestFit="1" customWidth="1"/>
    <col min="24" max="24" width="22.26953125" style="52" bestFit="1" customWidth="1"/>
    <col min="25" max="25" width="17.453125" style="52" customWidth="1"/>
    <col min="26" max="26" width="15.1796875" style="52" bestFit="1" customWidth="1"/>
    <col min="27" max="27" width="12.453125" style="52" bestFit="1" customWidth="1"/>
    <col min="28" max="28" width="8.36328125" style="52" bestFit="1" customWidth="1"/>
    <col min="29" max="29" width="15.90625" style="52" bestFit="1" customWidth="1"/>
    <col min="30" max="16384" width="8.7265625" style="52"/>
  </cols>
  <sheetData>
    <row r="49" spans="19:24" ht="21.5" x14ac:dyDescent="0.45">
      <c r="S49" s="53" t="s">
        <v>243</v>
      </c>
      <c r="T49" s="54" t="s">
        <v>245</v>
      </c>
      <c r="U49" s="54" t="s">
        <v>283</v>
      </c>
      <c r="V49" s="54" t="s">
        <v>280</v>
      </c>
      <c r="W49" s="55" t="s">
        <v>284</v>
      </c>
      <c r="X49" s="56" t="s">
        <v>282</v>
      </c>
    </row>
    <row r="50" spans="19:24" ht="21.5" x14ac:dyDescent="0.45">
      <c r="S50" s="57" t="str">
        <f>'Tablas dinamicas'!D79</f>
        <v>Dcycle Andina SAS</v>
      </c>
      <c r="T50" s="58">
        <f>'Tablas dinamicas'!E79</f>
        <v>3617.4613564130059</v>
      </c>
      <c r="U50" s="59" cm="1">
        <f t="array" ref="U50:U58">VLOOKUP(S50:S58,Table3[[#All],[Company_name]:[Turnover M€]],4,FALSE)</f>
        <v>12.83</v>
      </c>
      <c r="V50" s="59" cm="1">
        <f t="array" ref="V50:V58">VLOOKUP(S50:S58,Table3[[#All],[Company_name]:[Employee]],3,FALSE)</f>
        <v>20</v>
      </c>
      <c r="W50" s="60">
        <f t="shared" ref="W50:W58" si="0">T50/U50</f>
        <v>281.95334032837144</v>
      </c>
      <c r="X50" s="61">
        <f>T50/V50</f>
        <v>180.87306782065031</v>
      </c>
    </row>
    <row r="51" spans="19:24" ht="21.5" x14ac:dyDescent="0.45">
      <c r="S51" s="57" t="str">
        <f>'Tablas dinamicas'!D80</f>
        <v>Dcycle Deutschland  GmbH</v>
      </c>
      <c r="T51" s="58">
        <f>'Tablas dinamicas'!E80</f>
        <v>8.7008700870087008</v>
      </c>
      <c r="U51" s="57">
        <v>19.25</v>
      </c>
      <c r="V51" s="57">
        <v>30</v>
      </c>
      <c r="W51" s="62">
        <f t="shared" si="0"/>
        <v>0.45199325127317924</v>
      </c>
      <c r="X51" s="61">
        <f t="shared" ref="X51:X58" si="1">T51/V51</f>
        <v>0.29002900290029004</v>
      </c>
    </row>
    <row r="52" spans="19:24" ht="21.5" x14ac:dyDescent="0.45">
      <c r="S52" s="57" t="str">
        <f>'Tablas dinamicas'!D81</f>
        <v>Dcycle Factory SL</v>
      </c>
      <c r="T52" s="58">
        <f>'Tablas dinamicas'!E81</f>
        <v>19048.021035189333</v>
      </c>
      <c r="U52" s="57">
        <v>14.81</v>
      </c>
      <c r="V52" s="57">
        <v>100</v>
      </c>
      <c r="W52" s="62">
        <f t="shared" si="0"/>
        <v>1286.1594216873284</v>
      </c>
      <c r="X52" s="61">
        <f t="shared" si="1"/>
        <v>190.48021035189333</v>
      </c>
    </row>
    <row r="53" spans="19:24" ht="21.5" x14ac:dyDescent="0.45">
      <c r="S53" s="57" t="str">
        <f>'Tablas dinamicas'!D82</f>
        <v>Dcycle France SARL</v>
      </c>
      <c r="T53" s="58">
        <f>'Tablas dinamicas'!E82</f>
        <v>2974.7056264718681</v>
      </c>
      <c r="U53" s="57">
        <v>38.5</v>
      </c>
      <c r="V53" s="57">
        <v>200</v>
      </c>
      <c r="W53" s="62">
        <f t="shared" si="0"/>
        <v>77.265081207061513</v>
      </c>
      <c r="X53" s="61">
        <f t="shared" si="1"/>
        <v>14.87352813235934</v>
      </c>
    </row>
    <row r="54" spans="19:24" ht="21.5" x14ac:dyDescent="0.45">
      <c r="S54" s="57" t="str">
        <f>'Tablas dinamicas'!D83</f>
        <v>Dcycle Ltd</v>
      </c>
      <c r="T54" s="58">
        <f>'Tablas dinamicas'!E83</f>
        <v>32762.386524940237</v>
      </c>
      <c r="U54" s="57">
        <v>19.25</v>
      </c>
      <c r="V54" s="57">
        <v>30</v>
      </c>
      <c r="W54" s="62">
        <f t="shared" si="0"/>
        <v>1701.9421571397527</v>
      </c>
      <c r="X54" s="61">
        <f t="shared" si="1"/>
        <v>1092.0795508313413</v>
      </c>
    </row>
    <row r="55" spans="19:24" ht="21.5" x14ac:dyDescent="0.45">
      <c r="S55" s="57" t="str">
        <f>'Tablas dinamicas'!D84</f>
        <v>DCYCLE SA</v>
      </c>
      <c r="T55" s="58">
        <f>'Tablas dinamicas'!E84</f>
        <v>218262.57937507163</v>
      </c>
      <c r="U55" s="57">
        <v>9.6300000000000008</v>
      </c>
      <c r="V55" s="57">
        <v>150</v>
      </c>
      <c r="W55" s="62">
        <f t="shared" si="0"/>
        <v>22664.857671346999</v>
      </c>
      <c r="X55" s="61">
        <f t="shared" si="1"/>
        <v>1455.0838625004776</v>
      </c>
    </row>
    <row r="56" spans="19:24" ht="21.5" x14ac:dyDescent="0.45">
      <c r="S56" s="57" t="str">
        <f>'Tablas dinamicas'!D85</f>
        <v>Dcycle SIA</v>
      </c>
      <c r="T56" s="58">
        <f>'Tablas dinamicas'!E85</f>
        <v>17996.573320492924</v>
      </c>
      <c r="U56" s="57">
        <v>12.83</v>
      </c>
      <c r="V56" s="57">
        <v>145</v>
      </c>
      <c r="W56" s="62">
        <f t="shared" si="0"/>
        <v>1402.6947249020207</v>
      </c>
      <c r="X56" s="61">
        <f t="shared" si="1"/>
        <v>124.11429876202017</v>
      </c>
    </row>
    <row r="57" spans="19:24" ht="21.5" x14ac:dyDescent="0.45">
      <c r="S57" s="57" t="str">
        <f>'Tablas dinamicas'!D86</f>
        <v>Dcycle SpA Italy</v>
      </c>
      <c r="T57" s="58">
        <f>'Tablas dinamicas'!E86</f>
        <v>61094.313276214161</v>
      </c>
      <c r="U57" s="57">
        <v>27.5</v>
      </c>
      <c r="V57" s="57">
        <v>99</v>
      </c>
      <c r="W57" s="62">
        <f t="shared" si="0"/>
        <v>2221.6113918623332</v>
      </c>
      <c r="X57" s="61">
        <f t="shared" si="1"/>
        <v>617.11427551731481</v>
      </c>
    </row>
    <row r="58" spans="19:24" ht="21.5" x14ac:dyDescent="0.45">
      <c r="S58" s="63" t="str">
        <f>'Tablas dinamicas'!D87</f>
        <v>Dcycle USA Inc</v>
      </c>
      <c r="T58" s="64">
        <f>'Tablas dinamicas'!E87</f>
        <v>4729.3975807812049</v>
      </c>
      <c r="U58" s="63">
        <v>38.5</v>
      </c>
      <c r="V58" s="63">
        <v>130</v>
      </c>
      <c r="W58" s="65">
        <f t="shared" si="0"/>
        <v>122.84149560470662</v>
      </c>
      <c r="X58" s="66">
        <f t="shared" si="1"/>
        <v>36.37998139062465</v>
      </c>
    </row>
  </sheetData>
  <conditionalFormatting sqref="W50:W58">
    <cfRule type="colorScale" priority="2">
      <colorScale>
        <cfvo type="min"/>
        <cfvo type="percentile" val="50"/>
        <cfvo type="max"/>
        <color rgb="FF63BE7B"/>
        <color rgb="FFFFEB84"/>
        <color rgb="FFF8696B"/>
      </colorScale>
    </cfRule>
  </conditionalFormatting>
  <conditionalFormatting sqref="X50:X58">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About_Group</vt:lpstr>
      <vt:lpstr>data_waste</vt:lpstr>
      <vt:lpstr>data_invoices</vt:lpstr>
      <vt:lpstr>Combinadas</vt:lpstr>
      <vt:lpstr>KPIs</vt:lpstr>
      <vt:lpstr>Tablas dinamicas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Perillan</dc:creator>
  <cp:lastModifiedBy>Elena Perillan</cp:lastModifiedBy>
  <dcterms:created xsi:type="dcterms:W3CDTF">2024-07-31T14:08:53Z</dcterms:created>
  <dcterms:modified xsi:type="dcterms:W3CDTF">2024-08-06T17:29:23Z</dcterms:modified>
</cp:coreProperties>
</file>