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2.xml" ContentType="application/vnd.ms-excel.documenttask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ocumenttasks/documenttask3.xml" ContentType="application/vnd.ms-excel.documenttask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ocumenttasks/documenttask4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/>
  <mc:AlternateContent xmlns:mc="http://schemas.openxmlformats.org/markup-compatibility/2006">
    <mc:Choice Requires="x15">
      <x15ac:absPath xmlns:x15ac="http://schemas.microsoft.com/office/spreadsheetml/2010/11/ac" url="/Users/marsian/PhD_LifeSciRes/Sharks/Expe_2/"/>
    </mc:Choice>
  </mc:AlternateContent>
  <xr:revisionPtr revIDLastSave="0" documentId="13_ncr:1_{35DCEA7D-5975-3C49-AFA9-E124C6ECCA29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NK-MULT" sheetId="1" r:id="rId1"/>
    <sheet name="nk-rma rae" sheetId="2" r:id="rId2"/>
    <sheet name="First contact time-MULT1" sheetId="3" r:id="rId3"/>
    <sheet name="First contact time RAE" sheetId="4" r:id="rId4"/>
    <sheet name="WT NK-RMA" sheetId="5" r:id="rId5"/>
    <sheet name="NKG2D KO vs RAE-1" sheetId="6" r:id="rId6"/>
    <sheet name="Killing classification" sheetId="10" r:id="rId7"/>
    <sheet name="4h" sheetId="9" r:id="rId8"/>
    <sheet name="NKG2D KO+RMA" sheetId="8" r:id="rId9"/>
    <sheet name="NKG2D KO vs MULT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3" l="1"/>
  <c r="A18" i="1"/>
  <c r="E27" i="2"/>
  <c r="D27" i="2"/>
  <c r="A14" i="8"/>
  <c r="B14" i="8"/>
  <c r="B13" i="6"/>
  <c r="A13" i="6"/>
  <c r="M6" i="9"/>
  <c r="L6" i="9"/>
  <c r="K15" i="9"/>
  <c r="M5" i="9"/>
  <c r="L5" i="9"/>
  <c r="G74" i="1"/>
  <c r="F74" i="1"/>
  <c r="F73" i="1"/>
  <c r="F72" i="1"/>
  <c r="N6" i="9"/>
  <c r="M11" i="9"/>
  <c r="L11" i="9"/>
  <c r="M12" i="9"/>
  <c r="L12" i="9"/>
  <c r="B12" i="7"/>
  <c r="A12" i="7"/>
  <c r="B7" i="9"/>
  <c r="A7" i="9"/>
  <c r="K13" i="8"/>
  <c r="J13" i="8"/>
  <c r="F13" i="8"/>
  <c r="E13" i="8"/>
  <c r="E13" i="6"/>
  <c r="D13" i="6"/>
  <c r="E12" i="7"/>
  <c r="D12" i="7"/>
  <c r="E14" i="6"/>
  <c r="D14" i="6"/>
  <c r="H13" i="7"/>
  <c r="I82" i="1"/>
  <c r="F82" i="1"/>
  <c r="E82" i="1"/>
  <c r="D82" i="1"/>
  <c r="E88" i="2"/>
  <c r="R86" i="2"/>
  <c r="J5" i="5"/>
  <c r="I5" i="5"/>
  <c r="D18" i="1"/>
  <c r="C18" i="1"/>
  <c r="B18" i="1"/>
  <c r="D22" i="2"/>
  <c r="C22" i="2"/>
  <c r="B22" i="2"/>
  <c r="A22" i="2"/>
  <c r="I88" i="2"/>
  <c r="H88" i="2"/>
  <c r="G88" i="2"/>
  <c r="F88" i="2"/>
  <c r="H82" i="1"/>
  <c r="G82" i="1"/>
  <c r="I81" i="1"/>
  <c r="J87" i="2"/>
  <c r="U22" i="8"/>
  <c r="T22" i="8"/>
  <c r="S22" i="8"/>
  <c r="R22" i="8"/>
  <c r="V22" i="8" s="1"/>
  <c r="V19" i="7"/>
  <c r="U19" i="7"/>
  <c r="S19" i="7"/>
  <c r="U21" i="6"/>
  <c r="T21" i="6"/>
  <c r="S21" i="6"/>
  <c r="R21" i="6"/>
  <c r="P21" i="5"/>
  <c r="O21" i="5"/>
  <c r="N21" i="5"/>
  <c r="M21" i="5"/>
  <c r="A15" i="5"/>
  <c r="F22" i="8"/>
  <c r="E22" i="8"/>
  <c r="D22" i="8"/>
  <c r="D18" i="7"/>
  <c r="E19" i="6"/>
  <c r="D22" i="6"/>
  <c r="E16" i="5"/>
  <c r="D16" i="5"/>
  <c r="E13" i="5"/>
  <c r="D13" i="5"/>
  <c r="N6" i="6"/>
  <c r="M6" i="6"/>
  <c r="B7" i="6"/>
  <c r="A7" i="6"/>
  <c r="D26" i="8"/>
  <c r="D24" i="8"/>
  <c r="H29" i="7"/>
  <c r="H25" i="7"/>
  <c r="H24" i="7"/>
  <c r="H21" i="7"/>
  <c r="H20" i="7"/>
  <c r="H37" i="6"/>
  <c r="H30" i="6"/>
  <c r="H20" i="6"/>
  <c r="B74" i="1"/>
  <c r="B73" i="1"/>
  <c r="B72" i="1"/>
  <c r="E81" i="2"/>
  <c r="E80" i="2"/>
  <c r="E79" i="2"/>
  <c r="B69" i="1"/>
  <c r="B67" i="1"/>
  <c r="B66" i="1"/>
  <c r="B65" i="1"/>
  <c r="E75" i="2"/>
  <c r="E73" i="2"/>
  <c r="E72" i="2"/>
  <c r="E71" i="2"/>
  <c r="H19" i="5"/>
  <c r="H16" i="5"/>
  <c r="H13" i="5"/>
  <c r="D47" i="4"/>
  <c r="D6" i="4"/>
  <c r="D5" i="4"/>
  <c r="D3" i="4"/>
  <c r="D68" i="4"/>
  <c r="D64" i="4"/>
  <c r="D59" i="4"/>
  <c r="C50" i="3"/>
  <c r="C41" i="3"/>
  <c r="C24" i="3"/>
  <c r="C4" i="3"/>
  <c r="K12" i="1"/>
  <c r="J12" i="1"/>
  <c r="I12" i="1"/>
  <c r="H12" i="1"/>
  <c r="J16" i="2"/>
  <c r="I16" i="2"/>
  <c r="H16" i="2"/>
  <c r="F12" i="1"/>
  <c r="E12" i="1"/>
  <c r="K11" i="1"/>
  <c r="J11" i="1"/>
  <c r="I11" i="1"/>
  <c r="H11" i="1"/>
  <c r="F11" i="1"/>
  <c r="E11" i="1"/>
  <c r="C11" i="1"/>
  <c r="J14" i="2"/>
  <c r="I14" i="2"/>
  <c r="H14" i="2"/>
  <c r="D14" i="2"/>
  <c r="F14" i="2"/>
  <c r="E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tc={310F133E-D325-47F3-A7F2-5579693BBC22}</author>
    <author>tc={2C8314B7-E150-4898-88E3-7C0D0DD1295C}</author>
    <author>tc={F419AEBC-214A-494F-A52B-5A64D5B6ABAF}</author>
  </authors>
  <commentList>
    <comment ref="O23" authorId="0" shapeId="0" xr:uid="{310F133E-D325-47F3-A7F2-5579693BBC22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@Ozcan, Oyku can you please add here the figure from your thesis that correspond to these data</t>
      </text>
    </comment>
    <comment ref="A27" authorId="1" shapeId="0" xr:uid="{2C8314B7-E150-4898-88E3-7C0D0DD129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@Ozcan, Oyku line 26 : seems that contact time for kill 2 is missing. </t>
      </text>
    </comment>
    <comment ref="A62" authorId="2" shapeId="0" xr:uid="{F419AEBC-214A-494F-A52B-5A64D5B6ABAF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you please further detail what spontaneous correspond to? is that sequential kill?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tc={5B69C46A-B86A-4F67-89A6-95CFE007386C}</author>
  </authors>
  <commentList>
    <comment ref="C1" authorId="0" shapeId="0" xr:uid="{5B69C46A-B86A-4F67-89A6-95CFE007386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@Ozcan, Oyku from which experiment these data come from?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tc={2EFEEDBA-6A3F-4B8F-84CC-5FD0C4895F79}</author>
  </authors>
  <commentList>
    <comment ref="A8" authorId="0" shapeId="0" xr:uid="{2EFEEDBA-6A3F-4B8F-84CC-5FD0C4895F79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does that mean? sequential contact?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tc={314FEC15-A1F4-4AEC-9A3C-3D4DC6EDF3A6}</author>
  </authors>
  <commentList>
    <comment ref="C2" authorId="0" shapeId="0" xr:uid="{314FEC15-A1F4-4AEC-9A3C-3D4DC6EDF3A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@Ozcan, Oyku is that the summary of data  pooled  from 3 exp. ? could you please clarify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tc={37115BC9-65EA-4FF4-A274-8B81FACB2E74}</author>
  </authors>
  <commentList>
    <comment ref="A2" authorId="0" shapeId="0" xr:uid="{37115BC9-65EA-4FF4-A274-8B81FACB2E74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@Ozcan, Oyku please specify the date for the exp. these data come from</t>
      </text>
    </comment>
  </commentList>
</comments>
</file>

<file path=xl/sharedStrings.xml><?xml version="1.0" encoding="utf-8"?>
<sst xmlns="http://schemas.openxmlformats.org/spreadsheetml/2006/main" count="400" uniqueCount="164">
  <si>
    <t>First part of analysis</t>
  </si>
  <si>
    <t>Second part of analysis</t>
  </si>
  <si>
    <t>Third part of analysis</t>
  </si>
  <si>
    <t>experiment</t>
  </si>
  <si>
    <t>position  name</t>
  </si>
  <si>
    <t>NK cell number</t>
  </si>
  <si>
    <t>no kill</t>
  </si>
  <si>
    <t>kill</t>
  </si>
  <si>
    <t>Details</t>
  </si>
  <si>
    <t>80 more cells update from notebook</t>
  </si>
  <si>
    <t>60 cells</t>
  </si>
  <si>
    <t>1 kill</t>
  </si>
  <si>
    <t>2kills</t>
  </si>
  <si>
    <t>3kills</t>
  </si>
  <si>
    <t>4kills</t>
  </si>
  <si>
    <t>NK-mult P2</t>
  </si>
  <si>
    <t>Total 200</t>
  </si>
  <si>
    <t>NK mult</t>
  </si>
  <si>
    <t>Overall data</t>
  </si>
  <si>
    <t xml:space="preserve"> 12 hours</t>
  </si>
  <si>
    <t>TOTAL</t>
  </si>
  <si>
    <t>No kill</t>
  </si>
  <si>
    <t>multiple kill</t>
  </si>
  <si>
    <t>%</t>
  </si>
  <si>
    <t xml:space="preserve">cells </t>
  </si>
  <si>
    <t>70 cells</t>
  </si>
  <si>
    <t>36 minutes data</t>
  </si>
  <si>
    <t>4 hours</t>
  </si>
  <si>
    <t>No contact</t>
  </si>
  <si>
    <t>1 contact</t>
  </si>
  <si>
    <t>2 contacts</t>
  </si>
  <si>
    <t>3 contacts</t>
  </si>
  <si>
    <t>simult.</t>
  </si>
  <si>
    <t>contact</t>
  </si>
  <si>
    <t>no contact</t>
  </si>
  <si>
    <t>number</t>
  </si>
  <si>
    <t>21,5</t>
  </si>
  <si>
    <t>78,5</t>
  </si>
  <si>
    <t>Contact time until kill occurs</t>
  </si>
  <si>
    <t>Contact time tuntil kill occurs</t>
  </si>
  <si>
    <t>(NK cells only kill 1 target)</t>
  </si>
  <si>
    <t>(NK cells kill 2 target)</t>
  </si>
  <si>
    <t>(NK cells kill3 target)</t>
  </si>
  <si>
    <t>87,60,24</t>
  </si>
  <si>
    <t>183,81,81</t>
  </si>
  <si>
    <t>30,51</t>
  </si>
  <si>
    <t>36,48,12</t>
  </si>
  <si>
    <t>dies during 182 min of contact</t>
  </si>
  <si>
    <t>15,33</t>
  </si>
  <si>
    <t>21,30,30</t>
  </si>
  <si>
    <t>240,27</t>
  </si>
  <si>
    <t>84,51</t>
  </si>
  <si>
    <t>96,11</t>
  </si>
  <si>
    <t>9,45</t>
  </si>
  <si>
    <t>dies 165 min but still in contact</t>
  </si>
  <si>
    <t>or 519</t>
  </si>
  <si>
    <t>NK cell classification based on killing behaviour</t>
  </si>
  <si>
    <t>exhausted: kill the first target encounter, contact but not kill afterwards</t>
  </si>
  <si>
    <t>kill= kill all targets NK cell encountered</t>
  </si>
  <si>
    <t>spontenous=no clear killing order</t>
  </si>
  <si>
    <t>simultaneus=NK cells killed while contact with other targets</t>
  </si>
  <si>
    <t>exhausted= 4 NK cells</t>
  </si>
  <si>
    <t>kills=2 NK</t>
  </si>
  <si>
    <t>spon=36</t>
  </si>
  <si>
    <t>simu=23 out of all kills can be from any above.</t>
  </si>
  <si>
    <t>out of kill</t>
  </si>
  <si>
    <t>tOTAL CONTACT NUMBERS</t>
  </si>
  <si>
    <t>2 to 5</t>
  </si>
  <si>
    <t>6 to 10</t>
  </si>
  <si>
    <t>10+</t>
  </si>
  <si>
    <t>5+</t>
  </si>
  <si>
    <t>6+</t>
  </si>
  <si>
    <t>7+</t>
  </si>
  <si>
    <t>4+</t>
  </si>
  <si>
    <t>sİMULTANEOUS CONTACT</t>
  </si>
  <si>
    <t>4HOUR</t>
  </si>
  <si>
    <t>12-HOUR</t>
  </si>
  <si>
    <t>NK</t>
  </si>
  <si>
    <t>First part</t>
  </si>
  <si>
    <t>details</t>
  </si>
  <si>
    <t>2 kills</t>
  </si>
  <si>
    <t>3 kils</t>
  </si>
  <si>
    <t>26,4</t>
  </si>
  <si>
    <t>73,6</t>
  </si>
  <si>
    <t>NKrae p2</t>
  </si>
  <si>
    <t>nk-RAE1pos2</t>
  </si>
  <si>
    <t>NK rae</t>
  </si>
  <si>
    <t>total cells 204</t>
  </si>
  <si>
    <t>no contact excluded</t>
  </si>
  <si>
    <t>Overall Data for 200 cells</t>
  </si>
  <si>
    <t>out of contact</t>
  </si>
  <si>
    <t>nk rae p2</t>
  </si>
  <si>
    <t>NK RAE</t>
  </si>
  <si>
    <t>4 cells</t>
  </si>
  <si>
    <t>Total</t>
  </si>
  <si>
    <t>Multiple kills</t>
  </si>
  <si>
    <t>total cells=70</t>
  </si>
  <si>
    <t xml:space="preserve">total: </t>
  </si>
  <si>
    <t>150 cells</t>
  </si>
  <si>
    <t>270 , 57</t>
  </si>
  <si>
    <t>no detail</t>
  </si>
  <si>
    <t>but kills in 3</t>
  </si>
  <si>
    <t>15,??</t>
  </si>
  <si>
    <t>159,57</t>
  </si>
  <si>
    <t>dies 96 min</t>
  </si>
  <si>
    <t>exhausted= 7 NK cells</t>
  </si>
  <si>
    <t>kills=6 NK</t>
  </si>
  <si>
    <t>spon=26</t>
  </si>
  <si>
    <t>simu=14 out of all kills can be from any above.</t>
  </si>
  <si>
    <t xml:space="preserve"> </t>
  </si>
  <si>
    <t>total 39</t>
  </si>
  <si>
    <t>TOTAL CONTACT NUMBERS</t>
  </si>
  <si>
    <t>First contact time</t>
  </si>
  <si>
    <t>4 HOURSdata</t>
  </si>
  <si>
    <t>1 CONT</t>
  </si>
  <si>
    <t>MULTİ</t>
  </si>
  <si>
    <t>no</t>
  </si>
  <si>
    <t>Kill</t>
  </si>
  <si>
    <t>12 Hours data</t>
  </si>
  <si>
    <t>first contact</t>
  </si>
  <si>
    <t>total contact</t>
  </si>
  <si>
    <t>sim contact</t>
  </si>
  <si>
    <t>no simult. contact</t>
  </si>
  <si>
    <t>kill while simul. contact with other targets</t>
  </si>
  <si>
    <t xml:space="preserve">only 1 NK </t>
  </si>
  <si>
    <t>contact time till kill occurs</t>
  </si>
  <si>
    <t>percentage</t>
  </si>
  <si>
    <t>2 contact</t>
  </si>
  <si>
    <t>sim.</t>
  </si>
  <si>
    <t>Simultaneous contact</t>
  </si>
  <si>
    <t>no simul.</t>
  </si>
  <si>
    <t>1(this included in 2 contact)</t>
  </si>
  <si>
    <t>4h data</t>
  </si>
  <si>
    <t>contact out of sscfull contact</t>
  </si>
  <si>
    <t>out of all</t>
  </si>
  <si>
    <t>contact n</t>
  </si>
  <si>
    <t>out of succesful contact</t>
  </si>
  <si>
    <t>total contact number</t>
  </si>
  <si>
    <t>kill simult.</t>
  </si>
  <si>
    <t>12 hours</t>
  </si>
  <si>
    <t>MULT</t>
  </si>
  <si>
    <t>RAE</t>
  </si>
  <si>
    <t>No interaction</t>
  </si>
  <si>
    <t>Exhausted</t>
  </si>
  <si>
    <t>Stoch.</t>
  </si>
  <si>
    <t>out of succesful</t>
  </si>
  <si>
    <t>multiple</t>
  </si>
  <si>
    <t>RMA</t>
  </si>
  <si>
    <t>WT</t>
  </si>
  <si>
    <t>ko</t>
  </si>
  <si>
    <t>1 cont</t>
  </si>
  <si>
    <t>2 cont</t>
  </si>
  <si>
    <t>4 HOURS data</t>
  </si>
  <si>
    <t>21 cells</t>
  </si>
  <si>
    <t>all cells</t>
  </si>
  <si>
    <t>1 killl</t>
  </si>
  <si>
    <t>11+</t>
  </si>
  <si>
    <t>kill while contact one target</t>
  </si>
  <si>
    <t>8+</t>
  </si>
  <si>
    <t>simt</t>
  </si>
  <si>
    <t>total 40 cells</t>
  </si>
  <si>
    <t>% out of all</t>
  </si>
  <si>
    <t>kill out of contact</t>
  </si>
  <si>
    <t>1 nK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</si>
</sst>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3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2" fillId="0" borderId="4" xfId="0" applyFont="1" applyBorder="1"/>
    <xf numFmtId="0" fontId="2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0" fillId="4" borderId="0" xfId="0" applyFill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16" fontId="1" fillId="0" borderId="0" xfId="0" applyNumberFormat="1" applyFont="1"/>
    <xf numFmtId="0" fontId="0" fillId="5" borderId="0" xfId="0" applyFill="1"/>
    <xf numFmtId="0" fontId="7" fillId="0" borderId="0" xfId="0" applyFont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5" borderId="0" xfId="0" applyFont="1" applyFill="1"/>
    <xf numFmtId="16" fontId="1" fillId="5" borderId="0" xfId="0" applyNumberFormat="1" applyFont="1" applyFill="1"/>
    <xf numFmtId="0" fontId="0" fillId="9" borderId="0" xfId="0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9" borderId="2" xfId="0" applyFill="1" applyBorder="1"/>
    <xf numFmtId="0" fontId="0" fillId="0" borderId="5" xfId="0" applyBorder="1"/>
    <xf numFmtId="0" fontId="0" fillId="9" borderId="7" xfId="0" applyFill="1" applyBorder="1"/>
    <xf numFmtId="0" fontId="0" fillId="2" borderId="2" xfId="0" applyFill="1" applyBorder="1"/>
    <xf numFmtId="9" fontId="0" fillId="0" borderId="0" xfId="0" applyNumberFormat="1"/>
    <xf numFmtId="9" fontId="1" fillId="0" borderId="0" xfId="0" applyNumberFormat="1" applyFont="1"/>
    <xf numFmtId="0" fontId="0" fillId="9" borderId="1" xfId="0" applyFill="1" applyBorder="1"/>
    <xf numFmtId="0" fontId="0" fillId="9" borderId="3" xfId="0" applyFill="1" applyBorder="1"/>
    <xf numFmtId="0" fontId="0" fillId="9" borderId="4" xfId="0" applyFill="1" applyBorder="1"/>
    <xf numFmtId="0" fontId="1" fillId="9" borderId="0" xfId="0" applyFont="1" applyFill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8" fillId="10" borderId="4" xfId="0" applyFont="1" applyFill="1" applyBorder="1"/>
    <xf numFmtId="0" fontId="8" fillId="10" borderId="0" xfId="0" applyFont="1" applyFill="1"/>
    <xf numFmtId="0" fontId="8" fillId="10" borderId="5" xfId="0" applyFont="1" applyFill="1" applyBorder="1"/>
    <xf numFmtId="0" fontId="2" fillId="0" borderId="5" xfId="0" applyFont="1" applyBorder="1"/>
    <xf numFmtId="0" fontId="6" fillId="10" borderId="1" xfId="0" applyFont="1" applyFill="1" applyBorder="1"/>
    <xf numFmtId="0" fontId="6" fillId="10" borderId="2" xfId="0" applyFont="1" applyFill="1" applyBorder="1"/>
    <xf numFmtId="0" fontId="6" fillId="10" borderId="3" xfId="0" applyFont="1" applyFill="1" applyBorder="1"/>
    <xf numFmtId="0" fontId="6" fillId="10" borderId="4" xfId="0" applyFont="1" applyFill="1" applyBorder="1"/>
    <xf numFmtId="9" fontId="6" fillId="10" borderId="0" xfId="0" applyNumberFormat="1" applyFont="1" applyFill="1"/>
    <xf numFmtId="0" fontId="6" fillId="10" borderId="0" xfId="0" applyFont="1" applyFill="1"/>
    <xf numFmtId="0" fontId="6" fillId="10" borderId="5" xfId="0" applyFont="1" applyFill="1" applyBorder="1"/>
    <xf numFmtId="0" fontId="1" fillId="10" borderId="0" xfId="0" applyFont="1" applyFill="1"/>
    <xf numFmtId="0" fontId="6" fillId="10" borderId="6" xfId="0" applyFont="1" applyFill="1" applyBorder="1"/>
    <xf numFmtId="0" fontId="6" fillId="10" borderId="7" xfId="0" applyFont="1" applyFill="1" applyBorder="1"/>
    <xf numFmtId="0" fontId="6" fillId="10" borderId="8" xfId="0" applyFon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0" xfId="0" applyFill="1"/>
    <xf numFmtId="0" fontId="0" fillId="11" borderId="5" xfId="0" applyFill="1" applyBorder="1"/>
    <xf numFmtId="0" fontId="2" fillId="11" borderId="4" xfId="0" applyFont="1" applyFill="1" applyBorder="1"/>
    <xf numFmtId="0" fontId="2" fillId="11" borderId="0" xfId="0" applyFont="1" applyFill="1"/>
    <xf numFmtId="0" fontId="2" fillId="11" borderId="5" xfId="0" applyFont="1" applyFill="1" applyBorder="1"/>
    <xf numFmtId="9" fontId="0" fillId="11" borderId="4" xfId="0" applyNumberFormat="1" applyFill="1" applyBorder="1"/>
    <xf numFmtId="9" fontId="0" fillId="11" borderId="0" xfId="0" applyNumberFormat="1" applyFill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11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5" borderId="0" xfId="0" applyFont="1" applyFill="1"/>
    <xf numFmtId="0" fontId="0" fillId="5" borderId="4" xfId="0" applyFill="1" applyBorder="1"/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3" fontId="0" fillId="0" borderId="0" xfId="0" applyNumberFormat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ocumenttasks/documenttask1.xml><?xml version="1.0" encoding="utf-8"?>
<Tasks xmlns="http://schemas.microsoft.com/office/tasks/2019/documenttasks">
  <Task id="{01FF6799-3166-406C-8E0A-E36291AFC45E}">
    <Anchor>
      <Comment id="{2C8314B7-E150-4898-88E3-7C0D0DD1295C}"/>
    </Anchor>
    <History>
      <Event time="2025-10-17T16:19:42.19" id="{BF96F4A0-F625-4817-B45F-6DCEE671CE80}">
        <Attribution userId="S::nguerra@ic.ac.uk::ec3e417e-6af0-421f-b3fe-305acf425db2" userName="Guerra, Nadia" userProvider="AD"/>
        <Anchor>
          <Comment id="{2C8314B7-E150-4898-88E3-7C0D0DD1295C}"/>
        </Anchor>
        <Create/>
      </Event>
      <Event time="2025-10-17T16:19:42.19" id="{126548CB-9C9E-4E64-A7C3-D8F3B9D81381}">
        <Attribution userId="S::nguerra@ic.ac.uk::ec3e417e-6af0-421f-b3fe-305acf425db2" userName="Guerra, Nadia" userProvider="AD"/>
        <Anchor>
          <Comment id="{2C8314B7-E150-4898-88E3-7C0D0DD1295C}"/>
        </Anchor>
        <Assign userId="S::oo21@ic.ac.uk::ad92f68a-428c-4bc4-85f0-7cce116d7bd8" userName="Ozcan, Oyku" userProvider="AD"/>
      </Event>
      <Event time="2025-10-17T16:19:42.19" id="{B8A2BC4F-FF64-4999-804E-5052FFD0BDB2}">
        <Attribution userId="S::nguerra@ic.ac.uk::ec3e417e-6af0-421f-b3fe-305acf425db2" userName="Guerra, Nadia" userProvider="AD"/>
        <Anchor>
          <Comment id="{2C8314B7-E150-4898-88E3-7C0D0DD1295C}"/>
        </Anchor>
        <SetTitle title="@Ozcan, Oyku can you please clarify these data. : line 27 show 1 individual Nk cells that showed 3 kill over time - correct. but then line 26 shows contact time for kill 1 , kill3&amp;4 but not for kill2??"/>
      </Event>
    </History>
  </Task>
  <Task id="{8536A4D6-22EF-4521-891F-B3CC27410043}">
    <Anchor>
      <Comment id="{310F133E-D325-47F3-A7F2-5579693BBC22}"/>
    </Anchor>
    <History>
      <Event time="2025-10-17T16:16:33.20" id="{B829895F-606D-495A-885E-DB352F8EBE68}">
        <Attribution userId="S::nguerra@ic.ac.uk::ec3e417e-6af0-421f-b3fe-305acf425db2" userName="Guerra, Nadia" userProvider="AD"/>
        <Anchor>
          <Comment id="{310F133E-D325-47F3-A7F2-5579693BBC22}"/>
        </Anchor>
        <Create/>
      </Event>
      <Event time="2025-10-17T16:16:33.20" id="{C11A8CC0-5D0C-4B68-A573-8CEE5A5F75FC}">
        <Attribution userId="S::nguerra@ic.ac.uk::ec3e417e-6af0-421f-b3fe-305acf425db2" userName="Guerra, Nadia" userProvider="AD"/>
        <Anchor>
          <Comment id="{310F133E-D325-47F3-A7F2-5579693BBC22}"/>
        </Anchor>
        <Assign userId="S::oo21@ic.ac.uk::ad92f68a-428c-4bc4-85f0-7cce116d7bd8" userName="Ozcan, Oyku" userProvider="AD"/>
      </Event>
      <Event time="2025-10-17T16:16:33.20" id="{DC53D260-9C59-4976-9FF9-95833C429F59}">
        <Attribution userId="S::nguerra@ic.ac.uk::ec3e417e-6af0-421f-b3fe-305acf425db2" userName="Guerra, Nadia" userProvider="AD"/>
        <Anchor>
          <Comment id="{310F133E-D325-47F3-A7F2-5579693BBC22}"/>
        </Anchor>
        <SetTitle title="@Ozcan, Oyku can you please add here the figure for your thesis that showcase these data"/>
      </Event>
    </History>
  </Task>
</Tasks>
</file>

<file path=xl/documenttasks/documenttask2.xml><?xml version="1.0" encoding="utf-8"?>
<Tasks xmlns="http://schemas.microsoft.com/office/tasks/2019/documenttasks">
  <Task id="{853F1C9C-3EEA-48FB-80CF-1D5B71FE6E02}">
    <Anchor>
      <Comment id="{5B69C46A-B86A-4F67-89A6-95CFE007386C}"/>
    </Anchor>
    <History>
      <Event time="2025-10-17T16:20:51.49" id="{3279BBA3-DC22-4244-94E3-9ECA74210897}">
        <Attribution userId="S::nguerra@ic.ac.uk::ec3e417e-6af0-421f-b3fe-305acf425db2" userName="Guerra, Nadia" userProvider="AD"/>
        <Anchor>
          <Comment id="{5B69C46A-B86A-4F67-89A6-95CFE007386C}"/>
        </Anchor>
        <Create/>
      </Event>
      <Event time="2025-10-17T16:20:51.49" id="{03CEB8B2-2792-46C2-8555-A476D2BC19EA}">
        <Attribution userId="S::nguerra@ic.ac.uk::ec3e417e-6af0-421f-b3fe-305acf425db2" userName="Guerra, Nadia" userProvider="AD"/>
        <Anchor>
          <Comment id="{5B69C46A-B86A-4F67-89A6-95CFE007386C}"/>
        </Anchor>
        <Assign userId="S::oo21@ic.ac.uk::ad92f68a-428c-4bc4-85f0-7cce116d7bd8" userName="Ozcan, Oyku" userProvider="AD"/>
      </Event>
      <Event time="2025-10-17T16:20:51.49" id="{D833D4F0-0CF0-4CFB-8338-367B7037170A}">
        <Attribution userId="S::nguerra@ic.ac.uk::ec3e417e-6af0-421f-b3fe-305acf425db2" userName="Guerra, Nadia" userProvider="AD"/>
        <Anchor>
          <Comment id="{5B69C46A-B86A-4F67-89A6-95CFE007386C}"/>
        </Anchor>
        <SetTitle title="@Ozcan, Oyku for which experiment do these data come from?"/>
      </Event>
    </History>
  </Task>
</Tasks>
</file>

<file path=xl/documenttasks/documenttask3.xml><?xml version="1.0" encoding="utf-8"?>
<Tasks xmlns="http://schemas.microsoft.com/office/tasks/2019/documenttasks">
  <Task id="{2658B054-180F-445F-A6E4-D4C676032F54}">
    <Anchor>
      <Comment id="{314FEC15-A1F4-4AEC-9A3C-3D4DC6EDF3A6}"/>
    </Anchor>
    <History>
      <Event time="2025-10-17T16:21:45.34" id="{E52E00FB-2EFE-4AAF-8CD2-6D48DA3E8F05}">
        <Attribution userId="S::nguerra@ic.ac.uk::ec3e417e-6af0-421f-b3fe-305acf425db2" userName="Guerra, Nadia" userProvider="AD"/>
        <Anchor>
          <Comment id="{314FEC15-A1F4-4AEC-9A3C-3D4DC6EDF3A6}"/>
        </Anchor>
        <Create/>
      </Event>
      <Event time="2025-10-17T16:21:45.34" id="{E9B86DB7-EF36-4A0E-9090-EB4E8DE9961C}">
        <Attribution userId="S::nguerra@ic.ac.uk::ec3e417e-6af0-421f-b3fe-305acf425db2" userName="Guerra, Nadia" userProvider="AD"/>
        <Anchor>
          <Comment id="{314FEC15-A1F4-4AEC-9A3C-3D4DC6EDF3A6}"/>
        </Anchor>
        <Assign userId="S::oo21@ic.ac.uk::ad92f68a-428c-4bc4-85f0-7cce116d7bd8" userName="Ozcan, Oyku" userProvider="AD"/>
      </Event>
      <Event time="2025-10-17T16:21:45.34" id="{A74CA4AE-6311-4C3B-8563-CA10C6004146}">
        <Attribution userId="S::nguerra@ic.ac.uk::ec3e417e-6af0-421f-b3fe-305acf425db2" userName="Guerra, Nadia" userProvider="AD"/>
        <Anchor>
          <Comment id="{314FEC15-A1F4-4AEC-9A3C-3D4DC6EDF3A6}"/>
        </Anchor>
        <SetTitle title="@Ozcan, Oyku is that the summary of data pooled from 3 exp. ? could you please clarify"/>
      </Event>
    </History>
  </Task>
</Tasks>
</file>

<file path=xl/documenttasks/documenttask4.xml><?xml version="1.0" encoding="utf-8"?>
<Tasks xmlns="http://schemas.microsoft.com/office/tasks/2019/documenttasks">
  <Task id="{AC0E08B7-E407-4C76-9B5B-D39442C7DAF9}">
    <Anchor>
      <Comment id="{37115BC9-65EA-4FF4-A274-8B81FACB2E74}"/>
    </Anchor>
    <History>
      <Event time="2025-10-17T16:22:26.21" id="{50CA4AB9-E757-4BE6-BF43-A1D3E0CFB8F8}">
        <Attribution userId="S::nguerra@ic.ac.uk::ec3e417e-6af0-421f-b3fe-305acf425db2" userName="Guerra, Nadia" userProvider="AD"/>
        <Anchor>
          <Comment id="{37115BC9-65EA-4FF4-A274-8B81FACB2E74}"/>
        </Anchor>
        <Create/>
      </Event>
      <Event time="2025-10-17T16:22:26.21" id="{1AE66E53-B315-44AF-83FE-8E7F61AA61A1}">
        <Attribution userId="S::nguerra@ic.ac.uk::ec3e417e-6af0-421f-b3fe-305acf425db2" userName="Guerra, Nadia" userProvider="AD"/>
        <Anchor>
          <Comment id="{37115BC9-65EA-4FF4-A274-8B81FACB2E74}"/>
        </Anchor>
        <Assign userId="S::oo21@ic.ac.uk::ad92f68a-428c-4bc4-85f0-7cce116d7bd8" userName="Ozcan, Oyku" userProvider="AD"/>
      </Event>
      <Event time="2025-10-17T16:22:26.21" id="{60C47407-0D2B-48C4-A3A3-0B8825149D3B}">
        <Attribution userId="S::nguerra@ic.ac.uk::ec3e417e-6af0-421f-b3fe-305acf425db2" userName="Guerra, Nadia" userProvider="AD"/>
        <Anchor>
          <Comment id="{37115BC9-65EA-4FF4-A274-8B81FACB2E74}"/>
        </Anchor>
        <SetTitle title="@Ozcan, Oyku please specify the data of the exp. these data come from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Ozcan, Oyku" id="{6C6AF9F3-85EE-4C8B-BBB4-AFA20C15156D}" userId="oo21@ic.ac.uk" providerId="PeoplePicker"/>
  <person displayName="Guerra, Nadia" id="{F3B3E67C-2B61-4F24-BA8A-BBF07287944B}" userId="S::nguerra@ic.ac.uk::ec3e417e-6af0-421f-b3fe-305acf425db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3" dT="2025-10-17T16:16:33.31" personId="{F3B3E67C-2B61-4F24-BA8A-BBF07287944B}" id="{310F133E-D325-47F3-A7F2-5579693BBC22}">
    <text>@Ozcan, Oyku can you please add here the figure from your thesis that correspond to these data</text>
    <mentions>
      <mention mentionpersonId="{6C6AF9F3-85EE-4C8B-BBB4-AFA20C15156D}" mentionId="{AE613975-9576-40B3-944F-ACB78BFEDB3A}" startIndex="0" length="12"/>
    </mentions>
  </threadedComment>
  <threadedComment ref="A27" dT="2025-10-17T16:19:42.30" personId="{F3B3E67C-2B61-4F24-BA8A-BBF07287944B}" id="{2C8314B7-E150-4898-88E3-7C0D0DD1295C}">
    <text xml:space="preserve">@Ozcan, Oyku line 26 : seems that contact time for kill 2 is missing. </text>
    <mentions>
      <mention mentionpersonId="{6C6AF9F3-85EE-4C8B-BBB4-AFA20C15156D}" mentionId="{2BE7561B-0E83-4ADC-AC4A-B96CD1E6C575}" startIndex="0" length="12"/>
    </mentions>
  </threadedComment>
  <threadedComment ref="A62" dT="2025-10-29T14:50:19.20" personId="{F3B3E67C-2B61-4F24-BA8A-BBF07287944B}" id="{F419AEBC-214A-494F-A52B-5A64D5B6ABAF}">
    <text>could you please further detail what spontaneous correspond to? is that sequential kill?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5-10-17T16:20:51.62" personId="{F3B3E67C-2B61-4F24-BA8A-BBF07287944B}" id="{5B69C46A-B86A-4F67-89A6-95CFE007386C}">
    <text>@Ozcan, Oyku from which experiment these data come from?</text>
    <mentions>
      <mention mentionpersonId="{6C6AF9F3-85EE-4C8B-BBB4-AFA20C15156D}" mentionId="{F5A2A69E-4C1D-470A-8975-1AC8CE712C2D}" startIndex="0" length="12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8" dT="2025-10-29T14:56:06.63" personId="{F3B3E67C-2B61-4F24-BA8A-BBF07287944B}" id="{2EFEEDBA-6A3F-4B8F-84CC-5FD0C4895F79}">
    <text>what does that mean? sequential contact?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" dT="2025-10-17T16:21:45.48" personId="{F3B3E67C-2B61-4F24-BA8A-BBF07287944B}" id="{314FEC15-A1F4-4AEC-9A3C-3D4DC6EDF3A6}">
    <text>@Ozcan, Oyku is that the summary of data  pooled  from 3 exp. ? could you please clarify</text>
    <mentions>
      <mention mentionpersonId="{6C6AF9F3-85EE-4C8B-BBB4-AFA20C15156D}" mentionId="{E5EE7C17-68CB-4BE4-BFA8-77BFC086F81E}" startIndex="0" length="12"/>
    </mentions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5-10-17T16:22:26.34" personId="{F3B3E67C-2B61-4F24-BA8A-BBF07287944B}" id="{37115BC9-65EA-4FF4-A274-8B81FACB2E74}">
    <text>@Ozcan, Oyku please specify the date for the exp. these data come from</text>
    <mentions>
      <mention mentionpersonId="{6C6AF9F3-85EE-4C8B-BBB4-AFA20C15156D}" mentionId="{8AC3A15F-5516-4FD0-A7B9-CD3C2665B65D}" startIndex="0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9/04/relationships/documenttask" Target="../documenttasks/documenttask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Relationship Id="rId4" Type="http://schemas.microsoft.com/office/2019/04/relationships/documenttask" Target="../documenttasks/documenttask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Relationship Id="rId4" Type="http://schemas.microsoft.com/office/2019/04/relationships/documenttask" Target="../documenttasks/documenttask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43"/>
  <sheetViews>
    <sheetView topLeftCell="A109" zoomScale="170" zoomScaleNormal="170" workbookViewId="0">
      <selection activeCell="B79" sqref="B79"/>
    </sheetView>
  </sheetViews>
  <sheetFormatPr baseColWidth="10" defaultColWidth="8.83203125" defaultRowHeight="15" x14ac:dyDescent="0.2"/>
  <cols>
    <col min="1" max="1" width="19" customWidth="1"/>
    <col min="2" max="2" width="20.33203125" customWidth="1"/>
    <col min="3" max="3" width="24" customWidth="1"/>
    <col min="4" max="4" width="9.1640625" style="102"/>
    <col min="8" max="8" width="11" style="102" bestFit="1" customWidth="1"/>
  </cols>
  <sheetData>
    <row r="2" spans="1:20" s="49" customFormat="1" x14ac:dyDescent="0.2">
      <c r="A2" s="59" t="s">
        <v>0</v>
      </c>
      <c r="B2" s="53"/>
      <c r="C2" s="53"/>
      <c r="D2" s="101"/>
      <c r="E2" s="53"/>
      <c r="F2" s="53"/>
      <c r="G2" s="53"/>
      <c r="H2" s="101"/>
      <c r="I2" s="53"/>
      <c r="J2" s="53"/>
      <c r="K2" s="53"/>
      <c r="L2" s="60"/>
      <c r="M2" s="62" t="s">
        <v>1</v>
      </c>
      <c r="N2" s="62"/>
      <c r="O2" s="62"/>
      <c r="P2" s="62"/>
      <c r="Q2" s="62"/>
      <c r="R2" s="62" t="s">
        <v>2</v>
      </c>
      <c r="S2" s="62"/>
      <c r="T2" s="62"/>
    </row>
    <row r="3" spans="1:20" x14ac:dyDescent="0.2">
      <c r="A3" s="11"/>
      <c r="L3" s="54"/>
      <c r="M3" s="1"/>
      <c r="N3" s="1"/>
      <c r="O3" s="1"/>
      <c r="P3" s="1"/>
      <c r="Q3" s="1"/>
      <c r="R3" s="1"/>
      <c r="S3" s="1"/>
      <c r="T3" s="1"/>
    </row>
    <row r="4" spans="1:20" x14ac:dyDescent="0.2">
      <c r="A4" s="100" t="s">
        <v>3</v>
      </c>
      <c r="B4" t="s">
        <v>4</v>
      </c>
      <c r="C4" t="s">
        <v>5</v>
      </c>
      <c r="E4" t="s">
        <v>6</v>
      </c>
      <c r="F4" t="s">
        <v>7</v>
      </c>
      <c r="H4" s="110" t="s">
        <v>8</v>
      </c>
      <c r="I4" s="2"/>
      <c r="J4" s="2"/>
      <c r="L4" s="54"/>
      <c r="M4" s="1" t="s">
        <v>9</v>
      </c>
      <c r="N4" s="1"/>
      <c r="O4" s="1"/>
      <c r="P4" s="1"/>
      <c r="Q4" s="1"/>
      <c r="R4" s="1" t="s">
        <v>10</v>
      </c>
      <c r="S4" s="1"/>
      <c r="T4" s="1"/>
    </row>
    <row r="5" spans="1:20" x14ac:dyDescent="0.2">
      <c r="A5" s="100"/>
      <c r="H5" s="110" t="s">
        <v>11</v>
      </c>
      <c r="I5" s="3" t="s">
        <v>12</v>
      </c>
      <c r="J5" s="3" t="s">
        <v>13</v>
      </c>
      <c r="K5" t="s">
        <v>14</v>
      </c>
      <c r="L5" s="54"/>
      <c r="M5" s="1"/>
      <c r="N5" s="1"/>
      <c r="O5" s="1"/>
      <c r="P5" s="1"/>
      <c r="Q5" s="1"/>
      <c r="R5" s="1"/>
      <c r="S5" s="1"/>
      <c r="T5" s="1"/>
    </row>
    <row r="6" spans="1:20" x14ac:dyDescent="0.2">
      <c r="A6" s="100">
        <v>20240214</v>
      </c>
      <c r="B6" t="s">
        <v>15</v>
      </c>
      <c r="C6">
        <v>20</v>
      </c>
      <c r="E6">
        <v>9</v>
      </c>
      <c r="F6">
        <v>11</v>
      </c>
      <c r="H6" s="111">
        <v>11</v>
      </c>
      <c r="I6" s="2">
        <v>0</v>
      </c>
      <c r="J6" s="2">
        <v>0</v>
      </c>
      <c r="L6" s="54"/>
      <c r="M6" s="1"/>
      <c r="N6" s="1"/>
      <c r="O6" s="1"/>
      <c r="P6" s="1"/>
      <c r="Q6" s="1"/>
      <c r="R6" s="1"/>
      <c r="S6" s="1"/>
      <c r="T6" s="1"/>
    </row>
    <row r="7" spans="1:20" x14ac:dyDescent="0.2">
      <c r="A7" s="100"/>
      <c r="H7" s="111"/>
      <c r="I7" s="2"/>
      <c r="J7" s="2"/>
      <c r="L7" s="54"/>
      <c r="M7" s="1" t="s">
        <v>16</v>
      </c>
      <c r="N7" s="1"/>
      <c r="O7" s="1"/>
      <c r="P7" s="1"/>
      <c r="Q7" s="1"/>
      <c r="R7" s="1"/>
      <c r="S7" s="1"/>
      <c r="T7" s="1"/>
    </row>
    <row r="8" spans="1:20" x14ac:dyDescent="0.2">
      <c r="A8" s="100">
        <v>20240214</v>
      </c>
      <c r="B8" t="s">
        <v>17</v>
      </c>
      <c r="C8">
        <v>20</v>
      </c>
      <c r="E8">
        <v>7</v>
      </c>
      <c r="F8">
        <v>13</v>
      </c>
      <c r="H8" s="111">
        <v>5</v>
      </c>
      <c r="I8" s="2">
        <v>4</v>
      </c>
      <c r="J8" s="2">
        <v>4</v>
      </c>
      <c r="L8" s="54"/>
      <c r="M8" s="1"/>
      <c r="N8" s="1"/>
      <c r="O8" s="1"/>
      <c r="P8" s="1"/>
      <c r="Q8" s="1"/>
      <c r="R8" s="1"/>
      <c r="S8" s="1"/>
      <c r="T8" s="1"/>
    </row>
    <row r="9" spans="1:20" x14ac:dyDescent="0.2">
      <c r="A9" s="100"/>
      <c r="H9" s="111"/>
      <c r="I9" s="2"/>
      <c r="J9" s="2"/>
      <c r="L9" s="54"/>
      <c r="M9" s="1"/>
      <c r="N9" s="1"/>
      <c r="O9" s="1"/>
      <c r="P9" s="1"/>
      <c r="Q9" s="1"/>
      <c r="R9" s="1"/>
      <c r="S9" s="1"/>
      <c r="T9" s="1"/>
    </row>
    <row r="10" spans="1:20" x14ac:dyDescent="0.2">
      <c r="A10" s="100">
        <v>20240214</v>
      </c>
      <c r="B10" t="s">
        <v>17</v>
      </c>
      <c r="C10">
        <v>20</v>
      </c>
      <c r="E10">
        <v>5</v>
      </c>
      <c r="F10">
        <v>15</v>
      </c>
      <c r="H10" s="111">
        <v>6</v>
      </c>
      <c r="I10" s="2">
        <v>8</v>
      </c>
      <c r="J10" s="2">
        <v>0</v>
      </c>
      <c r="K10">
        <v>1</v>
      </c>
      <c r="L10" s="54"/>
      <c r="M10" s="1"/>
      <c r="N10" s="70" t="s">
        <v>18</v>
      </c>
      <c r="O10" s="71" t="s">
        <v>19</v>
      </c>
      <c r="P10" s="71"/>
      <c r="Q10" s="71"/>
      <c r="R10" s="71"/>
      <c r="S10" s="72"/>
      <c r="T10" s="1"/>
    </row>
    <row r="11" spans="1:20" s="4" customFormat="1" ht="19" x14ac:dyDescent="0.25">
      <c r="A11" s="13"/>
      <c r="B11" s="4" t="s">
        <v>20</v>
      </c>
      <c r="C11" s="4">
        <f>SUM(C6:C10)</f>
        <v>60</v>
      </c>
      <c r="D11" s="103"/>
      <c r="E11" s="4">
        <f>SUM(E6:E10)</f>
        <v>21</v>
      </c>
      <c r="F11" s="4">
        <f>SUM(F6:F10)</f>
        <v>39</v>
      </c>
      <c r="H11" s="112">
        <f>SUM(H6:H10)</f>
        <v>22</v>
      </c>
      <c r="I11" s="5">
        <f>SUM(I6:I10)</f>
        <v>12</v>
      </c>
      <c r="J11" s="5">
        <f>SUM(J6:J10)</f>
        <v>4</v>
      </c>
      <c r="K11" s="4">
        <f>SUM(K6:K10)</f>
        <v>1</v>
      </c>
      <c r="L11" s="69"/>
      <c r="N11" s="66"/>
      <c r="O11" s="67" t="s">
        <v>21</v>
      </c>
      <c r="P11" s="67" t="s">
        <v>11</v>
      </c>
      <c r="Q11" s="67" t="s">
        <v>22</v>
      </c>
      <c r="R11" s="67"/>
      <c r="S11" s="68"/>
    </row>
    <row r="12" spans="1:20" x14ac:dyDescent="0.2">
      <c r="A12" s="11"/>
      <c r="C12" t="s">
        <v>23</v>
      </c>
      <c r="E12">
        <f>21*100/60</f>
        <v>35</v>
      </c>
      <c r="F12">
        <f>39*100/60</f>
        <v>65</v>
      </c>
      <c r="H12" s="111">
        <f>22*100/60</f>
        <v>36.666666666666664</v>
      </c>
      <c r="I12" s="2">
        <f>12*100/60</f>
        <v>20</v>
      </c>
      <c r="J12" s="2">
        <f>4*100/60</f>
        <v>6.666666666666667</v>
      </c>
      <c r="K12">
        <f>1*100/60</f>
        <v>1.6666666666666667</v>
      </c>
      <c r="L12" s="54"/>
      <c r="M12" s="1"/>
      <c r="N12" s="73"/>
      <c r="O12" s="74">
        <v>0.35</v>
      </c>
      <c r="P12" s="74">
        <v>0.37</v>
      </c>
      <c r="Q12" s="74">
        <v>0.28000000000000003</v>
      </c>
      <c r="R12" s="75"/>
      <c r="S12" s="76"/>
      <c r="T12" s="1"/>
    </row>
    <row r="13" spans="1:20" x14ac:dyDescent="0.2">
      <c r="A13" s="11"/>
      <c r="H13" s="111"/>
      <c r="I13" s="2"/>
      <c r="J13" s="2"/>
      <c r="K13">
        <v>0</v>
      </c>
      <c r="L13" s="54"/>
      <c r="M13" s="1"/>
      <c r="N13" s="73" t="s">
        <v>24</v>
      </c>
      <c r="O13" s="77" t="s">
        <v>25</v>
      </c>
      <c r="P13" s="77">
        <v>74</v>
      </c>
      <c r="Q13" s="77">
        <v>56</v>
      </c>
      <c r="R13" s="75"/>
      <c r="S13" s="76"/>
      <c r="T13" s="1"/>
    </row>
    <row r="14" spans="1:20" x14ac:dyDescent="0.2">
      <c r="A14" s="11"/>
      <c r="L14" s="54"/>
      <c r="M14" s="1"/>
      <c r="N14" s="78"/>
      <c r="O14" s="79"/>
      <c r="P14" s="79"/>
      <c r="Q14" s="79"/>
      <c r="R14" s="79"/>
      <c r="S14" s="80"/>
      <c r="T14" s="1"/>
    </row>
    <row r="15" spans="1:20" x14ac:dyDescent="0.2">
      <c r="A15" s="20"/>
      <c r="B15" s="21" t="s">
        <v>26</v>
      </c>
      <c r="C15" s="21"/>
      <c r="D15" s="104"/>
      <c r="E15" s="22"/>
      <c r="H15" s="113" t="s">
        <v>27</v>
      </c>
      <c r="I15" s="39"/>
      <c r="J15" s="39"/>
      <c r="K15" s="39"/>
      <c r="L15" s="40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23" t="s">
        <v>28</v>
      </c>
      <c r="B16" s="1" t="s">
        <v>29</v>
      </c>
      <c r="C16" s="1" t="s">
        <v>30</v>
      </c>
      <c r="D16" s="105" t="s">
        <v>31</v>
      </c>
      <c r="E16" s="24" t="s">
        <v>32</v>
      </c>
      <c r="H16" s="114" t="s">
        <v>33</v>
      </c>
      <c r="I16" s="42" t="s">
        <v>34</v>
      </c>
      <c r="J16" s="42"/>
      <c r="K16" s="42" t="s">
        <v>7</v>
      </c>
      <c r="L16" s="43" t="s">
        <v>6</v>
      </c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15">
        <v>30</v>
      </c>
      <c r="B17" s="16">
        <v>26</v>
      </c>
      <c r="C17" s="16">
        <v>8</v>
      </c>
      <c r="D17" s="106">
        <v>1</v>
      </c>
      <c r="E17" s="28">
        <v>1</v>
      </c>
      <c r="F17">
        <v>65</v>
      </c>
      <c r="H17" s="114"/>
      <c r="I17" s="42"/>
      <c r="J17" s="42" t="s">
        <v>35</v>
      </c>
      <c r="K17" s="42">
        <v>16</v>
      </c>
      <c r="L17" s="43">
        <v>51</v>
      </c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11">
        <f>3000/65</f>
        <v>46.153846153846153</v>
      </c>
      <c r="B18">
        <f>2600/65</f>
        <v>40</v>
      </c>
      <c r="C18">
        <f>800/65</f>
        <v>12.307692307692308</v>
      </c>
      <c r="D18" s="102">
        <f>100/65</f>
        <v>1.5384615384615385</v>
      </c>
      <c r="E18" t="s">
        <v>23</v>
      </c>
      <c r="H18" s="114"/>
      <c r="I18" s="42"/>
      <c r="J18" s="42" t="s">
        <v>23</v>
      </c>
      <c r="K18" s="42" t="s">
        <v>36</v>
      </c>
      <c r="L18" s="43" t="s">
        <v>37</v>
      </c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11"/>
      <c r="L19" s="54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15"/>
      <c r="B20" s="16"/>
      <c r="C20" s="16"/>
      <c r="D20" s="106"/>
      <c r="E20" s="16"/>
      <c r="F20" s="16"/>
      <c r="G20" s="16"/>
      <c r="H20" s="106"/>
      <c r="I20" s="16"/>
      <c r="J20" s="16"/>
      <c r="K20" s="16"/>
      <c r="L20" s="28"/>
      <c r="M20" s="1"/>
      <c r="N20" s="1"/>
      <c r="O20" s="1"/>
      <c r="P20" s="1"/>
      <c r="Q20" s="1"/>
      <c r="R20" s="1"/>
      <c r="S20" s="1"/>
      <c r="T20" s="1"/>
    </row>
    <row r="23" spans="1:20" x14ac:dyDescent="0.2">
      <c r="A23" s="1" t="s">
        <v>38</v>
      </c>
      <c r="D23" s="105" t="s">
        <v>38</v>
      </c>
      <c r="H23" s="105" t="s">
        <v>39</v>
      </c>
    </row>
    <row r="24" spans="1:20" x14ac:dyDescent="0.2">
      <c r="A24" t="s">
        <v>40</v>
      </c>
      <c r="D24" s="102" t="s">
        <v>41</v>
      </c>
      <c r="H24" s="102" t="s">
        <v>42</v>
      </c>
    </row>
    <row r="26" spans="1:20" x14ac:dyDescent="0.2">
      <c r="A26">
        <v>462</v>
      </c>
      <c r="H26" s="102" t="s">
        <v>43</v>
      </c>
      <c r="K26" t="s">
        <v>44</v>
      </c>
    </row>
    <row r="27" spans="1:20" x14ac:dyDescent="0.2">
      <c r="A27">
        <v>252</v>
      </c>
      <c r="D27" s="102" t="s">
        <v>45</v>
      </c>
      <c r="H27" s="102" t="s">
        <v>46</v>
      </c>
    </row>
    <row r="28" spans="1:20" x14ac:dyDescent="0.2">
      <c r="A28">
        <v>252</v>
      </c>
      <c r="B28" t="s">
        <v>47</v>
      </c>
      <c r="D28" s="102" t="s">
        <v>48</v>
      </c>
      <c r="H28" s="107">
        <v>60501501</v>
      </c>
    </row>
    <row r="29" spans="1:20" x14ac:dyDescent="0.2">
      <c r="A29">
        <v>189</v>
      </c>
      <c r="D29" s="107">
        <v>261162</v>
      </c>
      <c r="H29" s="102" t="s">
        <v>49</v>
      </c>
    </row>
    <row r="30" spans="1:20" x14ac:dyDescent="0.2">
      <c r="A30">
        <v>132</v>
      </c>
      <c r="D30" s="107">
        <v>27111</v>
      </c>
    </row>
    <row r="31" spans="1:20" x14ac:dyDescent="0.2">
      <c r="A31">
        <v>42</v>
      </c>
      <c r="D31" s="102" t="s">
        <v>50</v>
      </c>
    </row>
    <row r="32" spans="1:20" x14ac:dyDescent="0.2">
      <c r="A32">
        <v>321</v>
      </c>
      <c r="D32" s="102" t="s">
        <v>51</v>
      </c>
    </row>
    <row r="33" spans="1:4" x14ac:dyDescent="0.2">
      <c r="A33">
        <v>51</v>
      </c>
      <c r="D33" s="102" t="s">
        <v>52</v>
      </c>
    </row>
    <row r="34" spans="1:4" x14ac:dyDescent="0.2">
      <c r="A34">
        <v>156</v>
      </c>
      <c r="D34" s="107">
        <v>204135</v>
      </c>
    </row>
    <row r="35" spans="1:4" x14ac:dyDescent="0.2">
      <c r="A35">
        <v>45</v>
      </c>
      <c r="D35" s="102" t="s">
        <v>53</v>
      </c>
    </row>
    <row r="36" spans="1:4" x14ac:dyDescent="0.2">
      <c r="A36">
        <v>126</v>
      </c>
      <c r="D36" s="107">
        <v>297276</v>
      </c>
    </row>
    <row r="37" spans="1:4" x14ac:dyDescent="0.2">
      <c r="A37">
        <v>36</v>
      </c>
      <c r="D37" s="107">
        <v>105285</v>
      </c>
    </row>
    <row r="38" spans="1:4" x14ac:dyDescent="0.2">
      <c r="A38">
        <v>81</v>
      </c>
    </row>
    <row r="39" spans="1:4" x14ac:dyDescent="0.2">
      <c r="A39">
        <v>6</v>
      </c>
    </row>
    <row r="40" spans="1:4" x14ac:dyDescent="0.2">
      <c r="A40">
        <v>54</v>
      </c>
    </row>
    <row r="41" spans="1:4" x14ac:dyDescent="0.2">
      <c r="A41">
        <v>30</v>
      </c>
    </row>
    <row r="42" spans="1:4" x14ac:dyDescent="0.2">
      <c r="A42">
        <v>156</v>
      </c>
    </row>
    <row r="43" spans="1:4" x14ac:dyDescent="0.2">
      <c r="A43">
        <v>591</v>
      </c>
      <c r="B43" t="s">
        <v>54</v>
      </c>
    </row>
    <row r="44" spans="1:4" x14ac:dyDescent="0.2">
      <c r="A44">
        <v>195</v>
      </c>
      <c r="B44" s="7" t="s">
        <v>55</v>
      </c>
    </row>
    <row r="45" spans="1:4" x14ac:dyDescent="0.2">
      <c r="A45">
        <v>36</v>
      </c>
    </row>
    <row r="46" spans="1:4" x14ac:dyDescent="0.2">
      <c r="A46">
        <v>210</v>
      </c>
    </row>
    <row r="47" spans="1:4" x14ac:dyDescent="0.2">
      <c r="A47">
        <v>108</v>
      </c>
    </row>
    <row r="48" spans="1:4" x14ac:dyDescent="0.2">
      <c r="A48">
        <v>12</v>
      </c>
    </row>
    <row r="49" spans="1:1" x14ac:dyDescent="0.2">
      <c r="A49">
        <v>33</v>
      </c>
    </row>
    <row r="50" spans="1:1" x14ac:dyDescent="0.2">
      <c r="A50">
        <v>114</v>
      </c>
    </row>
    <row r="51" spans="1:1" x14ac:dyDescent="0.2">
      <c r="A51">
        <v>150</v>
      </c>
    </row>
    <row r="52" spans="1:1" x14ac:dyDescent="0.2">
      <c r="A52">
        <v>255</v>
      </c>
    </row>
    <row r="53" spans="1:1" x14ac:dyDescent="0.2">
      <c r="A53">
        <v>105</v>
      </c>
    </row>
    <row r="58" spans="1:1" x14ac:dyDescent="0.2">
      <c r="A58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5" spans="1:10" x14ac:dyDescent="0.2">
      <c r="A65" t="s">
        <v>61</v>
      </c>
      <c r="B65">
        <f>400/65</f>
        <v>6.1538461538461542</v>
      </c>
    </row>
    <row r="66" spans="1:10" x14ac:dyDescent="0.2">
      <c r="A66" t="s">
        <v>62</v>
      </c>
      <c r="B66">
        <f>200/65</f>
        <v>3.0769230769230771</v>
      </c>
    </row>
    <row r="67" spans="1:10" x14ac:dyDescent="0.2">
      <c r="A67" t="s">
        <v>63</v>
      </c>
      <c r="B67">
        <f>3600/65</f>
        <v>55.384615384615387</v>
      </c>
    </row>
    <row r="68" spans="1:10" x14ac:dyDescent="0.2">
      <c r="A68" t="s">
        <v>64</v>
      </c>
    </row>
    <row r="69" spans="1:10" x14ac:dyDescent="0.2">
      <c r="A69" t="s">
        <v>6</v>
      </c>
      <c r="B69">
        <f>100-64.6</f>
        <v>35.400000000000006</v>
      </c>
    </row>
    <row r="71" spans="1:10" x14ac:dyDescent="0.2">
      <c r="A71" t="s">
        <v>65</v>
      </c>
      <c r="B71">
        <v>42</v>
      </c>
    </row>
    <row r="72" spans="1:10" x14ac:dyDescent="0.2">
      <c r="A72" t="s">
        <v>61</v>
      </c>
      <c r="B72">
        <f>400/42</f>
        <v>9.5238095238095237</v>
      </c>
      <c r="F72">
        <f>9.3*114/100</f>
        <v>10.602</v>
      </c>
    </row>
    <row r="73" spans="1:10" x14ac:dyDescent="0.2">
      <c r="A73" t="s">
        <v>62</v>
      </c>
      <c r="B73">
        <f>200/42</f>
        <v>4.7619047619047619</v>
      </c>
      <c r="F73">
        <f>114*23.6/100</f>
        <v>26.904</v>
      </c>
    </row>
    <row r="74" spans="1:10" x14ac:dyDescent="0.2">
      <c r="A74" t="s">
        <v>63</v>
      </c>
      <c r="B74">
        <f>2600/42</f>
        <v>61.904761904761905</v>
      </c>
      <c r="F74">
        <f>SUM(F72:F73)</f>
        <v>37.506</v>
      </c>
      <c r="G74">
        <f>114-37.5</f>
        <v>76.5</v>
      </c>
    </row>
    <row r="78" spans="1:10" x14ac:dyDescent="0.2">
      <c r="D78" s="108"/>
      <c r="E78" s="47"/>
      <c r="F78" s="47"/>
      <c r="G78" s="47"/>
      <c r="H78" s="108"/>
      <c r="I78" s="47"/>
      <c r="J78" s="47"/>
    </row>
    <row r="79" spans="1:10" x14ac:dyDescent="0.2">
      <c r="B79" t="s">
        <v>66</v>
      </c>
      <c r="D79" s="108" t="s">
        <v>34</v>
      </c>
      <c r="E79" s="47" t="s">
        <v>29</v>
      </c>
      <c r="F79" s="48" t="s">
        <v>67</v>
      </c>
      <c r="G79" s="47" t="s">
        <v>68</v>
      </c>
      <c r="H79" s="108" t="s">
        <v>69</v>
      </c>
      <c r="I79" s="47"/>
      <c r="J79" s="47"/>
    </row>
    <row r="80" spans="1:10" x14ac:dyDescent="0.2">
      <c r="D80" s="108"/>
      <c r="E80" s="47"/>
      <c r="F80" s="47"/>
      <c r="G80" s="47"/>
      <c r="H80" s="108"/>
      <c r="I80" s="47"/>
      <c r="J80" s="47"/>
    </row>
    <row r="81" spans="2:10" x14ac:dyDescent="0.2">
      <c r="B81" s="36">
        <v>3</v>
      </c>
      <c r="D81" s="108">
        <v>4</v>
      </c>
      <c r="E81" s="47">
        <v>6</v>
      </c>
      <c r="F81" s="47">
        <v>62</v>
      </c>
      <c r="G81" s="47">
        <v>38</v>
      </c>
      <c r="H81" s="108">
        <v>4</v>
      </c>
      <c r="I81" s="47">
        <f>SUM(D81:H81)</f>
        <v>114</v>
      </c>
      <c r="J81" s="47" t="s">
        <v>35</v>
      </c>
    </row>
    <row r="82" spans="2:10" x14ac:dyDescent="0.2">
      <c r="B82" s="36">
        <v>3</v>
      </c>
      <c r="D82" s="108">
        <f>400/114</f>
        <v>3.5087719298245612</v>
      </c>
      <c r="E82" s="47">
        <f>600/114</f>
        <v>5.2631578947368425</v>
      </c>
      <c r="F82" s="47">
        <f>6200/114</f>
        <v>54.385964912280699</v>
      </c>
      <c r="G82" s="47">
        <f>1900/57</f>
        <v>33.333333333333336</v>
      </c>
      <c r="H82" s="108">
        <f>200/57</f>
        <v>3.5087719298245612</v>
      </c>
      <c r="I82" s="47">
        <f>SUM(D82:H82)</f>
        <v>100</v>
      </c>
      <c r="J82" s="47" t="s">
        <v>23</v>
      </c>
    </row>
    <row r="83" spans="2:10" x14ac:dyDescent="0.2">
      <c r="B83" s="36">
        <v>2</v>
      </c>
      <c r="D83" s="108"/>
      <c r="E83" s="47"/>
      <c r="F83" s="47"/>
      <c r="G83" s="47"/>
      <c r="H83" s="108"/>
      <c r="I83" s="47"/>
      <c r="J83" s="47"/>
    </row>
    <row r="84" spans="2:10" x14ac:dyDescent="0.2">
      <c r="B84" s="36">
        <v>4</v>
      </c>
      <c r="D84" s="108"/>
      <c r="E84" s="47"/>
      <c r="F84" s="47"/>
      <c r="G84" s="47"/>
      <c r="H84" s="108"/>
      <c r="I84" s="47"/>
      <c r="J84" s="47"/>
    </row>
    <row r="85" spans="2:10" x14ac:dyDescent="0.2">
      <c r="B85" s="36">
        <v>3</v>
      </c>
      <c r="D85" s="108"/>
      <c r="E85" s="47"/>
      <c r="F85" s="47"/>
      <c r="G85" s="47"/>
      <c r="H85" s="108"/>
      <c r="I85" s="47"/>
      <c r="J85" s="47"/>
    </row>
    <row r="86" spans="2:10" x14ac:dyDescent="0.2">
      <c r="B86" s="36">
        <v>2</v>
      </c>
      <c r="D86" s="109"/>
      <c r="E86" s="34"/>
      <c r="F86" s="34"/>
      <c r="G86" s="34"/>
      <c r="H86" s="109"/>
      <c r="I86" s="34"/>
      <c r="J86" s="34"/>
    </row>
    <row r="87" spans="2:10" x14ac:dyDescent="0.2">
      <c r="B87" t="s">
        <v>70</v>
      </c>
    </row>
    <row r="88" spans="2:10" x14ac:dyDescent="0.2">
      <c r="B88" s="36">
        <v>2</v>
      </c>
    </row>
    <row r="89" spans="2:10" x14ac:dyDescent="0.2">
      <c r="B89" s="36">
        <v>3</v>
      </c>
    </row>
    <row r="90" spans="2:10" x14ac:dyDescent="0.2">
      <c r="B90" t="s">
        <v>71</v>
      </c>
    </row>
    <row r="91" spans="2:10" x14ac:dyDescent="0.2">
      <c r="B91" s="36">
        <v>5</v>
      </c>
    </row>
    <row r="92" spans="2:10" x14ac:dyDescent="0.2">
      <c r="B92">
        <v>6</v>
      </c>
    </row>
    <row r="93" spans="2:10" x14ac:dyDescent="0.2">
      <c r="B93" s="36">
        <v>4</v>
      </c>
    </row>
    <row r="94" spans="2:10" x14ac:dyDescent="0.2">
      <c r="B94" t="s">
        <v>71</v>
      </c>
    </row>
    <row r="95" spans="2:10" x14ac:dyDescent="0.2">
      <c r="B95" s="36">
        <v>2</v>
      </c>
    </row>
    <row r="96" spans="2:10" x14ac:dyDescent="0.2">
      <c r="B96" s="36">
        <v>5</v>
      </c>
    </row>
    <row r="97" spans="2:2" x14ac:dyDescent="0.2">
      <c r="B97" s="37">
        <v>1</v>
      </c>
    </row>
    <row r="98" spans="2:2" x14ac:dyDescent="0.2">
      <c r="B98" t="s">
        <v>70</v>
      </c>
    </row>
    <row r="99" spans="2:2" x14ac:dyDescent="0.2">
      <c r="B99">
        <v>7</v>
      </c>
    </row>
    <row r="100" spans="2:2" x14ac:dyDescent="0.2">
      <c r="B100">
        <v>10</v>
      </c>
    </row>
    <row r="101" spans="2:2" x14ac:dyDescent="0.2">
      <c r="B101" t="s">
        <v>70</v>
      </c>
    </row>
    <row r="102" spans="2:2" x14ac:dyDescent="0.2">
      <c r="B102" t="s">
        <v>71</v>
      </c>
    </row>
    <row r="103" spans="2:2" x14ac:dyDescent="0.2">
      <c r="B103" t="s">
        <v>71</v>
      </c>
    </row>
    <row r="104" spans="2:2" x14ac:dyDescent="0.2">
      <c r="B104" s="36">
        <v>3</v>
      </c>
    </row>
    <row r="105" spans="2:2" x14ac:dyDescent="0.2">
      <c r="B105" t="s">
        <v>70</v>
      </c>
    </row>
    <row r="106" spans="2:2" x14ac:dyDescent="0.2">
      <c r="B106" s="36">
        <v>3</v>
      </c>
    </row>
    <row r="107" spans="2:2" x14ac:dyDescent="0.2">
      <c r="B107" s="36">
        <v>3</v>
      </c>
    </row>
    <row r="108" spans="2:2" x14ac:dyDescent="0.2">
      <c r="B108" s="36">
        <v>4</v>
      </c>
    </row>
    <row r="109" spans="2:2" x14ac:dyDescent="0.2">
      <c r="B109" s="36">
        <v>3</v>
      </c>
    </row>
    <row r="110" spans="2:2" x14ac:dyDescent="0.2">
      <c r="B110" s="36">
        <v>3</v>
      </c>
    </row>
    <row r="111" spans="2:2" x14ac:dyDescent="0.2">
      <c r="B111" t="s">
        <v>70</v>
      </c>
    </row>
    <row r="112" spans="2:2" x14ac:dyDescent="0.2">
      <c r="B112" s="36">
        <v>4</v>
      </c>
    </row>
    <row r="113" spans="2:2" x14ac:dyDescent="0.2">
      <c r="B113" t="s">
        <v>72</v>
      </c>
    </row>
    <row r="114" spans="2:2" x14ac:dyDescent="0.2">
      <c r="B114">
        <v>6</v>
      </c>
    </row>
    <row r="115" spans="2:2" x14ac:dyDescent="0.2">
      <c r="B115" s="36">
        <v>5</v>
      </c>
    </row>
    <row r="116" spans="2:2" x14ac:dyDescent="0.2">
      <c r="B116" s="36">
        <v>2</v>
      </c>
    </row>
    <row r="117" spans="2:2" x14ac:dyDescent="0.2">
      <c r="B117">
        <v>10</v>
      </c>
    </row>
    <row r="118" spans="2:2" x14ac:dyDescent="0.2">
      <c r="B118" t="s">
        <v>73</v>
      </c>
    </row>
    <row r="119" spans="2:2" x14ac:dyDescent="0.2">
      <c r="B119" s="36">
        <v>5</v>
      </c>
    </row>
    <row r="120" spans="2:2" x14ac:dyDescent="0.2">
      <c r="B120" s="36">
        <v>5</v>
      </c>
    </row>
    <row r="121" spans="2:2" x14ac:dyDescent="0.2">
      <c r="B121">
        <v>7</v>
      </c>
    </row>
    <row r="122" spans="2:2" x14ac:dyDescent="0.2">
      <c r="B122" s="36">
        <v>5</v>
      </c>
    </row>
    <row r="123" spans="2:2" x14ac:dyDescent="0.2">
      <c r="B123" s="36">
        <v>5</v>
      </c>
    </row>
    <row r="124" spans="2:2" x14ac:dyDescent="0.2">
      <c r="B124" s="37">
        <v>1</v>
      </c>
    </row>
    <row r="125" spans="2:2" x14ac:dyDescent="0.2">
      <c r="B125" s="36">
        <v>5</v>
      </c>
    </row>
    <row r="126" spans="2:2" x14ac:dyDescent="0.2">
      <c r="B126">
        <v>7</v>
      </c>
    </row>
    <row r="127" spans="2:2" x14ac:dyDescent="0.2">
      <c r="B127" s="36">
        <v>3</v>
      </c>
    </row>
    <row r="128" spans="2:2" x14ac:dyDescent="0.2">
      <c r="B128" s="36">
        <v>5</v>
      </c>
    </row>
    <row r="129" spans="1:3" x14ac:dyDescent="0.2">
      <c r="B129" s="36">
        <v>2</v>
      </c>
    </row>
    <row r="130" spans="1:3" x14ac:dyDescent="0.2">
      <c r="B130" s="36">
        <v>2</v>
      </c>
    </row>
    <row r="131" spans="1:3" x14ac:dyDescent="0.2">
      <c r="B131">
        <v>6</v>
      </c>
    </row>
    <row r="132" spans="1:3" x14ac:dyDescent="0.2">
      <c r="B132">
        <v>6</v>
      </c>
    </row>
    <row r="133" spans="1:3" x14ac:dyDescent="0.2">
      <c r="B133">
        <v>7</v>
      </c>
    </row>
    <row r="134" spans="1:3" x14ac:dyDescent="0.2">
      <c r="B134" s="37">
        <v>1</v>
      </c>
    </row>
    <row r="135" spans="1:3" x14ac:dyDescent="0.2">
      <c r="B135" s="36">
        <v>4</v>
      </c>
    </row>
    <row r="136" spans="1:3" x14ac:dyDescent="0.2">
      <c r="B136" s="36">
        <v>4</v>
      </c>
    </row>
    <row r="137" spans="1:3" x14ac:dyDescent="0.2">
      <c r="B137" t="s">
        <v>72</v>
      </c>
    </row>
    <row r="139" spans="1:3" x14ac:dyDescent="0.2">
      <c r="A139" s="96" t="s">
        <v>74</v>
      </c>
      <c r="B139" s="97"/>
      <c r="C139" s="98"/>
    </row>
    <row r="140" spans="1:3" x14ac:dyDescent="0.2">
      <c r="A140" s="23"/>
      <c r="B140" s="1"/>
      <c r="C140" s="24"/>
    </row>
    <row r="141" spans="1:3" x14ac:dyDescent="0.2">
      <c r="A141" s="23" t="s">
        <v>75</v>
      </c>
      <c r="B141" s="58">
        <v>0.39</v>
      </c>
      <c r="C141" s="24"/>
    </row>
    <row r="142" spans="1:3" x14ac:dyDescent="0.2">
      <c r="A142" s="23" t="s">
        <v>76</v>
      </c>
      <c r="B142" s="58">
        <v>0.68</v>
      </c>
      <c r="C142" s="24"/>
    </row>
    <row r="143" spans="1:3" x14ac:dyDescent="0.2">
      <c r="A143" s="15"/>
      <c r="B143" s="16"/>
      <c r="C143" s="28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DF8A-0421-450B-829A-F1DF1596666F}">
  <dimension ref="A3:W35"/>
  <sheetViews>
    <sheetView zoomScale="140" zoomScaleNormal="140" workbookViewId="0">
      <selection activeCell="G43" sqref="G43"/>
    </sheetView>
  </sheetViews>
  <sheetFormatPr baseColWidth="10" defaultColWidth="8.83203125" defaultRowHeight="15" x14ac:dyDescent="0.2"/>
  <sheetData>
    <row r="3" spans="1:22" x14ac:dyDescent="0.2">
      <c r="A3" s="30" t="s">
        <v>26</v>
      </c>
      <c r="B3" s="30"/>
      <c r="C3" s="30"/>
      <c r="D3" s="30"/>
      <c r="E3" s="30"/>
      <c r="F3" s="30"/>
      <c r="G3" s="30"/>
      <c r="H3" s="30"/>
    </row>
    <row r="4" spans="1:22" x14ac:dyDescent="0.2">
      <c r="M4" t="s">
        <v>29</v>
      </c>
      <c r="N4" t="s">
        <v>127</v>
      </c>
      <c r="O4" t="s">
        <v>159</v>
      </c>
    </row>
    <row r="5" spans="1:22" x14ac:dyDescent="0.2">
      <c r="A5" t="s">
        <v>33</v>
      </c>
      <c r="B5" t="s">
        <v>34</v>
      </c>
      <c r="D5" t="s">
        <v>7</v>
      </c>
      <c r="E5" t="s">
        <v>6</v>
      </c>
      <c r="I5" t="s">
        <v>129</v>
      </c>
      <c r="J5" t="s">
        <v>130</v>
      </c>
      <c r="M5">
        <v>10</v>
      </c>
      <c r="N5">
        <v>0</v>
      </c>
      <c r="O5">
        <v>0</v>
      </c>
    </row>
    <row r="6" spans="1:22" x14ac:dyDescent="0.2">
      <c r="A6">
        <v>10</v>
      </c>
      <c r="B6">
        <v>10</v>
      </c>
      <c r="D6">
        <v>0</v>
      </c>
      <c r="E6">
        <v>20</v>
      </c>
      <c r="I6">
        <v>0</v>
      </c>
      <c r="J6">
        <v>20</v>
      </c>
    </row>
    <row r="8" spans="1:22" x14ac:dyDescent="0.2">
      <c r="A8" s="30" t="s">
        <v>132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10" spans="1:22" x14ac:dyDescent="0.2">
      <c r="A10" t="s">
        <v>33</v>
      </c>
      <c r="B10" s="49" t="s">
        <v>34</v>
      </c>
      <c r="C10" s="49"/>
      <c r="D10" s="49" t="s">
        <v>7</v>
      </c>
      <c r="E10" s="49" t="s">
        <v>6</v>
      </c>
      <c r="F10" s="49"/>
      <c r="G10" s="49"/>
      <c r="H10" t="s">
        <v>160</v>
      </c>
      <c r="K10" s="1" t="s">
        <v>133</v>
      </c>
      <c r="L10" s="1"/>
      <c r="M10" s="1"/>
      <c r="N10" s="1"/>
    </row>
    <row r="11" spans="1:22" x14ac:dyDescent="0.2">
      <c r="A11">
        <v>32</v>
      </c>
      <c r="B11" s="49">
        <v>8</v>
      </c>
      <c r="C11" s="49"/>
      <c r="D11" s="49">
        <v>2</v>
      </c>
      <c r="E11" s="49">
        <v>37</v>
      </c>
      <c r="F11" s="49"/>
      <c r="G11" s="49"/>
      <c r="K11" s="1"/>
      <c r="L11" s="1">
        <v>1</v>
      </c>
      <c r="M11" s="1">
        <v>2</v>
      </c>
      <c r="N11" s="1">
        <v>3</v>
      </c>
    </row>
    <row r="12" spans="1:22" x14ac:dyDescent="0.2">
      <c r="A12">
        <f>32*100/40</f>
        <v>80</v>
      </c>
      <c r="B12" s="49">
        <f>8*100/40</f>
        <v>20</v>
      </c>
      <c r="C12" s="49"/>
      <c r="D12" s="49">
        <f>200/40</f>
        <v>5</v>
      </c>
      <c r="E12" s="49">
        <f>95</f>
        <v>95</v>
      </c>
      <c r="F12" s="49" t="s">
        <v>161</v>
      </c>
      <c r="G12" s="49"/>
      <c r="H12" s="8" t="s">
        <v>162</v>
      </c>
      <c r="I12" s="10"/>
      <c r="K12" s="1"/>
      <c r="L12" s="1">
        <v>44.4</v>
      </c>
      <c r="M12" s="1">
        <v>44.4</v>
      </c>
      <c r="N12" s="1">
        <v>11.11</v>
      </c>
    </row>
    <row r="13" spans="1:22" x14ac:dyDescent="0.2">
      <c r="B13" s="49"/>
      <c r="C13" s="49"/>
      <c r="D13" s="49"/>
      <c r="E13" s="49"/>
      <c r="F13" s="49"/>
      <c r="G13" s="49"/>
      <c r="H13" s="15">
        <f>1*100/35</f>
        <v>2.8571428571428572</v>
      </c>
      <c r="I13" s="28"/>
      <c r="K13" s="1"/>
      <c r="L13" s="1"/>
      <c r="M13" s="1"/>
      <c r="N13" s="1"/>
    </row>
    <row r="15" spans="1:22" s="29" customFormat="1" x14ac:dyDescent="0.2">
      <c r="A15" s="30" t="s">
        <v>118</v>
      </c>
    </row>
    <row r="16" spans="1:22" x14ac:dyDescent="0.2">
      <c r="A16" s="1" t="s">
        <v>33</v>
      </c>
      <c r="B16" s="1" t="s">
        <v>34</v>
      </c>
      <c r="C16" s="1"/>
      <c r="D16" s="1" t="s">
        <v>7</v>
      </c>
      <c r="E16" s="1" t="s">
        <v>6</v>
      </c>
      <c r="F16" s="1"/>
      <c r="H16" t="s">
        <v>119</v>
      </c>
      <c r="J16" t="s">
        <v>129</v>
      </c>
      <c r="K16" t="s">
        <v>130</v>
      </c>
      <c r="O16" t="s">
        <v>120</v>
      </c>
    </row>
    <row r="17" spans="1:23" x14ac:dyDescent="0.2">
      <c r="A17">
        <v>19</v>
      </c>
      <c r="B17">
        <v>1</v>
      </c>
      <c r="D17">
        <v>1</v>
      </c>
      <c r="E17">
        <v>19</v>
      </c>
      <c r="H17">
        <v>0</v>
      </c>
      <c r="J17">
        <v>7</v>
      </c>
      <c r="K17">
        <v>13</v>
      </c>
      <c r="O17">
        <v>4</v>
      </c>
      <c r="S17" t="s">
        <v>34</v>
      </c>
      <c r="T17" s="1" t="s">
        <v>29</v>
      </c>
      <c r="U17" s="33" t="s">
        <v>67</v>
      </c>
      <c r="V17" s="1" t="s">
        <v>68</v>
      </c>
      <c r="W17" s="1" t="s">
        <v>69</v>
      </c>
    </row>
    <row r="18" spans="1:23" x14ac:dyDescent="0.2">
      <c r="C18" s="32" t="s">
        <v>23</v>
      </c>
      <c r="D18" s="32">
        <f>100/20</f>
        <v>5</v>
      </c>
      <c r="E18" s="32">
        <v>95</v>
      </c>
      <c r="H18">
        <v>60</v>
      </c>
      <c r="O18">
        <v>10</v>
      </c>
      <c r="S18">
        <v>1</v>
      </c>
      <c r="T18">
        <v>1</v>
      </c>
      <c r="U18">
        <v>10</v>
      </c>
      <c r="V18">
        <v>8</v>
      </c>
      <c r="W18">
        <v>0</v>
      </c>
    </row>
    <row r="19" spans="1:23" x14ac:dyDescent="0.2">
      <c r="H19">
        <v>0</v>
      </c>
      <c r="O19">
        <v>8</v>
      </c>
      <c r="R19" s="32" t="s">
        <v>23</v>
      </c>
      <c r="S19" s="31">
        <f>100/20</f>
        <v>5</v>
      </c>
      <c r="T19" s="31">
        <v>5</v>
      </c>
      <c r="U19" s="31">
        <f>1000/20</f>
        <v>50</v>
      </c>
      <c r="V19" s="31">
        <f>800/20</f>
        <v>40</v>
      </c>
    </row>
    <row r="20" spans="1:23" x14ac:dyDescent="0.2">
      <c r="H20">
        <f>64*3</f>
        <v>192</v>
      </c>
      <c r="O20">
        <v>2</v>
      </c>
    </row>
    <row r="21" spans="1:23" x14ac:dyDescent="0.2">
      <c r="D21" s="1" t="s">
        <v>125</v>
      </c>
      <c r="H21">
        <f>37*3</f>
        <v>111</v>
      </c>
      <c r="K21" t="s">
        <v>123</v>
      </c>
      <c r="L21" t="s">
        <v>157</v>
      </c>
      <c r="O21">
        <v>3</v>
      </c>
    </row>
    <row r="22" spans="1:23" x14ac:dyDescent="0.2">
      <c r="D22">
        <v>141</v>
      </c>
      <c r="H22">
        <v>15</v>
      </c>
      <c r="K22" t="s">
        <v>163</v>
      </c>
      <c r="O22">
        <v>3</v>
      </c>
    </row>
    <row r="23" spans="1:23" x14ac:dyDescent="0.2">
      <c r="D23">
        <v>240</v>
      </c>
      <c r="H23">
        <v>21</v>
      </c>
      <c r="O23">
        <v>1</v>
      </c>
    </row>
    <row r="24" spans="1:23" x14ac:dyDescent="0.2">
      <c r="D24">
        <v>175</v>
      </c>
      <c r="H24">
        <f>27*3</f>
        <v>81</v>
      </c>
      <c r="O24">
        <v>3</v>
      </c>
    </row>
    <row r="25" spans="1:23" x14ac:dyDescent="0.2">
      <c r="D25">
        <v>184</v>
      </c>
      <c r="H25">
        <f>19*3</f>
        <v>57</v>
      </c>
      <c r="O25">
        <v>6</v>
      </c>
    </row>
    <row r="26" spans="1:23" x14ac:dyDescent="0.2">
      <c r="H26">
        <v>45</v>
      </c>
      <c r="O26">
        <v>4</v>
      </c>
    </row>
    <row r="27" spans="1:23" x14ac:dyDescent="0.2">
      <c r="H27">
        <v>21</v>
      </c>
      <c r="O27">
        <v>8</v>
      </c>
    </row>
    <row r="28" spans="1:23" x14ac:dyDescent="0.2">
      <c r="H28">
        <v>24</v>
      </c>
      <c r="O28">
        <v>9</v>
      </c>
    </row>
    <row r="29" spans="1:23" x14ac:dyDescent="0.2">
      <c r="H29">
        <f>171*3</f>
        <v>513</v>
      </c>
      <c r="O29">
        <v>3</v>
      </c>
    </row>
    <row r="30" spans="1:23" x14ac:dyDescent="0.2">
      <c r="H30">
        <v>0</v>
      </c>
      <c r="O30">
        <v>6</v>
      </c>
    </row>
    <row r="31" spans="1:23" x14ac:dyDescent="0.2">
      <c r="H31">
        <v>9</v>
      </c>
      <c r="O31">
        <v>6</v>
      </c>
    </row>
    <row r="32" spans="1:23" x14ac:dyDescent="0.2">
      <c r="H32">
        <v>33</v>
      </c>
      <c r="O32">
        <v>7</v>
      </c>
    </row>
    <row r="33" spans="8:15" x14ac:dyDescent="0.2">
      <c r="H33">
        <v>24</v>
      </c>
      <c r="O33">
        <v>5</v>
      </c>
    </row>
    <row r="34" spans="8:15" x14ac:dyDescent="0.2">
      <c r="H34">
        <v>39</v>
      </c>
      <c r="O34">
        <v>2</v>
      </c>
    </row>
    <row r="35" spans="8:15" x14ac:dyDescent="0.2">
      <c r="H35">
        <v>150</v>
      </c>
      <c r="O3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58FD-C257-46CA-BF6D-F421C45F0203}">
  <dimension ref="A1:AC142"/>
  <sheetViews>
    <sheetView tabSelected="1" zoomScale="190" zoomScaleNormal="190" workbookViewId="0">
      <selection activeCell="C32" sqref="C32"/>
    </sheetView>
  </sheetViews>
  <sheetFormatPr baseColWidth="10" defaultColWidth="8.83203125" defaultRowHeight="15" x14ac:dyDescent="0.2"/>
  <cols>
    <col min="2" max="2" width="9.83203125" bestFit="1" customWidth="1"/>
    <col min="3" max="3" width="24.5" customWidth="1"/>
    <col min="4" max="4" width="36.83203125" customWidth="1"/>
    <col min="5" max="5" width="20.1640625" customWidth="1"/>
    <col min="7" max="7" width="14" customWidth="1"/>
    <col min="11" max="11" width="12" bestFit="1" customWidth="1"/>
  </cols>
  <sheetData>
    <row r="1" spans="1:29" x14ac:dyDescent="0.2">
      <c r="A1" t="s">
        <v>77</v>
      </c>
    </row>
    <row r="3" spans="1:29" x14ac:dyDescent="0.2">
      <c r="A3" s="95" t="s">
        <v>78</v>
      </c>
      <c r="B3" s="9"/>
      <c r="C3" s="9"/>
      <c r="D3" s="9"/>
      <c r="E3" s="9"/>
      <c r="F3" s="9"/>
      <c r="G3" s="9"/>
      <c r="H3" s="9"/>
      <c r="I3" s="9"/>
      <c r="J3" s="9"/>
      <c r="K3" s="9"/>
      <c r="L3" s="10"/>
      <c r="N3" s="38" t="s">
        <v>27</v>
      </c>
      <c r="O3" s="39"/>
      <c r="P3" s="39"/>
      <c r="Q3" s="39"/>
      <c r="R3" s="39"/>
      <c r="S3" s="40"/>
      <c r="W3" s="62" t="s">
        <v>1</v>
      </c>
      <c r="X3" s="62"/>
      <c r="Y3" s="62"/>
      <c r="Z3" s="62"/>
      <c r="AA3" s="62"/>
      <c r="AB3" s="62" t="s">
        <v>2</v>
      </c>
      <c r="AC3" s="62"/>
    </row>
    <row r="4" spans="1:29" x14ac:dyDescent="0.2">
      <c r="A4" s="11"/>
      <c r="G4" s="2"/>
      <c r="H4" s="3" t="s">
        <v>79</v>
      </c>
      <c r="I4" s="2"/>
      <c r="J4" s="2"/>
      <c r="K4" s="2"/>
      <c r="L4" s="12"/>
      <c r="N4" s="41" t="s">
        <v>33</v>
      </c>
      <c r="O4" s="42" t="s">
        <v>34</v>
      </c>
      <c r="P4" s="42"/>
      <c r="Q4" s="42" t="s">
        <v>7</v>
      </c>
      <c r="R4" s="42" t="s">
        <v>6</v>
      </c>
      <c r="S4" s="43"/>
      <c r="W4" s="1"/>
      <c r="X4" s="1"/>
      <c r="Y4" s="1"/>
      <c r="Z4" s="1"/>
      <c r="AA4" s="1"/>
      <c r="AB4" s="1"/>
      <c r="AC4" s="1"/>
    </row>
    <row r="5" spans="1:29" x14ac:dyDescent="0.2">
      <c r="A5" s="11"/>
      <c r="B5" s="47" t="s">
        <v>3</v>
      </c>
      <c r="C5" t="s">
        <v>4</v>
      </c>
      <c r="D5" t="s">
        <v>5</v>
      </c>
      <c r="E5" s="1" t="s">
        <v>6</v>
      </c>
      <c r="F5" s="1" t="s">
        <v>7</v>
      </c>
      <c r="G5" s="2"/>
      <c r="H5" s="2" t="s">
        <v>11</v>
      </c>
      <c r="I5" s="2" t="s">
        <v>80</v>
      </c>
      <c r="J5" s="2" t="s">
        <v>81</v>
      </c>
      <c r="K5" s="2"/>
      <c r="L5" s="12"/>
      <c r="N5" s="41"/>
      <c r="O5" s="42"/>
      <c r="P5" s="42" t="s">
        <v>35</v>
      </c>
      <c r="Q5" s="42">
        <v>18</v>
      </c>
      <c r="R5" s="42">
        <v>50</v>
      </c>
      <c r="S5" s="43"/>
      <c r="W5" s="1" t="s">
        <v>9</v>
      </c>
      <c r="X5" s="1"/>
      <c r="Y5" s="1"/>
      <c r="Z5" s="1"/>
      <c r="AA5" s="1"/>
      <c r="AB5" s="1" t="s">
        <v>10</v>
      </c>
      <c r="AC5" s="1"/>
    </row>
    <row r="6" spans="1:29" x14ac:dyDescent="0.2">
      <c r="A6" s="11"/>
      <c r="B6" s="47"/>
      <c r="E6" s="1"/>
      <c r="F6" s="1"/>
      <c r="G6" s="2"/>
      <c r="H6" s="2"/>
      <c r="I6" s="2"/>
      <c r="J6" s="2"/>
      <c r="K6" s="2"/>
      <c r="L6" s="12"/>
      <c r="N6" s="41"/>
      <c r="O6" s="42"/>
      <c r="P6" s="42" t="s">
        <v>23</v>
      </c>
      <c r="Q6" s="42" t="s">
        <v>82</v>
      </c>
      <c r="R6" s="42" t="s">
        <v>83</v>
      </c>
      <c r="S6" s="43"/>
      <c r="W6" s="1"/>
      <c r="X6" s="1"/>
      <c r="Y6" s="1"/>
      <c r="Z6" s="1"/>
      <c r="AA6" s="1"/>
      <c r="AB6" s="1"/>
      <c r="AC6" s="1"/>
    </row>
    <row r="7" spans="1:29" x14ac:dyDescent="0.2">
      <c r="A7" s="11"/>
      <c r="B7" s="47">
        <v>20240224</v>
      </c>
      <c r="C7" t="s">
        <v>84</v>
      </c>
      <c r="D7">
        <v>20</v>
      </c>
      <c r="E7" s="1">
        <v>9</v>
      </c>
      <c r="F7" s="1">
        <v>11</v>
      </c>
      <c r="G7" s="2"/>
      <c r="H7" s="2">
        <v>7</v>
      </c>
      <c r="I7" s="2">
        <v>2</v>
      </c>
      <c r="J7" s="2">
        <v>2</v>
      </c>
      <c r="K7" s="2"/>
      <c r="L7" s="12"/>
      <c r="N7" s="41"/>
      <c r="O7" s="42"/>
      <c r="P7" s="42"/>
      <c r="Q7" s="42"/>
      <c r="R7" s="42"/>
      <c r="S7" s="43"/>
      <c r="W7" s="1"/>
      <c r="X7" s="1"/>
      <c r="Y7" s="1"/>
      <c r="Z7" s="1"/>
      <c r="AA7" s="1"/>
      <c r="AB7" s="1"/>
      <c r="AC7" s="1"/>
    </row>
    <row r="8" spans="1:29" x14ac:dyDescent="0.2">
      <c r="A8" s="11"/>
      <c r="B8" s="47"/>
      <c r="C8" t="s">
        <v>85</v>
      </c>
      <c r="E8" s="1"/>
      <c r="F8" s="1"/>
      <c r="G8" s="2"/>
      <c r="H8" s="2"/>
      <c r="I8" s="2"/>
      <c r="J8" s="2"/>
      <c r="K8" s="2"/>
      <c r="L8" s="12"/>
      <c r="N8" s="44"/>
      <c r="O8" s="45"/>
      <c r="P8" s="45"/>
      <c r="Q8" s="45"/>
      <c r="R8" s="45"/>
      <c r="S8" s="46"/>
      <c r="W8" s="1" t="s">
        <v>16</v>
      </c>
      <c r="X8" s="1"/>
      <c r="Y8" s="1"/>
      <c r="Z8" s="1"/>
      <c r="AA8" s="1"/>
      <c r="AB8" s="1"/>
      <c r="AC8" s="1"/>
    </row>
    <row r="9" spans="1:29" x14ac:dyDescent="0.2">
      <c r="A9" s="11"/>
      <c r="B9" s="47"/>
      <c r="E9" s="1"/>
      <c r="F9" s="1"/>
      <c r="G9" s="2"/>
      <c r="H9" s="2"/>
      <c r="I9" s="2"/>
      <c r="J9" s="2"/>
      <c r="K9" s="2"/>
      <c r="L9" s="12"/>
    </row>
    <row r="10" spans="1:29" x14ac:dyDescent="0.2">
      <c r="A10" s="11"/>
      <c r="B10" s="47">
        <v>20240214</v>
      </c>
      <c r="C10" t="s">
        <v>86</v>
      </c>
      <c r="D10">
        <v>20</v>
      </c>
      <c r="E10" s="1">
        <v>10</v>
      </c>
      <c r="F10" s="1">
        <v>10</v>
      </c>
      <c r="G10" s="2"/>
      <c r="H10" s="2">
        <v>7</v>
      </c>
      <c r="I10" s="2">
        <v>2</v>
      </c>
      <c r="J10" s="2">
        <v>1</v>
      </c>
      <c r="K10" s="2"/>
      <c r="L10" s="12"/>
    </row>
    <row r="11" spans="1:29" x14ac:dyDescent="0.2">
      <c r="A11" s="11"/>
      <c r="B11" s="47"/>
      <c r="G11" s="2"/>
      <c r="H11" s="2"/>
      <c r="I11" s="2"/>
      <c r="J11" s="2"/>
      <c r="K11" s="2"/>
      <c r="L11" s="12"/>
      <c r="T11" t="s">
        <v>87</v>
      </c>
      <c r="U11" t="s">
        <v>88</v>
      </c>
    </row>
    <row r="12" spans="1:29" x14ac:dyDescent="0.2">
      <c r="A12" s="11"/>
      <c r="B12" s="47"/>
      <c r="D12">
        <v>20</v>
      </c>
      <c r="E12">
        <v>8</v>
      </c>
      <c r="F12">
        <v>12</v>
      </c>
      <c r="G12" s="2"/>
      <c r="H12" s="2">
        <v>7</v>
      </c>
      <c r="I12" s="2">
        <v>4</v>
      </c>
      <c r="J12" s="2">
        <v>1</v>
      </c>
      <c r="K12" s="2"/>
      <c r="L12" s="12"/>
      <c r="N12" s="81" t="s">
        <v>89</v>
      </c>
      <c r="O12" s="82"/>
      <c r="P12" s="82"/>
      <c r="Q12" s="82" t="s">
        <v>90</v>
      </c>
      <c r="R12" s="82"/>
      <c r="S12" s="83"/>
      <c r="T12" s="83" t="s">
        <v>34</v>
      </c>
    </row>
    <row r="13" spans="1:29" x14ac:dyDescent="0.2">
      <c r="A13" s="11" t="s">
        <v>91</v>
      </c>
      <c r="B13" s="47">
        <v>20240204</v>
      </c>
      <c r="C13" t="s">
        <v>92</v>
      </c>
      <c r="D13">
        <v>10</v>
      </c>
      <c r="E13">
        <v>4</v>
      </c>
      <c r="F13">
        <v>6</v>
      </c>
      <c r="G13" s="2"/>
      <c r="H13" s="2">
        <v>5</v>
      </c>
      <c r="I13" s="2">
        <v>1</v>
      </c>
      <c r="J13" s="2">
        <v>0</v>
      </c>
      <c r="K13" s="2"/>
      <c r="L13" s="12"/>
      <c r="N13" s="84"/>
      <c r="O13" s="85"/>
      <c r="P13" s="85"/>
      <c r="Q13" s="85"/>
      <c r="R13" s="85"/>
      <c r="S13" s="86"/>
      <c r="T13" s="86" t="s">
        <v>93</v>
      </c>
    </row>
    <row r="14" spans="1:29" s="4" customFormat="1" ht="19" x14ac:dyDescent="0.25">
      <c r="A14" s="13"/>
      <c r="B14" s="99"/>
      <c r="C14" s="4" t="s">
        <v>94</v>
      </c>
      <c r="D14" s="4">
        <f>SUM(D7:D13)</f>
        <v>70</v>
      </c>
      <c r="E14" s="4">
        <f>SUM(E7:E13)</f>
        <v>31</v>
      </c>
      <c r="F14" s="4">
        <f>SUM(F7:F13)</f>
        <v>39</v>
      </c>
      <c r="G14" s="5"/>
      <c r="H14" s="5">
        <f>SUM(H7:H13)</f>
        <v>26</v>
      </c>
      <c r="I14" s="5">
        <f>SUM(I7:I13)</f>
        <v>9</v>
      </c>
      <c r="J14" s="5">
        <f>SUM(J7:J13)</f>
        <v>4</v>
      </c>
      <c r="K14" s="5"/>
      <c r="L14" s="14"/>
      <c r="N14" s="87" t="s">
        <v>21</v>
      </c>
      <c r="O14" s="88" t="s">
        <v>11</v>
      </c>
      <c r="P14" s="88" t="s">
        <v>95</v>
      </c>
      <c r="Q14" s="88"/>
      <c r="R14" s="88"/>
      <c r="S14" s="89"/>
    </row>
    <row r="15" spans="1:29" x14ac:dyDescent="0.2">
      <c r="A15" s="11"/>
      <c r="G15" s="2"/>
      <c r="H15" s="2"/>
      <c r="I15" s="2"/>
      <c r="J15" s="2"/>
      <c r="K15" s="2"/>
      <c r="L15" s="12"/>
      <c r="N15" s="84"/>
      <c r="O15" s="85"/>
      <c r="P15" s="85"/>
      <c r="Q15" s="85"/>
      <c r="R15" s="85"/>
      <c r="S15" s="86"/>
    </row>
    <row r="16" spans="1:29" x14ac:dyDescent="0.2">
      <c r="A16" s="11"/>
      <c r="G16" s="2"/>
      <c r="H16" s="2">
        <f>26*100/70</f>
        <v>37.142857142857146</v>
      </c>
      <c r="I16" s="2">
        <f>9*100/70</f>
        <v>12.857142857142858</v>
      </c>
      <c r="J16" s="2">
        <f>4*100/70</f>
        <v>5.7142857142857144</v>
      </c>
      <c r="K16" s="2"/>
      <c r="L16" s="12"/>
      <c r="N16" s="90">
        <v>0.44</v>
      </c>
      <c r="O16" s="91">
        <v>0.37</v>
      </c>
      <c r="P16" s="91">
        <v>0.19</v>
      </c>
      <c r="Q16" s="85"/>
      <c r="R16" s="85"/>
      <c r="S16" s="86"/>
    </row>
    <row r="17" spans="1:19" x14ac:dyDescent="0.2">
      <c r="A17" s="15"/>
      <c r="B17" s="16"/>
      <c r="C17" s="16"/>
      <c r="D17" s="16"/>
      <c r="E17" s="16"/>
      <c r="F17" s="16"/>
      <c r="G17" s="17"/>
      <c r="H17" s="17"/>
      <c r="I17" s="17"/>
      <c r="J17" s="17"/>
      <c r="K17" s="17"/>
      <c r="L17" s="18"/>
      <c r="N17" s="92"/>
      <c r="O17" s="93"/>
      <c r="P17" s="93"/>
      <c r="Q17" s="93"/>
      <c r="R17" s="93"/>
      <c r="S17" s="94"/>
    </row>
    <row r="18" spans="1:19" x14ac:dyDescent="0.2">
      <c r="G18" s="2"/>
      <c r="H18" s="2"/>
      <c r="I18" s="2"/>
      <c r="J18" s="2"/>
      <c r="K18" s="2"/>
      <c r="L18" s="2"/>
    </row>
    <row r="19" spans="1:19" s="19" customFormat="1" x14ac:dyDescent="0.2">
      <c r="A19" s="20"/>
      <c r="B19" s="21" t="s">
        <v>26</v>
      </c>
      <c r="C19" s="21"/>
      <c r="D19" s="21"/>
      <c r="E19" s="21"/>
      <c r="F19" s="22"/>
    </row>
    <row r="20" spans="1:19" x14ac:dyDescent="0.2">
      <c r="A20" s="23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24"/>
      <c r="G20" s="2"/>
      <c r="H20" s="2"/>
      <c r="I20" s="2"/>
      <c r="J20" s="2"/>
      <c r="K20" s="2"/>
      <c r="L20" s="2"/>
    </row>
    <row r="21" spans="1:19" x14ac:dyDescent="0.2">
      <c r="A21" s="25">
        <v>22</v>
      </c>
      <c r="B21" s="26">
        <v>31</v>
      </c>
      <c r="C21" s="26">
        <v>13</v>
      </c>
      <c r="D21" s="26">
        <v>4</v>
      </c>
      <c r="E21" s="26">
        <v>7</v>
      </c>
      <c r="F21" s="27" t="s">
        <v>96</v>
      </c>
      <c r="G21" s="2"/>
      <c r="H21" s="2"/>
      <c r="I21" s="2"/>
      <c r="J21" s="2"/>
      <c r="K21" s="2"/>
      <c r="L21" s="2"/>
    </row>
    <row r="22" spans="1:19" x14ac:dyDescent="0.2">
      <c r="A22">
        <f>2200/70</f>
        <v>31.428571428571427</v>
      </c>
      <c r="B22">
        <f>3100/70</f>
        <v>44.285714285714285</v>
      </c>
      <c r="C22">
        <f>1300/70</f>
        <v>18.571428571428573</v>
      </c>
      <c r="D22">
        <f>400/70</f>
        <v>5.7142857142857144</v>
      </c>
    </row>
    <row r="23" spans="1:19" x14ac:dyDescent="0.2">
      <c r="K23">
        <v>1</v>
      </c>
      <c r="L23">
        <v>1</v>
      </c>
    </row>
    <row r="24" spans="1:19" x14ac:dyDescent="0.2">
      <c r="A24" s="59"/>
      <c r="B24" s="53"/>
      <c r="C24" s="53"/>
      <c r="D24" s="53"/>
      <c r="E24" s="53"/>
      <c r="F24" s="53"/>
      <c r="G24" s="60"/>
    </row>
    <row r="25" spans="1:19" x14ac:dyDescent="0.2">
      <c r="A25" s="61" t="s">
        <v>97</v>
      </c>
      <c r="B25" s="49"/>
      <c r="C25" s="49" t="s">
        <v>98</v>
      </c>
      <c r="D25" s="62" t="s">
        <v>6</v>
      </c>
      <c r="E25" s="62" t="s">
        <v>7</v>
      </c>
      <c r="F25" s="49"/>
      <c r="G25" s="63"/>
      <c r="L25">
        <v>0</v>
      </c>
    </row>
    <row r="26" spans="1:19" x14ac:dyDescent="0.2">
      <c r="A26" s="61"/>
      <c r="B26" s="49"/>
      <c r="C26" s="49"/>
      <c r="D26" s="49">
        <v>62</v>
      </c>
      <c r="E26" s="49">
        <v>78</v>
      </c>
      <c r="F26" s="49"/>
      <c r="G26" s="63"/>
    </row>
    <row r="27" spans="1:19" x14ac:dyDescent="0.2">
      <c r="A27" s="61"/>
      <c r="B27" s="49"/>
      <c r="C27" s="49"/>
      <c r="D27" s="49">
        <f>62*100/140</f>
        <v>44.285714285714285</v>
      </c>
      <c r="E27" s="49">
        <f>78*100/140</f>
        <v>55.714285714285715</v>
      </c>
      <c r="F27" s="49"/>
      <c r="G27" s="63"/>
      <c r="K27" s="1" t="s">
        <v>39</v>
      </c>
    </row>
    <row r="28" spans="1:19" x14ac:dyDescent="0.2">
      <c r="A28" s="64"/>
      <c r="B28" s="55"/>
      <c r="C28" s="55"/>
      <c r="D28" s="55"/>
      <c r="E28" s="55"/>
      <c r="F28" s="55"/>
      <c r="G28" s="65"/>
      <c r="K28" s="1"/>
    </row>
    <row r="29" spans="1:19" x14ac:dyDescent="0.2">
      <c r="E29" t="s">
        <v>40</v>
      </c>
      <c r="H29" t="s">
        <v>41</v>
      </c>
      <c r="L29" t="s">
        <v>42</v>
      </c>
    </row>
    <row r="31" spans="1:19" x14ac:dyDescent="0.2">
      <c r="D31">
        <v>156</v>
      </c>
      <c r="G31" t="s">
        <v>99</v>
      </c>
      <c r="K31" t="s">
        <v>100</v>
      </c>
    </row>
    <row r="32" spans="1:19" x14ac:dyDescent="0.2">
      <c r="D32">
        <v>588</v>
      </c>
      <c r="E32" t="s">
        <v>101</v>
      </c>
      <c r="G32" s="6">
        <v>60192</v>
      </c>
      <c r="K32" t="s">
        <v>102</v>
      </c>
    </row>
    <row r="33" spans="4:11" x14ac:dyDescent="0.2">
      <c r="D33">
        <v>45</v>
      </c>
      <c r="G33" t="s">
        <v>103</v>
      </c>
      <c r="K33" s="6">
        <v>210459426</v>
      </c>
    </row>
    <row r="34" spans="4:11" x14ac:dyDescent="0.2">
      <c r="D34">
        <v>24</v>
      </c>
      <c r="G34" s="6">
        <v>303378</v>
      </c>
      <c r="K34" s="6">
        <v>87126291</v>
      </c>
    </row>
    <row r="35" spans="4:11" x14ac:dyDescent="0.2">
      <c r="D35">
        <v>162</v>
      </c>
      <c r="G35" s="6">
        <v>54201</v>
      </c>
    </row>
    <row r="36" spans="4:11" x14ac:dyDescent="0.2">
      <c r="D36">
        <v>36</v>
      </c>
      <c r="G36" s="6">
        <v>468489</v>
      </c>
    </row>
    <row r="37" spans="4:11" x14ac:dyDescent="0.2">
      <c r="D37">
        <v>42</v>
      </c>
      <c r="G37" s="6">
        <v>123333</v>
      </c>
    </row>
    <row r="38" spans="4:11" x14ac:dyDescent="0.2">
      <c r="D38">
        <v>93</v>
      </c>
      <c r="G38" s="6">
        <v>102300</v>
      </c>
    </row>
    <row r="39" spans="4:11" x14ac:dyDescent="0.2">
      <c r="D39">
        <v>381</v>
      </c>
      <c r="E39" t="s">
        <v>104</v>
      </c>
    </row>
    <row r="40" spans="4:11" x14ac:dyDescent="0.2">
      <c r="D40">
        <v>180</v>
      </c>
    </row>
    <row r="41" spans="4:11" x14ac:dyDescent="0.2">
      <c r="D41">
        <v>105</v>
      </c>
    </row>
    <row r="42" spans="4:11" x14ac:dyDescent="0.2">
      <c r="D42">
        <v>69</v>
      </c>
    </row>
    <row r="43" spans="4:11" x14ac:dyDescent="0.2">
      <c r="D43">
        <v>403</v>
      </c>
    </row>
    <row r="44" spans="4:11" x14ac:dyDescent="0.2">
      <c r="D44">
        <v>492</v>
      </c>
    </row>
    <row r="45" spans="4:11" x14ac:dyDescent="0.2">
      <c r="D45">
        <v>438</v>
      </c>
    </row>
    <row r="46" spans="4:11" x14ac:dyDescent="0.2">
      <c r="D46">
        <v>54</v>
      </c>
    </row>
    <row r="47" spans="4:11" x14ac:dyDescent="0.2">
      <c r="D47">
        <v>228</v>
      </c>
    </row>
    <row r="48" spans="4:11" x14ac:dyDescent="0.2">
      <c r="D48">
        <v>222</v>
      </c>
    </row>
    <row r="49" spans="4:4" x14ac:dyDescent="0.2">
      <c r="D49">
        <v>417</v>
      </c>
    </row>
    <row r="50" spans="4:4" x14ac:dyDescent="0.2">
      <c r="D50">
        <v>45</v>
      </c>
    </row>
    <row r="51" spans="4:4" x14ac:dyDescent="0.2">
      <c r="D51">
        <v>147</v>
      </c>
    </row>
    <row r="52" spans="4:4" x14ac:dyDescent="0.2">
      <c r="D52">
        <v>69</v>
      </c>
    </row>
    <row r="53" spans="4:4" x14ac:dyDescent="0.2">
      <c r="D53">
        <v>300</v>
      </c>
    </row>
    <row r="54" spans="4:4" x14ac:dyDescent="0.2">
      <c r="D54">
        <v>306</v>
      </c>
    </row>
    <row r="55" spans="4:4" x14ac:dyDescent="0.2">
      <c r="D55">
        <v>96</v>
      </c>
    </row>
    <row r="56" spans="4:4" x14ac:dyDescent="0.2">
      <c r="D56">
        <v>102</v>
      </c>
    </row>
    <row r="57" spans="4:4" x14ac:dyDescent="0.2">
      <c r="D57">
        <v>138</v>
      </c>
    </row>
    <row r="58" spans="4:4" x14ac:dyDescent="0.2">
      <c r="D58">
        <v>255</v>
      </c>
    </row>
    <row r="64" spans="4:4" x14ac:dyDescent="0.2">
      <c r="D64" t="s">
        <v>56</v>
      </c>
    </row>
    <row r="66" spans="4:5" x14ac:dyDescent="0.2">
      <c r="D66" t="s">
        <v>57</v>
      </c>
    </row>
    <row r="67" spans="4:5" x14ac:dyDescent="0.2">
      <c r="D67" t="s">
        <v>58</v>
      </c>
    </row>
    <row r="68" spans="4:5" x14ac:dyDescent="0.2">
      <c r="D68" t="s">
        <v>59</v>
      </c>
    </row>
    <row r="69" spans="4:5" x14ac:dyDescent="0.2">
      <c r="D69" t="s">
        <v>60</v>
      </c>
    </row>
    <row r="71" spans="4:5" x14ac:dyDescent="0.2">
      <c r="D71" s="1" t="s">
        <v>105</v>
      </c>
      <c r="E71" s="1">
        <f>7*100/70</f>
        <v>10</v>
      </c>
    </row>
    <row r="72" spans="4:5" x14ac:dyDescent="0.2">
      <c r="D72" s="1" t="s">
        <v>106</v>
      </c>
      <c r="E72" s="1">
        <f>600/70</f>
        <v>8.5714285714285712</v>
      </c>
    </row>
    <row r="73" spans="4:5" x14ac:dyDescent="0.2">
      <c r="D73" s="1" t="s">
        <v>107</v>
      </c>
      <c r="E73" s="1">
        <f>2600/70</f>
        <v>37.142857142857146</v>
      </c>
    </row>
    <row r="74" spans="4:5" x14ac:dyDescent="0.2">
      <c r="D74" s="1" t="s">
        <v>108</v>
      </c>
      <c r="E74" s="1"/>
    </row>
    <row r="75" spans="4:5" x14ac:dyDescent="0.2">
      <c r="D75" s="1" t="s">
        <v>6</v>
      </c>
      <c r="E75" s="1">
        <f>100-55.714</f>
        <v>44.286000000000001</v>
      </c>
    </row>
    <row r="76" spans="4:5" x14ac:dyDescent="0.2">
      <c r="D76" t="s">
        <v>109</v>
      </c>
    </row>
    <row r="78" spans="4:5" x14ac:dyDescent="0.2">
      <c r="E78" t="s">
        <v>110</v>
      </c>
    </row>
    <row r="79" spans="4:5" x14ac:dyDescent="0.2">
      <c r="D79" s="1" t="s">
        <v>105</v>
      </c>
      <c r="E79">
        <f>700/39</f>
        <v>17.948717948717949</v>
      </c>
    </row>
    <row r="80" spans="4:5" x14ac:dyDescent="0.2">
      <c r="D80" s="1" t="s">
        <v>106</v>
      </c>
      <c r="E80">
        <f>600/39</f>
        <v>15.384615384615385</v>
      </c>
    </row>
    <row r="81" spans="3:18" x14ac:dyDescent="0.2">
      <c r="D81" s="1" t="s">
        <v>107</v>
      </c>
      <c r="E81">
        <f>2600/39</f>
        <v>66.666666666666671</v>
      </c>
    </row>
    <row r="82" spans="3:18" x14ac:dyDescent="0.2">
      <c r="D82" s="1"/>
    </row>
    <row r="85" spans="3:18" x14ac:dyDescent="0.2">
      <c r="E85" s="47"/>
      <c r="F85" s="47"/>
      <c r="G85" s="47"/>
      <c r="H85" s="47"/>
      <c r="I85" s="47"/>
      <c r="J85" s="47"/>
      <c r="K85" s="47"/>
      <c r="M85" s="47" t="s">
        <v>34</v>
      </c>
      <c r="N85" s="47" t="s">
        <v>29</v>
      </c>
      <c r="O85" s="48" t="s">
        <v>67</v>
      </c>
      <c r="P85" s="47" t="s">
        <v>68</v>
      </c>
      <c r="Q85" s="47" t="s">
        <v>69</v>
      </c>
      <c r="R85" s="47"/>
    </row>
    <row r="86" spans="3:18" x14ac:dyDescent="0.2">
      <c r="C86" t="s">
        <v>111</v>
      </c>
      <c r="E86" s="47" t="s">
        <v>34</v>
      </c>
      <c r="F86" s="47" t="s">
        <v>29</v>
      </c>
      <c r="G86" s="48" t="s">
        <v>67</v>
      </c>
      <c r="H86" s="47" t="s">
        <v>68</v>
      </c>
      <c r="I86" s="47" t="s">
        <v>69</v>
      </c>
      <c r="J86" s="47"/>
      <c r="K86" s="47"/>
      <c r="M86" s="47">
        <v>5</v>
      </c>
      <c r="N86" s="47">
        <v>8</v>
      </c>
      <c r="O86" s="47">
        <v>68</v>
      </c>
      <c r="P86" s="47">
        <v>30</v>
      </c>
      <c r="Q86" s="47">
        <v>4</v>
      </c>
      <c r="R86" s="47">
        <f>SUM(M86:Q86)</f>
        <v>115</v>
      </c>
    </row>
    <row r="87" spans="3:18" x14ac:dyDescent="0.2">
      <c r="E87" s="47">
        <v>5</v>
      </c>
      <c r="F87" s="47">
        <v>8</v>
      </c>
      <c r="G87" s="47">
        <v>65</v>
      </c>
      <c r="H87" s="47">
        <v>30</v>
      </c>
      <c r="I87" s="47">
        <v>4</v>
      </c>
      <c r="J87" s="47">
        <f>SUM(E87:I87)</f>
        <v>112</v>
      </c>
      <c r="K87" s="47"/>
    </row>
    <row r="88" spans="3:18" x14ac:dyDescent="0.2">
      <c r="C88" s="35">
        <v>3</v>
      </c>
      <c r="E88" s="47">
        <f>500/112</f>
        <v>4.4642857142857144</v>
      </c>
      <c r="F88" s="47">
        <f>400/56</f>
        <v>7.1428571428571432</v>
      </c>
      <c r="G88" s="47">
        <f>3400/56</f>
        <v>60.714285714285715</v>
      </c>
      <c r="H88" s="47">
        <f>1500/56</f>
        <v>26.785714285714285</v>
      </c>
      <c r="I88" s="47">
        <f>200/56</f>
        <v>3.5714285714285716</v>
      </c>
      <c r="J88" s="47"/>
      <c r="K88" s="47"/>
    </row>
    <row r="89" spans="3:18" x14ac:dyDescent="0.2">
      <c r="C89" s="35">
        <v>3</v>
      </c>
      <c r="E89" s="47"/>
      <c r="F89" s="47"/>
      <c r="G89" s="47"/>
      <c r="H89" s="47"/>
      <c r="I89" s="47"/>
      <c r="J89" s="47"/>
      <c r="K89" s="47"/>
    </row>
    <row r="90" spans="3:18" x14ac:dyDescent="0.2">
      <c r="C90" s="35">
        <v>3</v>
      </c>
      <c r="E90" s="47"/>
      <c r="F90" s="47"/>
      <c r="G90" s="47"/>
      <c r="H90" s="47"/>
      <c r="I90" s="47"/>
      <c r="J90" s="47"/>
      <c r="K90" s="47"/>
    </row>
    <row r="91" spans="3:18" x14ac:dyDescent="0.2">
      <c r="C91" s="35">
        <v>5</v>
      </c>
      <c r="E91" s="47"/>
      <c r="F91" s="47"/>
      <c r="G91" s="47"/>
      <c r="H91" s="47"/>
      <c r="I91" s="47"/>
      <c r="J91" s="47"/>
      <c r="K91" s="47"/>
    </row>
    <row r="92" spans="3:18" x14ac:dyDescent="0.2">
      <c r="C92" s="35">
        <v>3</v>
      </c>
    </row>
    <row r="93" spans="3:18" x14ac:dyDescent="0.2">
      <c r="C93" s="35">
        <v>2</v>
      </c>
    </row>
    <row r="94" spans="3:18" x14ac:dyDescent="0.2">
      <c r="C94" s="35">
        <v>4</v>
      </c>
      <c r="D94" s="96" t="s">
        <v>74</v>
      </c>
      <c r="E94" s="97"/>
      <c r="F94" s="98"/>
    </row>
    <row r="95" spans="3:18" x14ac:dyDescent="0.2">
      <c r="C95">
        <v>7</v>
      </c>
      <c r="D95" s="23"/>
      <c r="E95" s="1"/>
      <c r="F95" s="24"/>
    </row>
    <row r="96" spans="3:18" x14ac:dyDescent="0.2">
      <c r="C96">
        <v>6</v>
      </c>
      <c r="D96" s="23" t="s">
        <v>75</v>
      </c>
      <c r="E96" s="58">
        <v>0.6</v>
      </c>
      <c r="F96" s="24"/>
    </row>
    <row r="97" spans="3:6" x14ac:dyDescent="0.2">
      <c r="C97" s="34">
        <v>1</v>
      </c>
      <c r="D97" s="23" t="s">
        <v>76</v>
      </c>
      <c r="E97" s="58">
        <v>0.8</v>
      </c>
      <c r="F97" s="24"/>
    </row>
    <row r="98" spans="3:6" x14ac:dyDescent="0.2">
      <c r="C98">
        <v>7</v>
      </c>
      <c r="D98" s="15"/>
      <c r="E98" s="16"/>
      <c r="F98" s="28"/>
    </row>
    <row r="99" spans="3:6" x14ac:dyDescent="0.2">
      <c r="C99" s="35">
        <v>5</v>
      </c>
    </row>
    <row r="100" spans="3:6" x14ac:dyDescent="0.2">
      <c r="C100" s="35">
        <v>3</v>
      </c>
    </row>
    <row r="101" spans="3:6" x14ac:dyDescent="0.2">
      <c r="C101" s="35">
        <v>3</v>
      </c>
    </row>
    <row r="102" spans="3:6" x14ac:dyDescent="0.2">
      <c r="C102" s="35">
        <v>4</v>
      </c>
    </row>
    <row r="103" spans="3:6" x14ac:dyDescent="0.2">
      <c r="C103" s="35">
        <v>4</v>
      </c>
    </row>
    <row r="104" spans="3:6" x14ac:dyDescent="0.2">
      <c r="C104" t="s">
        <v>70</v>
      </c>
    </row>
    <row r="105" spans="3:6" x14ac:dyDescent="0.2">
      <c r="C105" t="s">
        <v>70</v>
      </c>
    </row>
    <row r="106" spans="3:6" x14ac:dyDescent="0.2">
      <c r="C106" t="s">
        <v>70</v>
      </c>
    </row>
    <row r="107" spans="3:6" x14ac:dyDescent="0.2">
      <c r="C107" s="35">
        <v>5</v>
      </c>
    </row>
    <row r="108" spans="3:6" x14ac:dyDescent="0.2">
      <c r="C108" s="35">
        <v>3</v>
      </c>
    </row>
    <row r="109" spans="3:6" x14ac:dyDescent="0.2">
      <c r="C109">
        <v>6</v>
      </c>
    </row>
    <row r="110" spans="3:6" x14ac:dyDescent="0.2">
      <c r="C110" t="s">
        <v>72</v>
      </c>
    </row>
    <row r="111" spans="3:6" x14ac:dyDescent="0.2">
      <c r="C111" t="s">
        <v>70</v>
      </c>
    </row>
    <row r="112" spans="3:6" x14ac:dyDescent="0.2">
      <c r="C112" s="35">
        <v>2</v>
      </c>
    </row>
    <row r="113" spans="3:3" x14ac:dyDescent="0.2">
      <c r="C113" s="35">
        <v>4</v>
      </c>
    </row>
    <row r="114" spans="3:3" x14ac:dyDescent="0.2">
      <c r="C114" s="35">
        <v>3</v>
      </c>
    </row>
    <row r="115" spans="3:3" x14ac:dyDescent="0.2">
      <c r="C115" t="s">
        <v>70</v>
      </c>
    </row>
    <row r="116" spans="3:3" x14ac:dyDescent="0.2">
      <c r="C116" s="35">
        <v>3</v>
      </c>
    </row>
    <row r="117" spans="3:3" x14ac:dyDescent="0.2">
      <c r="C117" s="35">
        <v>2</v>
      </c>
    </row>
    <row r="118" spans="3:3" x14ac:dyDescent="0.2">
      <c r="C118" s="35">
        <v>4</v>
      </c>
    </row>
    <row r="119" spans="3:3" x14ac:dyDescent="0.2">
      <c r="C119" s="35">
        <v>4</v>
      </c>
    </row>
    <row r="120" spans="3:3" x14ac:dyDescent="0.2">
      <c r="C120">
        <v>0</v>
      </c>
    </row>
    <row r="121" spans="3:3" x14ac:dyDescent="0.2">
      <c r="C121" s="34">
        <v>1</v>
      </c>
    </row>
    <row r="122" spans="3:3" x14ac:dyDescent="0.2">
      <c r="C122" s="35">
        <v>4</v>
      </c>
    </row>
    <row r="123" spans="3:3" x14ac:dyDescent="0.2">
      <c r="C123" t="s">
        <v>70</v>
      </c>
    </row>
    <row r="124" spans="3:3" x14ac:dyDescent="0.2">
      <c r="C124" t="s">
        <v>72</v>
      </c>
    </row>
    <row r="125" spans="3:3" x14ac:dyDescent="0.2">
      <c r="C125">
        <v>6</v>
      </c>
    </row>
    <row r="126" spans="3:3" x14ac:dyDescent="0.2">
      <c r="C126">
        <v>10</v>
      </c>
    </row>
    <row r="127" spans="3:3" x14ac:dyDescent="0.2">
      <c r="C127" s="35">
        <v>4</v>
      </c>
    </row>
    <row r="128" spans="3:3" x14ac:dyDescent="0.2">
      <c r="C128">
        <v>7</v>
      </c>
    </row>
    <row r="129" spans="3:3" x14ac:dyDescent="0.2">
      <c r="C129" s="35">
        <v>5</v>
      </c>
    </row>
    <row r="130" spans="3:3" x14ac:dyDescent="0.2">
      <c r="C130" s="35">
        <v>2</v>
      </c>
    </row>
    <row r="131" spans="3:3" x14ac:dyDescent="0.2">
      <c r="C131" s="35">
        <v>3</v>
      </c>
    </row>
    <row r="132" spans="3:3" x14ac:dyDescent="0.2">
      <c r="C132" s="35">
        <v>3</v>
      </c>
    </row>
    <row r="133" spans="3:3" x14ac:dyDescent="0.2">
      <c r="C133" s="35">
        <v>2</v>
      </c>
    </row>
    <row r="134" spans="3:3" x14ac:dyDescent="0.2">
      <c r="C134" s="35">
        <v>4</v>
      </c>
    </row>
    <row r="135" spans="3:3" x14ac:dyDescent="0.2">
      <c r="C135">
        <v>8</v>
      </c>
    </row>
    <row r="136" spans="3:3" x14ac:dyDescent="0.2">
      <c r="C136" t="s">
        <v>69</v>
      </c>
    </row>
    <row r="137" spans="3:3" x14ac:dyDescent="0.2">
      <c r="C137" s="35">
        <v>4</v>
      </c>
    </row>
    <row r="138" spans="3:3" x14ac:dyDescent="0.2">
      <c r="C138" s="35">
        <v>3</v>
      </c>
    </row>
    <row r="139" spans="3:3" x14ac:dyDescent="0.2">
      <c r="C139" s="35">
        <v>4</v>
      </c>
    </row>
    <row r="140" spans="3:3" x14ac:dyDescent="0.2">
      <c r="C140" s="34">
        <v>1</v>
      </c>
    </row>
    <row r="141" spans="3:3" x14ac:dyDescent="0.2">
      <c r="C141" s="35">
        <v>3</v>
      </c>
    </row>
    <row r="142" spans="3:3" x14ac:dyDescent="0.2">
      <c r="C142" s="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02AB-99AF-4186-9B47-A080B79F6788}">
  <dimension ref="C1:J78"/>
  <sheetViews>
    <sheetView topLeftCell="A128" workbookViewId="0">
      <selection activeCell="C1" sqref="C1"/>
    </sheetView>
  </sheetViews>
  <sheetFormatPr baseColWidth="10" defaultColWidth="8.83203125" defaultRowHeight="15" x14ac:dyDescent="0.2"/>
  <sheetData>
    <row r="1" spans="3:10" x14ac:dyDescent="0.2">
      <c r="C1" t="s">
        <v>112</v>
      </c>
    </row>
    <row r="2" spans="3:10" x14ac:dyDescent="0.2">
      <c r="G2" s="1"/>
      <c r="H2" s="33"/>
      <c r="I2" s="1"/>
      <c r="J2" s="1"/>
    </row>
    <row r="3" spans="3:10" x14ac:dyDescent="0.2">
      <c r="C3">
        <v>27</v>
      </c>
    </row>
    <row r="4" spans="3:10" x14ac:dyDescent="0.2">
      <c r="C4">
        <f>74*3</f>
        <v>222</v>
      </c>
    </row>
    <row r="5" spans="3:10" x14ac:dyDescent="0.2">
      <c r="C5">
        <v>0</v>
      </c>
    </row>
    <row r="6" spans="3:10" x14ac:dyDescent="0.2">
      <c r="C6">
        <v>0</v>
      </c>
    </row>
    <row r="7" spans="3:10" x14ac:dyDescent="0.2">
      <c r="C7">
        <v>42</v>
      </c>
    </row>
    <row r="8" spans="3:10" x14ac:dyDescent="0.2">
      <c r="C8">
        <v>12</v>
      </c>
    </row>
    <row r="9" spans="3:10" x14ac:dyDescent="0.2">
      <c r="C9">
        <v>36</v>
      </c>
    </row>
    <row r="10" spans="3:10" x14ac:dyDescent="0.2">
      <c r="C10">
        <v>93</v>
      </c>
    </row>
    <row r="11" spans="3:10" x14ac:dyDescent="0.2">
      <c r="C11">
        <v>0</v>
      </c>
    </row>
    <row r="12" spans="3:10" x14ac:dyDescent="0.2">
      <c r="C12">
        <v>12</v>
      </c>
    </row>
    <row r="13" spans="3:10" x14ac:dyDescent="0.2">
      <c r="C13">
        <v>24</v>
      </c>
    </row>
    <row r="14" spans="3:10" x14ac:dyDescent="0.2">
      <c r="C14">
        <v>45</v>
      </c>
    </row>
    <row r="15" spans="3:10" x14ac:dyDescent="0.2">
      <c r="C15">
        <v>0</v>
      </c>
    </row>
    <row r="16" spans="3:10" x14ac:dyDescent="0.2">
      <c r="C16">
        <v>120</v>
      </c>
    </row>
    <row r="17" spans="3:3" x14ac:dyDescent="0.2">
      <c r="C17">
        <v>0</v>
      </c>
    </row>
    <row r="18" spans="3:3" x14ac:dyDescent="0.2">
      <c r="C18">
        <v>51</v>
      </c>
    </row>
    <row r="19" spans="3:3" x14ac:dyDescent="0.2">
      <c r="C19">
        <v>0</v>
      </c>
    </row>
    <row r="20" spans="3:3" x14ac:dyDescent="0.2">
      <c r="C20">
        <v>36</v>
      </c>
    </row>
    <row r="21" spans="3:3" x14ac:dyDescent="0.2">
      <c r="C21">
        <v>45</v>
      </c>
    </row>
    <row r="22" spans="3:3" x14ac:dyDescent="0.2">
      <c r="C22">
        <v>195</v>
      </c>
    </row>
    <row r="23" spans="3:3" x14ac:dyDescent="0.2">
      <c r="C23">
        <v>90</v>
      </c>
    </row>
    <row r="24" spans="3:3" x14ac:dyDescent="0.2">
      <c r="C24">
        <f>63*3</f>
        <v>189</v>
      </c>
    </row>
    <row r="25" spans="3:3" x14ac:dyDescent="0.2">
      <c r="C25">
        <v>0</v>
      </c>
    </row>
    <row r="26" spans="3:3" x14ac:dyDescent="0.2">
      <c r="C26">
        <v>3</v>
      </c>
    </row>
    <row r="27" spans="3:3" x14ac:dyDescent="0.2">
      <c r="C27">
        <v>120</v>
      </c>
    </row>
    <row r="28" spans="3:3" x14ac:dyDescent="0.2">
      <c r="C28">
        <v>61</v>
      </c>
    </row>
    <row r="29" spans="3:3" x14ac:dyDescent="0.2">
      <c r="C29">
        <v>126</v>
      </c>
    </row>
    <row r="30" spans="3:3" x14ac:dyDescent="0.2">
      <c r="C30">
        <v>54</v>
      </c>
    </row>
    <row r="31" spans="3:3" x14ac:dyDescent="0.2">
      <c r="C31">
        <v>33</v>
      </c>
    </row>
    <row r="32" spans="3:3" x14ac:dyDescent="0.2">
      <c r="C32">
        <v>0</v>
      </c>
    </row>
    <row r="33" spans="3:3" x14ac:dyDescent="0.2">
      <c r="C33">
        <v>0</v>
      </c>
    </row>
    <row r="34" spans="3:3" x14ac:dyDescent="0.2">
      <c r="C34">
        <v>15</v>
      </c>
    </row>
    <row r="35" spans="3:3" x14ac:dyDescent="0.2">
      <c r="C35">
        <v>33</v>
      </c>
    </row>
    <row r="36" spans="3:3" x14ac:dyDescent="0.2">
      <c r="C36">
        <v>0</v>
      </c>
    </row>
    <row r="37" spans="3:3" x14ac:dyDescent="0.2">
      <c r="C37">
        <v>0</v>
      </c>
    </row>
    <row r="38" spans="3:3" x14ac:dyDescent="0.2">
      <c r="C38">
        <v>42</v>
      </c>
    </row>
    <row r="39" spans="3:3" x14ac:dyDescent="0.2">
      <c r="C39">
        <v>210</v>
      </c>
    </row>
    <row r="40" spans="3:3" x14ac:dyDescent="0.2">
      <c r="C40">
        <v>9</v>
      </c>
    </row>
    <row r="41" spans="3:3" x14ac:dyDescent="0.2">
      <c r="C41">
        <f>41*3</f>
        <v>123</v>
      </c>
    </row>
    <row r="42" spans="3:3" x14ac:dyDescent="0.2">
      <c r="C42">
        <v>24</v>
      </c>
    </row>
    <row r="43" spans="3:3" x14ac:dyDescent="0.2">
      <c r="C43">
        <v>39</v>
      </c>
    </row>
    <row r="44" spans="3:3" x14ac:dyDescent="0.2">
      <c r="C44">
        <v>9</v>
      </c>
    </row>
    <row r="45" spans="3:3" x14ac:dyDescent="0.2">
      <c r="C45">
        <v>75</v>
      </c>
    </row>
    <row r="46" spans="3:3" x14ac:dyDescent="0.2">
      <c r="C46">
        <v>0</v>
      </c>
    </row>
    <row r="47" spans="3:3" x14ac:dyDescent="0.2">
      <c r="C47">
        <v>3</v>
      </c>
    </row>
    <row r="48" spans="3:3" x14ac:dyDescent="0.2">
      <c r="C48">
        <v>318</v>
      </c>
    </row>
    <row r="49" spans="3:3" x14ac:dyDescent="0.2">
      <c r="C49">
        <v>9</v>
      </c>
    </row>
    <row r="50" spans="3:3" x14ac:dyDescent="0.2">
      <c r="C50">
        <f>27*3</f>
        <v>81</v>
      </c>
    </row>
    <row r="51" spans="3:3" x14ac:dyDescent="0.2">
      <c r="C51">
        <v>15</v>
      </c>
    </row>
    <row r="52" spans="3:3" x14ac:dyDescent="0.2">
      <c r="C52">
        <v>0</v>
      </c>
    </row>
    <row r="53" spans="3:3" x14ac:dyDescent="0.2">
      <c r="C53">
        <v>18</v>
      </c>
    </row>
    <row r="54" spans="3:3" x14ac:dyDescent="0.2">
      <c r="C54">
        <v>12</v>
      </c>
    </row>
    <row r="55" spans="3:3" x14ac:dyDescent="0.2">
      <c r="C55">
        <v>69</v>
      </c>
    </row>
    <row r="56" spans="3:3" x14ac:dyDescent="0.2">
      <c r="C56">
        <v>0</v>
      </c>
    </row>
    <row r="57" spans="3:3" x14ac:dyDescent="0.2">
      <c r="C57">
        <v>0</v>
      </c>
    </row>
    <row r="58" spans="3:3" x14ac:dyDescent="0.2">
      <c r="C58">
        <v>30</v>
      </c>
    </row>
    <row r="59" spans="3:3" x14ac:dyDescent="0.2">
      <c r="C59">
        <v>3</v>
      </c>
    </row>
    <row r="60" spans="3:3" x14ac:dyDescent="0.2">
      <c r="C60">
        <v>126</v>
      </c>
    </row>
    <row r="61" spans="3:3" x14ac:dyDescent="0.2">
      <c r="C61">
        <v>54</v>
      </c>
    </row>
    <row r="62" spans="3:3" x14ac:dyDescent="0.2">
      <c r="C62">
        <v>33</v>
      </c>
    </row>
    <row r="63" spans="3:3" x14ac:dyDescent="0.2">
      <c r="C63">
        <v>0</v>
      </c>
    </row>
    <row r="64" spans="3:3" x14ac:dyDescent="0.2">
      <c r="C64">
        <v>42</v>
      </c>
    </row>
    <row r="65" spans="3:3" x14ac:dyDescent="0.2">
      <c r="C65">
        <v>15</v>
      </c>
    </row>
    <row r="66" spans="3:3" x14ac:dyDescent="0.2">
      <c r="C66">
        <v>33</v>
      </c>
    </row>
    <row r="67" spans="3:3" x14ac:dyDescent="0.2">
      <c r="C67">
        <v>0</v>
      </c>
    </row>
    <row r="68" spans="3:3" x14ac:dyDescent="0.2">
      <c r="C68">
        <v>0</v>
      </c>
    </row>
    <row r="69" spans="3:3" x14ac:dyDescent="0.2">
      <c r="C69">
        <v>3</v>
      </c>
    </row>
    <row r="70" spans="3:3" x14ac:dyDescent="0.2">
      <c r="C70">
        <v>210</v>
      </c>
    </row>
    <row r="71" spans="3:3" x14ac:dyDescent="0.2">
      <c r="C71">
        <v>54</v>
      </c>
    </row>
    <row r="72" spans="3:3" x14ac:dyDescent="0.2">
      <c r="C72">
        <v>9</v>
      </c>
    </row>
    <row r="73" spans="3:3" x14ac:dyDescent="0.2">
      <c r="C73">
        <f>41*3</f>
        <v>123</v>
      </c>
    </row>
    <row r="74" spans="3:3" x14ac:dyDescent="0.2">
      <c r="C74">
        <v>24</v>
      </c>
    </row>
    <row r="75" spans="3:3" x14ac:dyDescent="0.2">
      <c r="C75">
        <v>39</v>
      </c>
    </row>
    <row r="76" spans="3:3" x14ac:dyDescent="0.2">
      <c r="C76">
        <v>9</v>
      </c>
    </row>
    <row r="77" spans="3:3" x14ac:dyDescent="0.2">
      <c r="C77">
        <v>75</v>
      </c>
    </row>
    <row r="78" spans="3:3" x14ac:dyDescent="0.2">
      <c r="C78">
        <v>54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F003-BCE5-4C40-A15C-706B90EE70FE}">
  <dimension ref="D2:D68"/>
  <sheetViews>
    <sheetView workbookViewId="0">
      <selection activeCell="D68" sqref="D68"/>
    </sheetView>
  </sheetViews>
  <sheetFormatPr baseColWidth="10" defaultColWidth="8.83203125" defaultRowHeight="15" x14ac:dyDescent="0.2"/>
  <sheetData>
    <row r="2" spans="4:4" x14ac:dyDescent="0.2">
      <c r="D2">
        <v>0</v>
      </c>
    </row>
    <row r="3" spans="4:4" x14ac:dyDescent="0.2">
      <c r="D3">
        <f>52*3</f>
        <v>156</v>
      </c>
    </row>
    <row r="4" spans="4:4" x14ac:dyDescent="0.2">
      <c r="D4">
        <v>81</v>
      </c>
    </row>
    <row r="5" spans="4:4" x14ac:dyDescent="0.2">
      <c r="D5">
        <f>26*3</f>
        <v>78</v>
      </c>
    </row>
    <row r="6" spans="4:4" x14ac:dyDescent="0.2">
      <c r="D6">
        <f>19*3</f>
        <v>57</v>
      </c>
    </row>
    <row r="7" spans="4:4" x14ac:dyDescent="0.2">
      <c r="D7">
        <v>15</v>
      </c>
    </row>
    <row r="8" spans="4:4" x14ac:dyDescent="0.2">
      <c r="D8">
        <v>0</v>
      </c>
    </row>
    <row r="9" spans="4:4" x14ac:dyDescent="0.2">
      <c r="D9">
        <v>45</v>
      </c>
    </row>
    <row r="10" spans="4:4" x14ac:dyDescent="0.2">
      <c r="D10">
        <v>33</v>
      </c>
    </row>
    <row r="11" spans="4:4" x14ac:dyDescent="0.2">
      <c r="D11">
        <v>0</v>
      </c>
    </row>
    <row r="12" spans="4:4" x14ac:dyDescent="0.2">
      <c r="D12">
        <v>75</v>
      </c>
    </row>
    <row r="13" spans="4:4" x14ac:dyDescent="0.2">
      <c r="D13">
        <v>69</v>
      </c>
    </row>
    <row r="14" spans="4:4" x14ac:dyDescent="0.2">
      <c r="D14">
        <v>150</v>
      </c>
    </row>
    <row r="15" spans="4:4" x14ac:dyDescent="0.2">
      <c r="D15">
        <v>0</v>
      </c>
    </row>
    <row r="16" spans="4:4" x14ac:dyDescent="0.2">
      <c r="D16">
        <v>30</v>
      </c>
    </row>
    <row r="17" spans="4:4" x14ac:dyDescent="0.2">
      <c r="D17">
        <v>36</v>
      </c>
    </row>
    <row r="18" spans="4:4" x14ac:dyDescent="0.2">
      <c r="D18">
        <v>0</v>
      </c>
    </row>
    <row r="19" spans="4:4" x14ac:dyDescent="0.2">
      <c r="D19">
        <v>9</v>
      </c>
    </row>
    <row r="20" spans="4:4" x14ac:dyDescent="0.2">
      <c r="D20">
        <v>12</v>
      </c>
    </row>
    <row r="21" spans="4:4" x14ac:dyDescent="0.2">
      <c r="D21">
        <v>15</v>
      </c>
    </row>
    <row r="22" spans="4:4" x14ac:dyDescent="0.2">
      <c r="D22">
        <v>21</v>
      </c>
    </row>
    <row r="23" spans="4:4" x14ac:dyDescent="0.2">
      <c r="D23">
        <v>0</v>
      </c>
    </row>
    <row r="24" spans="4:4" x14ac:dyDescent="0.2">
      <c r="D24">
        <v>6</v>
      </c>
    </row>
    <row r="25" spans="4:4" x14ac:dyDescent="0.2">
      <c r="D25">
        <v>6</v>
      </c>
    </row>
    <row r="26" spans="4:4" x14ac:dyDescent="0.2">
      <c r="D26">
        <v>18</v>
      </c>
    </row>
    <row r="27" spans="4:4" x14ac:dyDescent="0.2">
      <c r="D27">
        <v>15</v>
      </c>
    </row>
    <row r="28" spans="4:4" x14ac:dyDescent="0.2">
      <c r="D28">
        <v>15</v>
      </c>
    </row>
    <row r="29" spans="4:4" x14ac:dyDescent="0.2">
      <c r="D29">
        <v>210</v>
      </c>
    </row>
    <row r="30" spans="4:4" x14ac:dyDescent="0.2">
      <c r="D30">
        <v>24</v>
      </c>
    </row>
    <row r="31" spans="4:4" x14ac:dyDescent="0.2">
      <c r="D31">
        <v>12</v>
      </c>
    </row>
    <row r="32" spans="4:4" x14ac:dyDescent="0.2">
      <c r="D32">
        <v>12</v>
      </c>
    </row>
    <row r="33" spans="4:4" x14ac:dyDescent="0.2">
      <c r="D33">
        <v>69</v>
      </c>
    </row>
    <row r="34" spans="4:4" x14ac:dyDescent="0.2">
      <c r="D34">
        <v>9</v>
      </c>
    </row>
    <row r="35" spans="4:4" x14ac:dyDescent="0.2">
      <c r="D35">
        <v>165</v>
      </c>
    </row>
    <row r="36" spans="4:4" x14ac:dyDescent="0.2">
      <c r="D36">
        <v>60</v>
      </c>
    </row>
    <row r="37" spans="4:4" x14ac:dyDescent="0.2">
      <c r="D37">
        <v>81</v>
      </c>
    </row>
    <row r="38" spans="4:4" x14ac:dyDescent="0.2">
      <c r="D38">
        <v>12</v>
      </c>
    </row>
    <row r="39" spans="4:4" x14ac:dyDescent="0.2">
      <c r="D39">
        <v>12</v>
      </c>
    </row>
    <row r="40" spans="4:4" x14ac:dyDescent="0.2">
      <c r="D40">
        <v>27</v>
      </c>
    </row>
    <row r="41" spans="4:4" x14ac:dyDescent="0.2">
      <c r="D41">
        <v>0</v>
      </c>
    </row>
    <row r="42" spans="4:4" x14ac:dyDescent="0.2">
      <c r="D42">
        <v>9</v>
      </c>
    </row>
    <row r="43" spans="4:4" x14ac:dyDescent="0.2">
      <c r="D43">
        <v>9</v>
      </c>
    </row>
    <row r="44" spans="4:4" x14ac:dyDescent="0.2">
      <c r="D44">
        <v>48</v>
      </c>
    </row>
    <row r="45" spans="4:4" x14ac:dyDescent="0.2">
      <c r="D45">
        <v>33</v>
      </c>
    </row>
    <row r="46" spans="4:4" x14ac:dyDescent="0.2">
      <c r="D46">
        <v>3</v>
      </c>
    </row>
    <row r="47" spans="4:4" x14ac:dyDescent="0.2">
      <c r="D47">
        <f>71*3</f>
        <v>213</v>
      </c>
    </row>
    <row r="48" spans="4:4" x14ac:dyDescent="0.2">
      <c r="D48">
        <v>12</v>
      </c>
    </row>
    <row r="49" spans="4:4" x14ac:dyDescent="0.2">
      <c r="D49">
        <v>6</v>
      </c>
    </row>
    <row r="50" spans="4:4" x14ac:dyDescent="0.2">
      <c r="D50">
        <v>0</v>
      </c>
    </row>
    <row r="51" spans="4:4" x14ac:dyDescent="0.2">
      <c r="D51">
        <v>15</v>
      </c>
    </row>
    <row r="52" spans="4:4" x14ac:dyDescent="0.2">
      <c r="D52">
        <v>27</v>
      </c>
    </row>
    <row r="53" spans="4:4" x14ac:dyDescent="0.2">
      <c r="D53">
        <v>36</v>
      </c>
    </row>
    <row r="54" spans="4:4" x14ac:dyDescent="0.2">
      <c r="D54">
        <v>6</v>
      </c>
    </row>
    <row r="55" spans="4:4" x14ac:dyDescent="0.2">
      <c r="D55">
        <v>15</v>
      </c>
    </row>
    <row r="56" spans="4:4" x14ac:dyDescent="0.2">
      <c r="D56">
        <v>48</v>
      </c>
    </row>
    <row r="57" spans="4:4" x14ac:dyDescent="0.2">
      <c r="D57">
        <v>0</v>
      </c>
    </row>
    <row r="58" spans="4:4" x14ac:dyDescent="0.2">
      <c r="D58">
        <v>93</v>
      </c>
    </row>
    <row r="59" spans="4:4" x14ac:dyDescent="0.2">
      <c r="D59">
        <f>28*3</f>
        <v>84</v>
      </c>
    </row>
    <row r="60" spans="4:4" x14ac:dyDescent="0.2">
      <c r="D60">
        <v>6</v>
      </c>
    </row>
    <row r="61" spans="4:4" x14ac:dyDescent="0.2">
      <c r="D61">
        <v>24</v>
      </c>
    </row>
    <row r="62" spans="4:4" x14ac:dyDescent="0.2">
      <c r="D62">
        <v>0</v>
      </c>
    </row>
    <row r="63" spans="4:4" x14ac:dyDescent="0.2">
      <c r="D63">
        <v>9</v>
      </c>
    </row>
    <row r="64" spans="4:4" x14ac:dyDescent="0.2">
      <c r="D64">
        <f>14*3</f>
        <v>42</v>
      </c>
    </row>
    <row r="65" spans="4:4" x14ac:dyDescent="0.2">
      <c r="D65">
        <v>3</v>
      </c>
    </row>
    <row r="66" spans="4:4" x14ac:dyDescent="0.2">
      <c r="D66">
        <v>12</v>
      </c>
    </row>
    <row r="67" spans="4:4" x14ac:dyDescent="0.2">
      <c r="D67">
        <v>30</v>
      </c>
    </row>
    <row r="68" spans="4:4" x14ac:dyDescent="0.2">
      <c r="D68">
        <f>26*3</f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E119-33A2-48DF-A7D5-8231DFCE3111}">
  <dimension ref="A2:Q30"/>
  <sheetViews>
    <sheetView zoomScale="190" zoomScaleNormal="190" workbookViewId="0">
      <selection activeCell="D15" sqref="D15"/>
    </sheetView>
  </sheetViews>
  <sheetFormatPr baseColWidth="10" defaultColWidth="8.83203125" defaultRowHeight="15" x14ac:dyDescent="0.2"/>
  <cols>
    <col min="1" max="1" width="15.1640625" style="102" customWidth="1"/>
    <col min="2" max="2" width="14.6640625" customWidth="1"/>
    <col min="3" max="3" width="9.1640625" style="102"/>
    <col min="4" max="4" width="13.83203125" style="102" customWidth="1"/>
    <col min="5" max="5" width="16.5" style="102" customWidth="1"/>
    <col min="12" max="12" width="17.6640625" customWidth="1"/>
    <col min="13" max="13" width="14.5" customWidth="1"/>
  </cols>
  <sheetData>
    <row r="2" spans="1:13" x14ac:dyDescent="0.2">
      <c r="A2" s="115" t="s">
        <v>26</v>
      </c>
      <c r="B2" s="30"/>
      <c r="C2" s="115"/>
      <c r="D2" s="115"/>
      <c r="E2" s="115"/>
      <c r="F2" s="30"/>
      <c r="G2" s="30"/>
      <c r="H2" s="30"/>
    </row>
    <row r="4" spans="1:13" x14ac:dyDescent="0.2">
      <c r="A4" s="102" t="s">
        <v>33</v>
      </c>
      <c r="B4" t="s">
        <v>34</v>
      </c>
      <c r="D4" s="102" t="s">
        <v>7</v>
      </c>
      <c r="E4" s="102" t="s">
        <v>6</v>
      </c>
      <c r="I4" t="s">
        <v>29</v>
      </c>
      <c r="J4" t="s">
        <v>30</v>
      </c>
      <c r="K4" t="s">
        <v>31</v>
      </c>
    </row>
    <row r="5" spans="1:13" x14ac:dyDescent="0.2">
      <c r="A5" s="102">
        <v>20</v>
      </c>
      <c r="B5">
        <v>20</v>
      </c>
      <c r="D5" s="102">
        <v>0</v>
      </c>
      <c r="E5" s="102">
        <v>40</v>
      </c>
      <c r="I5">
        <f>800/20</f>
        <v>40</v>
      </c>
      <c r="J5">
        <f>200/20</f>
        <v>10</v>
      </c>
      <c r="K5">
        <v>10</v>
      </c>
    </row>
    <row r="7" spans="1:13" x14ac:dyDescent="0.2">
      <c r="A7" s="115" t="s">
        <v>113</v>
      </c>
      <c r="B7" s="30"/>
      <c r="C7" s="115"/>
      <c r="D7" s="115"/>
      <c r="E7" s="115"/>
      <c r="F7" s="30"/>
      <c r="G7" s="30"/>
      <c r="H7" s="30"/>
    </row>
    <row r="8" spans="1:13" x14ac:dyDescent="0.2">
      <c r="A8" s="102" t="s">
        <v>114</v>
      </c>
      <c r="B8" t="s">
        <v>115</v>
      </c>
      <c r="C8" s="102" t="s">
        <v>116</v>
      </c>
      <c r="D8" s="102" t="s">
        <v>117</v>
      </c>
    </row>
    <row r="9" spans="1:13" x14ac:dyDescent="0.2">
      <c r="A9" s="102">
        <v>12</v>
      </c>
      <c r="B9">
        <v>26</v>
      </c>
      <c r="C9" s="102">
        <v>2</v>
      </c>
      <c r="D9" s="102">
        <v>3</v>
      </c>
    </row>
    <row r="10" spans="1:13" s="29" customFormat="1" x14ac:dyDescent="0.2">
      <c r="A10" s="115" t="s">
        <v>118</v>
      </c>
      <c r="C10" s="117"/>
      <c r="D10" s="117"/>
      <c r="E10" s="117"/>
    </row>
    <row r="11" spans="1:13" x14ac:dyDescent="0.2">
      <c r="A11" s="105" t="s">
        <v>33</v>
      </c>
      <c r="B11" s="1" t="s">
        <v>34</v>
      </c>
      <c r="C11" s="105"/>
      <c r="D11" s="105" t="s">
        <v>7</v>
      </c>
      <c r="E11" s="105" t="s">
        <v>6</v>
      </c>
      <c r="F11" s="1"/>
      <c r="H11" t="s">
        <v>119</v>
      </c>
      <c r="J11" t="s">
        <v>120</v>
      </c>
      <c r="L11" t="s">
        <v>121</v>
      </c>
      <c r="M11" t="s">
        <v>122</v>
      </c>
    </row>
    <row r="12" spans="1:13" x14ac:dyDescent="0.2">
      <c r="A12" s="102">
        <v>38</v>
      </c>
      <c r="B12">
        <v>2</v>
      </c>
      <c r="D12" s="102">
        <v>12</v>
      </c>
      <c r="E12" s="102">
        <v>28</v>
      </c>
      <c r="J12">
        <v>1</v>
      </c>
      <c r="L12">
        <v>7</v>
      </c>
      <c r="M12">
        <v>13</v>
      </c>
    </row>
    <row r="13" spans="1:13" x14ac:dyDescent="0.2">
      <c r="C13" s="116" t="s">
        <v>23</v>
      </c>
      <c r="D13" s="116">
        <f>600/20</f>
        <v>30</v>
      </c>
      <c r="E13" s="116">
        <f>1400/20</f>
        <v>70</v>
      </c>
      <c r="H13">
        <f>37*3</f>
        <v>111</v>
      </c>
      <c r="J13">
        <v>4</v>
      </c>
    </row>
    <row r="14" spans="1:13" x14ac:dyDescent="0.2">
      <c r="D14" s="102" t="s">
        <v>11</v>
      </c>
      <c r="E14" s="102" t="s">
        <v>12</v>
      </c>
      <c r="H14">
        <v>18</v>
      </c>
      <c r="J14" s="31">
        <v>6</v>
      </c>
      <c r="L14" t="s">
        <v>123</v>
      </c>
    </row>
    <row r="15" spans="1:13" x14ac:dyDescent="0.2">
      <c r="A15" s="116">
        <f>19*100/20</f>
        <v>95</v>
      </c>
      <c r="B15" s="32">
        <v>5</v>
      </c>
      <c r="D15" s="102">
        <v>5</v>
      </c>
      <c r="E15" s="102">
        <v>1</v>
      </c>
      <c r="H15">
        <v>240</v>
      </c>
      <c r="J15">
        <v>3</v>
      </c>
      <c r="L15" t="s">
        <v>124</v>
      </c>
    </row>
    <row r="16" spans="1:13" x14ac:dyDescent="0.2">
      <c r="C16" s="118" t="s">
        <v>23</v>
      </c>
      <c r="D16" s="118">
        <f>500/20</f>
        <v>25</v>
      </c>
      <c r="E16" s="118">
        <f>100/20</f>
        <v>5</v>
      </c>
      <c r="H16">
        <f>28*3</f>
        <v>84</v>
      </c>
      <c r="J16">
        <v>1</v>
      </c>
    </row>
    <row r="17" spans="4:17" x14ac:dyDescent="0.2">
      <c r="H17">
        <v>186</v>
      </c>
      <c r="J17">
        <v>1</v>
      </c>
    </row>
    <row r="18" spans="4:17" x14ac:dyDescent="0.2">
      <c r="D18" s="105" t="s">
        <v>125</v>
      </c>
      <c r="H18">
        <v>24</v>
      </c>
      <c r="J18">
        <v>5</v>
      </c>
      <c r="M18" s="1" t="s">
        <v>29</v>
      </c>
      <c r="N18" s="33" t="s">
        <v>67</v>
      </c>
      <c r="O18" s="1" t="s">
        <v>68</v>
      </c>
      <c r="P18" s="1" t="s">
        <v>69</v>
      </c>
      <c r="Q18" t="s">
        <v>34</v>
      </c>
    </row>
    <row r="19" spans="4:17" x14ac:dyDescent="0.2">
      <c r="D19" s="102">
        <v>36</v>
      </c>
      <c r="H19">
        <f>64*3</f>
        <v>192</v>
      </c>
      <c r="J19" s="31">
        <v>7</v>
      </c>
    </row>
    <row r="20" spans="4:17" x14ac:dyDescent="0.2">
      <c r="D20" s="102">
        <v>96</v>
      </c>
      <c r="H20">
        <v>30</v>
      </c>
      <c r="J20">
        <v>3</v>
      </c>
      <c r="M20">
        <v>4</v>
      </c>
      <c r="N20">
        <v>10</v>
      </c>
      <c r="O20">
        <v>4</v>
      </c>
      <c r="P20">
        <v>1</v>
      </c>
      <c r="Q20">
        <v>1</v>
      </c>
    </row>
    <row r="21" spans="4:17" x14ac:dyDescent="0.2">
      <c r="D21" s="102">
        <v>144</v>
      </c>
      <c r="H21">
        <v>48</v>
      </c>
      <c r="J21">
        <v>4</v>
      </c>
      <c r="L21" s="32" t="s">
        <v>126</v>
      </c>
      <c r="M21" s="32">
        <f>400/20</f>
        <v>20</v>
      </c>
      <c r="N21" s="32">
        <f>1000/20</f>
        <v>50</v>
      </c>
      <c r="O21" s="32">
        <f>400/20</f>
        <v>20</v>
      </c>
      <c r="P21" s="32">
        <f>100/20</f>
        <v>5</v>
      </c>
      <c r="Q21" s="32">
        <v>5</v>
      </c>
    </row>
    <row r="22" spans="4:17" x14ac:dyDescent="0.2">
      <c r="D22" s="102">
        <v>168</v>
      </c>
      <c r="H22">
        <v>132</v>
      </c>
      <c r="J22">
        <v>5</v>
      </c>
    </row>
    <row r="23" spans="4:17" x14ac:dyDescent="0.2">
      <c r="D23" s="102">
        <v>156</v>
      </c>
      <c r="H23">
        <v>6</v>
      </c>
      <c r="J23">
        <v>2</v>
      </c>
    </row>
    <row r="24" spans="4:17" x14ac:dyDescent="0.2">
      <c r="D24" s="107">
        <v>147273</v>
      </c>
      <c r="H24">
        <v>24</v>
      </c>
      <c r="J24" s="31">
        <v>8</v>
      </c>
    </row>
    <row r="25" spans="4:17" x14ac:dyDescent="0.2">
      <c r="H25">
        <v>186</v>
      </c>
      <c r="J25" t="s">
        <v>69</v>
      </c>
    </row>
    <row r="26" spans="4:17" x14ac:dyDescent="0.2">
      <c r="H26">
        <v>18</v>
      </c>
      <c r="J26">
        <v>4</v>
      </c>
    </row>
    <row r="27" spans="4:17" x14ac:dyDescent="0.2">
      <c r="H27">
        <v>12</v>
      </c>
      <c r="J27">
        <v>2</v>
      </c>
    </row>
    <row r="28" spans="4:17" x14ac:dyDescent="0.2">
      <c r="H28">
        <v>6</v>
      </c>
      <c r="J28">
        <v>2</v>
      </c>
    </row>
    <row r="29" spans="4:17" x14ac:dyDescent="0.2">
      <c r="H29">
        <v>57</v>
      </c>
      <c r="J29">
        <v>1</v>
      </c>
    </row>
    <row r="30" spans="4:17" x14ac:dyDescent="0.2">
      <c r="J30" s="31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6F84-EFB8-490B-8A4E-1F6C93222B78}">
  <dimension ref="A3:V42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3.5" customWidth="1"/>
  </cols>
  <sheetData>
    <row r="3" spans="1:22" s="30" customFormat="1" x14ac:dyDescent="0.2">
      <c r="A3" s="30" t="s">
        <v>26</v>
      </c>
    </row>
    <row r="4" spans="1:22" x14ac:dyDescent="0.2">
      <c r="M4" t="s">
        <v>29</v>
      </c>
      <c r="N4" t="s">
        <v>127</v>
      </c>
      <c r="O4" t="s">
        <v>128</v>
      </c>
    </row>
    <row r="5" spans="1:22" x14ac:dyDescent="0.2">
      <c r="A5" t="s">
        <v>33</v>
      </c>
      <c r="B5" t="s">
        <v>34</v>
      </c>
      <c r="D5" t="s">
        <v>7</v>
      </c>
      <c r="E5" t="s">
        <v>6</v>
      </c>
      <c r="H5" t="s">
        <v>129</v>
      </c>
      <c r="I5" t="s">
        <v>130</v>
      </c>
      <c r="M5">
        <v>15</v>
      </c>
      <c r="N5">
        <v>2</v>
      </c>
      <c r="O5" t="s">
        <v>131</v>
      </c>
    </row>
    <row r="6" spans="1:22" x14ac:dyDescent="0.2">
      <c r="A6">
        <v>17</v>
      </c>
      <c r="B6">
        <v>8</v>
      </c>
      <c r="D6">
        <v>0</v>
      </c>
      <c r="E6">
        <v>25</v>
      </c>
      <c r="H6">
        <v>1</v>
      </c>
      <c r="I6">
        <v>24</v>
      </c>
      <c r="M6">
        <f>15*100/25</f>
        <v>60</v>
      </c>
      <c r="N6">
        <f>200/25</f>
        <v>8</v>
      </c>
    </row>
    <row r="7" spans="1:22" x14ac:dyDescent="0.2">
      <c r="A7">
        <f>17*100/25</f>
        <v>68</v>
      </c>
      <c r="B7">
        <f>8*100/25</f>
        <v>32</v>
      </c>
    </row>
    <row r="9" spans="1:22" x14ac:dyDescent="0.2">
      <c r="A9" s="30" t="s">
        <v>132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1" spans="1:22" x14ac:dyDescent="0.2">
      <c r="A11" t="s">
        <v>33</v>
      </c>
      <c r="B11" s="49" t="s">
        <v>34</v>
      </c>
      <c r="C11" s="49"/>
      <c r="D11" s="49" t="s">
        <v>7</v>
      </c>
      <c r="E11" s="49" t="s">
        <v>6</v>
      </c>
      <c r="F11" s="49"/>
      <c r="G11" s="49"/>
    </row>
    <row r="12" spans="1:22" x14ac:dyDescent="0.2">
      <c r="A12">
        <v>17</v>
      </c>
      <c r="B12" s="49">
        <v>8</v>
      </c>
      <c r="C12" s="49"/>
      <c r="D12" s="49">
        <v>3</v>
      </c>
      <c r="E12" s="49">
        <v>49</v>
      </c>
      <c r="F12" s="49"/>
      <c r="G12" s="49"/>
      <c r="K12" s="1" t="s">
        <v>133</v>
      </c>
      <c r="L12" s="1"/>
      <c r="M12" s="1"/>
      <c r="N12" s="1"/>
    </row>
    <row r="13" spans="1:22" x14ac:dyDescent="0.2">
      <c r="A13">
        <f>17*100/25</f>
        <v>68</v>
      </c>
      <c r="B13" s="49">
        <f>800/25</f>
        <v>32</v>
      </c>
      <c r="C13" s="49"/>
      <c r="D13" s="49">
        <f>300/52</f>
        <v>5.7692307692307692</v>
      </c>
      <c r="E13" s="49">
        <f>4900/52</f>
        <v>94.230769230769226</v>
      </c>
      <c r="F13" s="49" t="s">
        <v>134</v>
      </c>
      <c r="G13" s="49"/>
      <c r="H13" s="8"/>
      <c r="I13" s="10"/>
      <c r="K13" s="1" t="s">
        <v>135</v>
      </c>
      <c r="L13" s="1">
        <v>1</v>
      </c>
      <c r="M13" s="1">
        <v>2</v>
      </c>
      <c r="N13" s="1">
        <v>3</v>
      </c>
    </row>
    <row r="14" spans="1:22" x14ac:dyDescent="0.2">
      <c r="B14" s="49"/>
      <c r="C14" s="49"/>
      <c r="D14" s="49">
        <f>200/48</f>
        <v>4.166666666666667</v>
      </c>
      <c r="E14" s="49">
        <f>46*100/48</f>
        <v>95.833333333333329</v>
      </c>
      <c r="F14" s="49" t="s">
        <v>136</v>
      </c>
      <c r="G14" s="49"/>
      <c r="H14" s="15"/>
      <c r="I14" s="28"/>
      <c r="K14" s="1"/>
      <c r="L14" s="1">
        <v>45</v>
      </c>
      <c r="M14" s="1">
        <v>45</v>
      </c>
      <c r="N14" s="1">
        <v>10</v>
      </c>
    </row>
    <row r="15" spans="1:22" ht="16.5" customHeight="1" x14ac:dyDescent="0.2">
      <c r="B15" s="49"/>
      <c r="C15" s="49"/>
      <c r="D15" s="49"/>
      <c r="E15" s="49"/>
      <c r="F15" s="49"/>
      <c r="G15" s="49"/>
    </row>
    <row r="16" spans="1:22" s="29" customFormat="1" x14ac:dyDescent="0.2">
      <c r="A16" s="30" t="s">
        <v>118</v>
      </c>
    </row>
    <row r="17" spans="1:22" x14ac:dyDescent="0.2">
      <c r="A17" s="1" t="s">
        <v>33</v>
      </c>
      <c r="B17" s="1" t="s">
        <v>34</v>
      </c>
      <c r="C17" s="1"/>
      <c r="D17" s="1" t="s">
        <v>7</v>
      </c>
      <c r="E17" s="1" t="s">
        <v>6</v>
      </c>
      <c r="F17" s="1"/>
      <c r="H17" t="s">
        <v>119</v>
      </c>
    </row>
    <row r="18" spans="1:22" x14ac:dyDescent="0.2">
      <c r="A18">
        <v>24</v>
      </c>
      <c r="B18">
        <v>1</v>
      </c>
      <c r="D18">
        <v>3</v>
      </c>
      <c r="E18">
        <v>22</v>
      </c>
      <c r="H18">
        <v>27</v>
      </c>
      <c r="K18" t="s">
        <v>129</v>
      </c>
      <c r="L18" t="s">
        <v>130</v>
      </c>
      <c r="O18" t="s">
        <v>137</v>
      </c>
      <c r="R18" t="s">
        <v>34</v>
      </c>
      <c r="S18" s="1" t="s">
        <v>29</v>
      </c>
      <c r="T18" s="33" t="s">
        <v>67</v>
      </c>
      <c r="U18" s="1" t="s">
        <v>68</v>
      </c>
      <c r="V18" s="1" t="s">
        <v>69</v>
      </c>
    </row>
    <row r="19" spans="1:22" x14ac:dyDescent="0.2">
      <c r="C19" s="32" t="s">
        <v>23</v>
      </c>
      <c r="D19" s="32"/>
      <c r="E19" s="32">
        <f>2200/25</f>
        <v>88</v>
      </c>
      <c r="H19">
        <v>18</v>
      </c>
      <c r="K19">
        <v>8</v>
      </c>
      <c r="L19">
        <v>17</v>
      </c>
      <c r="O19">
        <v>1</v>
      </c>
      <c r="S19" s="1"/>
      <c r="T19" s="1"/>
      <c r="U19" s="1"/>
      <c r="V19" s="1"/>
    </row>
    <row r="20" spans="1:22" x14ac:dyDescent="0.2">
      <c r="D20" t="s">
        <v>11</v>
      </c>
      <c r="E20" t="s">
        <v>12</v>
      </c>
      <c r="H20">
        <f>75*3</f>
        <v>225</v>
      </c>
      <c r="O20">
        <v>4</v>
      </c>
      <c r="R20">
        <v>1</v>
      </c>
      <c r="S20" s="1">
        <v>2</v>
      </c>
      <c r="T20" s="1">
        <v>20</v>
      </c>
      <c r="U20" s="1">
        <v>2</v>
      </c>
      <c r="V20" s="1">
        <v>0</v>
      </c>
    </row>
    <row r="21" spans="1:22" x14ac:dyDescent="0.2">
      <c r="D21">
        <v>3</v>
      </c>
      <c r="E21">
        <v>0</v>
      </c>
      <c r="H21">
        <v>18</v>
      </c>
      <c r="O21">
        <v>2</v>
      </c>
      <c r="Q21" s="32" t="s">
        <v>126</v>
      </c>
      <c r="R21" s="32">
        <f>100/25</f>
        <v>4</v>
      </c>
      <c r="S21" s="32">
        <f>200/25</f>
        <v>8</v>
      </c>
      <c r="T21" s="32">
        <f>2000/25</f>
        <v>80</v>
      </c>
      <c r="U21" s="32">
        <f>200/25</f>
        <v>8</v>
      </c>
    </row>
    <row r="22" spans="1:22" x14ac:dyDescent="0.2">
      <c r="C22" s="32" t="s">
        <v>23</v>
      </c>
      <c r="D22" s="32">
        <f>300/25</f>
        <v>12</v>
      </c>
      <c r="H22">
        <v>18</v>
      </c>
      <c r="K22" t="s">
        <v>138</v>
      </c>
      <c r="O22">
        <v>3</v>
      </c>
      <c r="Q22" s="32"/>
      <c r="R22" s="32"/>
      <c r="S22" s="32"/>
      <c r="T22" s="32"/>
      <c r="U22" s="32"/>
    </row>
    <row r="23" spans="1:22" x14ac:dyDescent="0.2">
      <c r="H23">
        <v>38</v>
      </c>
      <c r="K23">
        <v>2</v>
      </c>
      <c r="O23">
        <v>3</v>
      </c>
    </row>
    <row r="24" spans="1:22" x14ac:dyDescent="0.2">
      <c r="C24" s="1" t="s">
        <v>125</v>
      </c>
      <c r="D24" s="1"/>
      <c r="E24" s="1"/>
      <c r="H24">
        <v>18</v>
      </c>
      <c r="O24">
        <v>0</v>
      </c>
    </row>
    <row r="25" spans="1:22" x14ac:dyDescent="0.2">
      <c r="H25">
        <v>15</v>
      </c>
      <c r="O25">
        <v>3</v>
      </c>
    </row>
    <row r="26" spans="1:22" x14ac:dyDescent="0.2">
      <c r="C26">
        <v>500</v>
      </c>
      <c r="H26">
        <v>42</v>
      </c>
      <c r="O26">
        <v>5</v>
      </c>
    </row>
    <row r="27" spans="1:22" x14ac:dyDescent="0.2">
      <c r="C27">
        <v>317</v>
      </c>
      <c r="H27">
        <v>63</v>
      </c>
      <c r="O27">
        <v>2</v>
      </c>
    </row>
    <row r="28" spans="1:22" x14ac:dyDescent="0.2">
      <c r="C28">
        <v>135</v>
      </c>
      <c r="H28">
        <v>18</v>
      </c>
      <c r="O28">
        <v>4</v>
      </c>
    </row>
    <row r="29" spans="1:22" x14ac:dyDescent="0.2">
      <c r="H29">
        <v>18</v>
      </c>
      <c r="O29">
        <v>3</v>
      </c>
    </row>
    <row r="30" spans="1:22" x14ac:dyDescent="0.2">
      <c r="H30">
        <f>28*3</f>
        <v>84</v>
      </c>
      <c r="O30">
        <v>4</v>
      </c>
    </row>
    <row r="31" spans="1:22" x14ac:dyDescent="0.2">
      <c r="H31">
        <v>12</v>
      </c>
      <c r="O31">
        <v>5</v>
      </c>
    </row>
    <row r="32" spans="1:22" x14ac:dyDescent="0.2">
      <c r="H32">
        <v>6</v>
      </c>
      <c r="O32">
        <v>3</v>
      </c>
    </row>
    <row r="33" spans="8:15" x14ac:dyDescent="0.2">
      <c r="H33">
        <v>0</v>
      </c>
      <c r="O33">
        <v>3</v>
      </c>
    </row>
    <row r="34" spans="8:15" x14ac:dyDescent="0.2">
      <c r="H34">
        <v>6</v>
      </c>
      <c r="O34">
        <v>6</v>
      </c>
    </row>
    <row r="35" spans="8:15" x14ac:dyDescent="0.2">
      <c r="H35">
        <v>6</v>
      </c>
      <c r="O35">
        <v>7</v>
      </c>
    </row>
    <row r="36" spans="8:15" x14ac:dyDescent="0.2">
      <c r="H36">
        <v>9</v>
      </c>
      <c r="O36">
        <v>5</v>
      </c>
    </row>
    <row r="37" spans="8:15" x14ac:dyDescent="0.2">
      <c r="H37">
        <f>84*3</f>
        <v>252</v>
      </c>
      <c r="O37">
        <v>2</v>
      </c>
    </row>
    <row r="38" spans="8:15" x14ac:dyDescent="0.2">
      <c r="H38">
        <v>0</v>
      </c>
      <c r="O38">
        <v>4</v>
      </c>
    </row>
    <row r="39" spans="8:15" x14ac:dyDescent="0.2">
      <c r="H39">
        <v>18</v>
      </c>
      <c r="O39">
        <v>1</v>
      </c>
    </row>
    <row r="40" spans="8:15" x14ac:dyDescent="0.2">
      <c r="H40">
        <v>45</v>
      </c>
      <c r="O40">
        <v>2</v>
      </c>
    </row>
    <row r="41" spans="8:15" x14ac:dyDescent="0.2">
      <c r="O41">
        <v>5</v>
      </c>
    </row>
    <row r="42" spans="8:15" x14ac:dyDescent="0.2">
      <c r="O4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0EDF-4DDD-4A41-8AED-084D027AC575}">
  <dimension ref="C2:I8"/>
  <sheetViews>
    <sheetView workbookViewId="0">
      <selection activeCell="F19" sqref="F19"/>
    </sheetView>
  </sheetViews>
  <sheetFormatPr baseColWidth="10" defaultColWidth="8.83203125" defaultRowHeight="15" x14ac:dyDescent="0.2"/>
  <cols>
    <col min="3" max="3" width="12.6640625" customWidth="1"/>
    <col min="4" max="4" width="12" customWidth="1"/>
    <col min="6" max="6" width="14" customWidth="1"/>
    <col min="7" max="7" width="13.33203125" customWidth="1"/>
  </cols>
  <sheetData>
    <row r="2" spans="3:9" x14ac:dyDescent="0.2">
      <c r="D2" s="34" t="s">
        <v>27</v>
      </c>
      <c r="H2" s="49" t="s">
        <v>139</v>
      </c>
    </row>
    <row r="3" spans="3:9" x14ac:dyDescent="0.2">
      <c r="D3" t="s">
        <v>140</v>
      </c>
      <c r="E3" t="s">
        <v>141</v>
      </c>
      <c r="H3" t="s">
        <v>140</v>
      </c>
      <c r="I3" t="s">
        <v>141</v>
      </c>
    </row>
    <row r="4" spans="3:9" x14ac:dyDescent="0.2">
      <c r="C4" t="s">
        <v>142</v>
      </c>
      <c r="D4" s="57">
        <v>0.09</v>
      </c>
      <c r="E4" s="57">
        <v>0.05</v>
      </c>
      <c r="G4" t="s">
        <v>142</v>
      </c>
      <c r="H4" s="57">
        <v>0.02</v>
      </c>
      <c r="I4" s="58">
        <v>0.02</v>
      </c>
    </row>
    <row r="5" spans="3:9" x14ac:dyDescent="0.2">
      <c r="C5" t="s">
        <v>21</v>
      </c>
      <c r="D5" s="57">
        <v>0.67</v>
      </c>
      <c r="E5" s="57">
        <v>0.59</v>
      </c>
      <c r="G5" t="s">
        <v>21</v>
      </c>
      <c r="H5">
        <v>35</v>
      </c>
      <c r="I5">
        <v>44</v>
      </c>
    </row>
    <row r="6" spans="3:9" x14ac:dyDescent="0.2">
      <c r="C6" t="s">
        <v>117</v>
      </c>
      <c r="D6" s="57">
        <v>0.08</v>
      </c>
      <c r="E6" s="57">
        <v>0.06</v>
      </c>
      <c r="G6" t="s">
        <v>117</v>
      </c>
      <c r="H6">
        <v>3</v>
      </c>
      <c r="I6">
        <v>8.57</v>
      </c>
    </row>
    <row r="7" spans="3:9" x14ac:dyDescent="0.2">
      <c r="C7" t="s">
        <v>143</v>
      </c>
      <c r="D7" s="57">
        <v>0.04</v>
      </c>
      <c r="E7" s="57">
        <v>0.17</v>
      </c>
      <c r="G7" t="s">
        <v>143</v>
      </c>
      <c r="H7">
        <v>5</v>
      </c>
      <c r="I7">
        <v>10</v>
      </c>
    </row>
    <row r="8" spans="3:9" x14ac:dyDescent="0.2">
      <c r="C8" t="s">
        <v>144</v>
      </c>
      <c r="D8" s="57">
        <v>0.12</v>
      </c>
      <c r="E8" s="57">
        <v>0.13</v>
      </c>
      <c r="G8" t="s">
        <v>144</v>
      </c>
      <c r="H8">
        <v>55</v>
      </c>
      <c r="I8">
        <v>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9E11-48DB-4ECD-B7AC-71B9163FF39A}">
  <dimension ref="A2:N15"/>
  <sheetViews>
    <sheetView workbookViewId="0">
      <selection activeCell="J21" sqref="J21"/>
    </sheetView>
  </sheetViews>
  <sheetFormatPr baseColWidth="10" defaultColWidth="8.83203125" defaultRowHeight="15" x14ac:dyDescent="0.2"/>
  <sheetData>
    <row r="2" spans="1:14" x14ac:dyDescent="0.2">
      <c r="L2" t="s">
        <v>145</v>
      </c>
    </row>
    <row r="3" spans="1:14" x14ac:dyDescent="0.2">
      <c r="F3" s="50" t="s">
        <v>33</v>
      </c>
      <c r="G3" s="51" t="s">
        <v>34</v>
      </c>
      <c r="L3">
        <v>1</v>
      </c>
      <c r="M3" t="s">
        <v>146</v>
      </c>
    </row>
    <row r="4" spans="1:14" x14ac:dyDescent="0.2">
      <c r="D4" s="8"/>
      <c r="E4" s="53" t="s">
        <v>147</v>
      </c>
      <c r="F4">
        <v>60</v>
      </c>
      <c r="G4">
        <v>40</v>
      </c>
      <c r="H4" s="10"/>
      <c r="J4" s="8"/>
      <c r="K4" s="53" t="s">
        <v>147</v>
      </c>
      <c r="L4">
        <v>50</v>
      </c>
      <c r="M4">
        <v>50</v>
      </c>
    </row>
    <row r="5" spans="1:14" x14ac:dyDescent="0.2">
      <c r="A5" s="50" t="s">
        <v>33</v>
      </c>
      <c r="B5" s="51" t="s">
        <v>34</v>
      </c>
      <c r="C5" s="51"/>
      <c r="D5" s="11" t="s">
        <v>148</v>
      </c>
      <c r="E5" s="49" t="s">
        <v>140</v>
      </c>
      <c r="F5">
        <v>91</v>
      </c>
      <c r="G5">
        <v>9</v>
      </c>
      <c r="H5" s="54"/>
      <c r="J5" s="11" t="s">
        <v>148</v>
      </c>
      <c r="K5" s="49" t="s">
        <v>140</v>
      </c>
      <c r="L5">
        <f>27*100/97</f>
        <v>27.835051546391753</v>
      </c>
      <c r="M5">
        <f>67*100/97</f>
        <v>69.072164948453604</v>
      </c>
    </row>
    <row r="6" spans="1:14" x14ac:dyDescent="0.2">
      <c r="D6" s="15"/>
      <c r="E6" s="55" t="s">
        <v>141</v>
      </c>
      <c r="F6" s="16">
        <v>94</v>
      </c>
      <c r="G6" s="16">
        <v>6</v>
      </c>
      <c r="H6" s="28"/>
      <c r="J6" s="15"/>
      <c r="K6" s="55" t="s">
        <v>141</v>
      </c>
      <c r="L6">
        <f>700/64</f>
        <v>10.9375</v>
      </c>
      <c r="M6">
        <f>5700/64</f>
        <v>89.0625</v>
      </c>
      <c r="N6">
        <f>SUM(L6:M6)</f>
        <v>100</v>
      </c>
    </row>
    <row r="7" spans="1:14" x14ac:dyDescent="0.2">
      <c r="A7">
        <f>400/24</f>
        <v>16.666666666666668</v>
      </c>
      <c r="B7">
        <f>2100/24</f>
        <v>87.5</v>
      </c>
    </row>
    <row r="8" spans="1:14" x14ac:dyDescent="0.2">
      <c r="D8" s="8"/>
      <c r="E8" s="56" t="s">
        <v>147</v>
      </c>
      <c r="F8" s="9">
        <v>79</v>
      </c>
      <c r="G8" s="9">
        <v>21</v>
      </c>
      <c r="H8" s="10"/>
      <c r="L8" t="s">
        <v>145</v>
      </c>
    </row>
    <row r="9" spans="1:14" x14ac:dyDescent="0.2">
      <c r="D9" s="11" t="s">
        <v>149</v>
      </c>
      <c r="E9" s="2" t="s">
        <v>140</v>
      </c>
      <c r="F9">
        <v>80</v>
      </c>
      <c r="G9">
        <v>20</v>
      </c>
      <c r="H9" s="54"/>
      <c r="L9">
        <v>1</v>
      </c>
      <c r="M9" t="s">
        <v>146</v>
      </c>
    </row>
    <row r="10" spans="1:14" x14ac:dyDescent="0.2">
      <c r="D10" s="15"/>
      <c r="E10" s="17" t="s">
        <v>141</v>
      </c>
      <c r="F10" s="16">
        <v>75</v>
      </c>
      <c r="G10" s="16">
        <v>15</v>
      </c>
      <c r="H10" s="28"/>
      <c r="J10" s="8"/>
      <c r="K10" s="56" t="s">
        <v>147</v>
      </c>
      <c r="L10" s="9">
        <v>5</v>
      </c>
      <c r="M10" s="10">
        <v>95</v>
      </c>
    </row>
    <row r="11" spans="1:14" x14ac:dyDescent="0.2">
      <c r="F11" s="49"/>
      <c r="J11" s="11" t="s">
        <v>149</v>
      </c>
      <c r="K11" s="2" t="s">
        <v>140</v>
      </c>
      <c r="L11">
        <f>1000/35</f>
        <v>28.571428571428573</v>
      </c>
      <c r="M11" s="54">
        <f>2500/35</f>
        <v>71.428571428571431</v>
      </c>
    </row>
    <row r="12" spans="1:14" x14ac:dyDescent="0.2">
      <c r="J12" s="15"/>
      <c r="K12" s="17" t="s">
        <v>141</v>
      </c>
      <c r="L12" s="16">
        <f>900/48</f>
        <v>18.75</v>
      </c>
      <c r="M12" s="28">
        <f>3900/48</f>
        <v>81.25</v>
      </c>
    </row>
    <row r="13" spans="1:14" x14ac:dyDescent="0.2">
      <c r="H13" s="16"/>
    </row>
    <row r="15" spans="1:14" x14ac:dyDescent="0.2">
      <c r="K15">
        <f>68*84.4/100</f>
        <v>57.39200000000001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1439-C4F0-4B82-BA2B-CDC2ECFFAD5C}">
  <dimension ref="A2:V39"/>
  <sheetViews>
    <sheetView topLeftCell="A5" zoomScale="190" zoomScaleNormal="190" workbookViewId="0">
      <selection activeCell="E19" sqref="E19"/>
    </sheetView>
  </sheetViews>
  <sheetFormatPr baseColWidth="10" defaultColWidth="8.83203125" defaultRowHeight="15" x14ac:dyDescent="0.2"/>
  <cols>
    <col min="9" max="9" width="13.5" customWidth="1"/>
  </cols>
  <sheetData>
    <row r="2" spans="1:14" x14ac:dyDescent="0.2"/>
    <row r="3" spans="1:14" x14ac:dyDescent="0.2">
      <c r="A3" s="30" t="s">
        <v>26</v>
      </c>
      <c r="B3" s="30"/>
      <c r="C3" s="30"/>
      <c r="D3" s="30"/>
      <c r="E3" s="30"/>
      <c r="F3" s="30"/>
      <c r="G3" s="30"/>
      <c r="H3" s="30"/>
    </row>
    <row r="5" spans="1:14" x14ac:dyDescent="0.2">
      <c r="A5" t="s">
        <v>33</v>
      </c>
      <c r="B5" t="s">
        <v>34</v>
      </c>
      <c r="D5" t="s">
        <v>7</v>
      </c>
      <c r="E5" t="s">
        <v>6</v>
      </c>
      <c r="H5" t="s">
        <v>129</v>
      </c>
      <c r="I5" t="s">
        <v>130</v>
      </c>
      <c r="L5" t="s">
        <v>150</v>
      </c>
      <c r="M5" t="s">
        <v>151</v>
      </c>
      <c r="N5" t="s">
        <v>128</v>
      </c>
    </row>
    <row r="6" spans="1:14" x14ac:dyDescent="0.2">
      <c r="A6">
        <v>18</v>
      </c>
      <c r="B6">
        <v>2</v>
      </c>
    </row>
    <row r="9" spans="1:14" x14ac:dyDescent="0.2">
      <c r="A9" s="30" t="s">
        <v>152</v>
      </c>
      <c r="B9" s="30"/>
      <c r="C9" s="30"/>
      <c r="D9" s="30"/>
      <c r="E9" s="30"/>
      <c r="F9" s="30"/>
      <c r="G9" s="30"/>
      <c r="H9" s="30"/>
    </row>
    <row r="10" spans="1:14" x14ac:dyDescent="0.2">
      <c r="L10">
        <v>13</v>
      </c>
      <c r="M10">
        <v>5</v>
      </c>
      <c r="N10">
        <v>0</v>
      </c>
    </row>
    <row r="11" spans="1:14" x14ac:dyDescent="0.2">
      <c r="A11" s="50" t="s">
        <v>33</v>
      </c>
      <c r="B11" s="51" t="s">
        <v>34</v>
      </c>
      <c r="C11" s="52"/>
      <c r="E11" t="s">
        <v>7</v>
      </c>
      <c r="F11" t="s">
        <v>6</v>
      </c>
      <c r="I11" t="s">
        <v>90</v>
      </c>
      <c r="J11" t="s">
        <v>7</v>
      </c>
      <c r="K11" t="s">
        <v>6</v>
      </c>
    </row>
    <row r="12" spans="1:14" x14ac:dyDescent="0.2">
      <c r="A12">
        <v>21</v>
      </c>
      <c r="B12">
        <v>4</v>
      </c>
      <c r="E12">
        <v>1</v>
      </c>
      <c r="F12">
        <v>23</v>
      </c>
      <c r="I12" t="s">
        <v>153</v>
      </c>
      <c r="J12">
        <v>1</v>
      </c>
      <c r="K12">
        <v>20</v>
      </c>
    </row>
    <row r="13" spans="1:14" x14ac:dyDescent="0.2">
      <c r="E13">
        <f>100/24</f>
        <v>4.166666666666667</v>
      </c>
      <c r="F13">
        <f>2300/24</f>
        <v>95.833333333333329</v>
      </c>
      <c r="G13" t="s">
        <v>154</v>
      </c>
      <c r="J13">
        <f>100/21</f>
        <v>4.7619047619047619</v>
      </c>
      <c r="K13">
        <f>200/21</f>
        <v>9.5238095238095237</v>
      </c>
    </row>
    <row r="14" spans="1:14" x14ac:dyDescent="0.2">
      <c r="A14">
        <f>2100/25</f>
        <v>84</v>
      </c>
      <c r="B14">
        <f>400/25</f>
        <v>16</v>
      </c>
    </row>
    <row r="17" spans="1:22" s="29" customFormat="1" x14ac:dyDescent="0.2">
      <c r="A17" s="30" t="s">
        <v>118</v>
      </c>
    </row>
    <row r="18" spans="1:22" x14ac:dyDescent="0.2">
      <c r="A18" s="1" t="s">
        <v>33</v>
      </c>
      <c r="B18" s="1" t="s">
        <v>34</v>
      </c>
      <c r="C18" s="1"/>
      <c r="D18" s="1" t="s">
        <v>7</v>
      </c>
      <c r="E18" s="1" t="s">
        <v>6</v>
      </c>
      <c r="F18" s="1"/>
      <c r="H18" t="s">
        <v>119</v>
      </c>
      <c r="J18" t="s">
        <v>129</v>
      </c>
      <c r="K18" t="s">
        <v>130</v>
      </c>
    </row>
    <row r="19" spans="1:22" x14ac:dyDescent="0.2">
      <c r="A19">
        <v>20</v>
      </c>
      <c r="B19">
        <v>0</v>
      </c>
      <c r="D19">
        <v>5</v>
      </c>
      <c r="E19">
        <v>15</v>
      </c>
      <c r="H19">
        <v>0</v>
      </c>
      <c r="O19" t="s">
        <v>120</v>
      </c>
      <c r="Q19" t="s">
        <v>34</v>
      </c>
      <c r="R19" s="1" t="s">
        <v>29</v>
      </c>
      <c r="S19" s="33" t="s">
        <v>67</v>
      </c>
      <c r="T19" s="1" t="s">
        <v>68</v>
      </c>
      <c r="U19" s="1" t="s">
        <v>69</v>
      </c>
    </row>
    <row r="20" spans="1:22" x14ac:dyDescent="0.2">
      <c r="D20" t="s">
        <v>155</v>
      </c>
      <c r="E20" t="s">
        <v>80</v>
      </c>
      <c r="F20" s="1" t="s">
        <v>6</v>
      </c>
      <c r="H20">
        <v>0</v>
      </c>
      <c r="J20">
        <v>11</v>
      </c>
      <c r="K20">
        <v>9</v>
      </c>
      <c r="O20" s="31" t="s">
        <v>156</v>
      </c>
    </row>
    <row r="21" spans="1:22" x14ac:dyDescent="0.2">
      <c r="D21">
        <v>4</v>
      </c>
      <c r="E21">
        <v>1</v>
      </c>
      <c r="F21">
        <v>15</v>
      </c>
      <c r="H21">
        <v>0</v>
      </c>
      <c r="O21">
        <v>10</v>
      </c>
      <c r="R21">
        <v>1</v>
      </c>
      <c r="S21">
        <v>7</v>
      </c>
      <c r="T21">
        <v>10</v>
      </c>
      <c r="U21">
        <v>2</v>
      </c>
    </row>
    <row r="22" spans="1:22" x14ac:dyDescent="0.2">
      <c r="C22" s="32" t="s">
        <v>23</v>
      </c>
      <c r="D22" s="32">
        <f>400/20</f>
        <v>20</v>
      </c>
      <c r="E22" s="32">
        <f>100/20</f>
        <v>5</v>
      </c>
      <c r="F22" s="31">
        <f>15*100/20</f>
        <v>75</v>
      </c>
      <c r="H22">
        <v>6</v>
      </c>
      <c r="J22" t="s">
        <v>123</v>
      </c>
      <c r="K22" t="s">
        <v>157</v>
      </c>
      <c r="O22">
        <v>4</v>
      </c>
      <c r="R22">
        <f>100/25</f>
        <v>4</v>
      </c>
      <c r="S22">
        <f>700/20</f>
        <v>35</v>
      </c>
      <c r="T22">
        <f>1000/20</f>
        <v>50</v>
      </c>
      <c r="U22">
        <f>200/20</f>
        <v>10</v>
      </c>
      <c r="V22">
        <f>SUM(R22:U22)</f>
        <v>99</v>
      </c>
    </row>
    <row r="23" spans="1:22" x14ac:dyDescent="0.2">
      <c r="D23" s="1" t="s">
        <v>125</v>
      </c>
      <c r="H23">
        <v>0</v>
      </c>
      <c r="O23" s="31" t="s">
        <v>69</v>
      </c>
    </row>
    <row r="24" spans="1:22" x14ac:dyDescent="0.2">
      <c r="D24">
        <f>(198*3)-(75*3)</f>
        <v>369</v>
      </c>
      <c r="H24">
        <v>6</v>
      </c>
      <c r="J24">
        <v>2</v>
      </c>
      <c r="K24">
        <v>3</v>
      </c>
      <c r="O24">
        <v>10</v>
      </c>
    </row>
    <row r="25" spans="1:22" x14ac:dyDescent="0.2">
      <c r="D25">
        <v>342</v>
      </c>
      <c r="H25">
        <v>6</v>
      </c>
      <c r="O25">
        <v>7</v>
      </c>
    </row>
    <row r="26" spans="1:22" x14ac:dyDescent="0.2">
      <c r="D26">
        <f>(48*3)+6+6+15</f>
        <v>171</v>
      </c>
      <c r="H26">
        <v>15</v>
      </c>
      <c r="O26">
        <v>6</v>
      </c>
    </row>
    <row r="27" spans="1:22" x14ac:dyDescent="0.2">
      <c r="D27">
        <v>132</v>
      </c>
      <c r="H27">
        <v>6</v>
      </c>
      <c r="O27">
        <v>10</v>
      </c>
    </row>
    <row r="28" spans="1:22" x14ac:dyDescent="0.2">
      <c r="D28" s="6">
        <v>177183</v>
      </c>
      <c r="H28">
        <v>36</v>
      </c>
      <c r="O28" t="s">
        <v>158</v>
      </c>
    </row>
    <row r="29" spans="1:22" x14ac:dyDescent="0.2">
      <c r="H29">
        <v>21</v>
      </c>
      <c r="O29">
        <v>4</v>
      </c>
    </row>
    <row r="30" spans="1:22" x14ac:dyDescent="0.2">
      <c r="H30">
        <v>12</v>
      </c>
      <c r="O30">
        <v>7</v>
      </c>
    </row>
    <row r="31" spans="1:22" x14ac:dyDescent="0.2">
      <c r="H31">
        <v>6</v>
      </c>
      <c r="O31">
        <v>4</v>
      </c>
    </row>
    <row r="32" spans="1:22" x14ac:dyDescent="0.2">
      <c r="H32">
        <v>6</v>
      </c>
      <c r="O32">
        <v>9</v>
      </c>
    </row>
    <row r="33" spans="8:15" x14ac:dyDescent="0.2">
      <c r="H33">
        <v>0</v>
      </c>
      <c r="O33">
        <v>4</v>
      </c>
    </row>
    <row r="34" spans="8:15" x14ac:dyDescent="0.2">
      <c r="H34">
        <v>9</v>
      </c>
      <c r="O34">
        <v>8</v>
      </c>
    </row>
    <row r="35" spans="8:15" x14ac:dyDescent="0.2">
      <c r="H35">
        <v>27</v>
      </c>
      <c r="O35">
        <v>3</v>
      </c>
    </row>
    <row r="36" spans="8:15" x14ac:dyDescent="0.2">
      <c r="H36">
        <v>45</v>
      </c>
      <c r="O36">
        <v>7</v>
      </c>
    </row>
    <row r="37" spans="8:15" x14ac:dyDescent="0.2">
      <c r="H37">
        <v>39</v>
      </c>
      <c r="O37">
        <v>5</v>
      </c>
    </row>
    <row r="38" spans="8:15" x14ac:dyDescent="0.2">
      <c r="H38">
        <v>6</v>
      </c>
      <c r="O38">
        <v>1</v>
      </c>
    </row>
    <row r="39" spans="8:15" x14ac:dyDescent="0.2">
      <c r="O39">
        <v>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c758ee-941a-49c3-b2d4-63e5771d03a2">
      <Terms xmlns="http://schemas.microsoft.com/office/infopath/2007/PartnerControls"/>
    </lcf76f155ced4ddcb4097134ff3c332f>
    <TaxCatchAll xmlns="0c8a44fd-43fc-4f3e-866b-6c37d5132b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3CE37CCA55E447BF0A563E10BB2085" ma:contentTypeVersion="19" ma:contentTypeDescription="Create a new document." ma:contentTypeScope="" ma:versionID="c40587119059dc9f72e63cb78f650f74">
  <xsd:schema xmlns:xsd="http://www.w3.org/2001/XMLSchema" xmlns:xs="http://www.w3.org/2001/XMLSchema" xmlns:p="http://schemas.microsoft.com/office/2006/metadata/properties" xmlns:ns2="25c758ee-941a-49c3-b2d4-63e5771d03a2" xmlns:ns3="0c8a44fd-43fc-4f3e-866b-6c37d5132b64" targetNamespace="http://schemas.microsoft.com/office/2006/metadata/properties" ma:root="true" ma:fieldsID="08cd4b30567c664823870feca994dc2b" ns2:_="" ns3:_="">
    <xsd:import namespace="25c758ee-941a-49c3-b2d4-63e5771d03a2"/>
    <xsd:import namespace="0c8a44fd-43fc-4f3e-866b-6c37d5132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758ee-941a-49c3-b2d4-63e5771d0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a44fd-43fc-4f3e-866b-6c37d5132b6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dfb23c0-4049-4400-b901-389c042715c7}" ma:internalName="TaxCatchAll" ma:showField="CatchAllData" ma:web="0c8a44fd-43fc-4f3e-866b-6c37d5132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EA66B8-A29C-46A4-97A6-3761E88C7F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F84E58-2673-460D-9CD5-E56B26C7B4C1}">
  <ds:schemaRefs>
    <ds:schemaRef ds:uri="http://schemas.microsoft.com/office/2006/metadata/properties"/>
    <ds:schemaRef ds:uri="http://schemas.microsoft.com/office/infopath/2007/PartnerControls"/>
    <ds:schemaRef ds:uri="25c758ee-941a-49c3-b2d4-63e5771d03a2"/>
    <ds:schemaRef ds:uri="0c8a44fd-43fc-4f3e-866b-6c37d5132b64"/>
  </ds:schemaRefs>
</ds:datastoreItem>
</file>

<file path=customXml/itemProps3.xml><?xml version="1.0" encoding="utf-8"?>
<ds:datastoreItem xmlns:ds="http://schemas.openxmlformats.org/officeDocument/2006/customXml" ds:itemID="{81095AF6-B55A-4AF4-88DC-E85B82AF2B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c758ee-941a-49c3-b2d4-63e5771d03a2"/>
    <ds:schemaRef ds:uri="0c8a44fd-43fc-4f3e-866b-6c37d5132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NK-MULT</vt:lpstr>
      <vt:lpstr>nk-rma rae</vt:lpstr>
      <vt:lpstr>First contact time-MULT1</vt:lpstr>
      <vt:lpstr>First contact time RAE</vt:lpstr>
      <vt:lpstr>WT NK-RMA</vt:lpstr>
      <vt:lpstr>NKG2D KO vs RAE-1</vt:lpstr>
      <vt:lpstr>Killing classification</vt:lpstr>
      <vt:lpstr>4h</vt:lpstr>
      <vt:lpstr>NKG2D KO+RMA</vt:lpstr>
      <vt:lpstr>NKG2D KO vs MULT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Sung, Elephes F</cp:lastModifiedBy>
  <cp:revision/>
  <dcterms:created xsi:type="dcterms:W3CDTF">2024-09-02T16:00:47Z</dcterms:created>
  <dcterms:modified xsi:type="dcterms:W3CDTF">2025-10-31T12:18:42Z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0x0101008D3CE37CCA55E447BF0A563E10BB2085</vt:lpwstr>
  </property>
  <property fmtid="{D5CDD505-2E9C-101B-9397-08002B2CF9AE}" pid="3" name="MediaServiceImageTags">
    <vt:lpwstr/>
  </property>
</Properties>
</file>