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trlProps/ctrlProp2.xml" ContentType="application/vnd.ms-excel.controlproperties+xml"/>
  <Override PartName="/xl/drawings/drawing4.xml" ContentType="application/vnd.openxmlformats-officedocument.drawing+xml"/>
  <Override PartName="/xl/ctrlProps/ctrlProp3.xml" ContentType="application/vnd.ms-excel.controlproperties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trlProps/ctrlProp4.xml" ContentType="application/vnd.ms-excel.controlproperties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af8eb5ba838f2ea/Desktop/Models/"/>
    </mc:Choice>
  </mc:AlternateContent>
  <xr:revisionPtr revIDLastSave="0" documentId="13_ncr:1_{8EACF66A-6459-4666-A3DB-B925A35C1F57}" xr6:coauthVersionLast="47" xr6:coauthVersionMax="47" xr10:uidLastSave="{00000000-0000-0000-0000-000000000000}"/>
  <bookViews>
    <workbookView xWindow="-120" yWindow="-120" windowWidth="20730" windowHeight="11040" tabRatio="964" activeTab="6" xr2:uid="{00000000-000D-0000-FFFF-FFFF00000000}"/>
  </bookViews>
  <sheets>
    <sheet name="DashBoard " sheetId="15" r:id="rId1"/>
    <sheet name="3 way Model - TNE " sheetId="13" r:id="rId2"/>
    <sheet name="Scenario Analysis" sheetId="3" r:id="rId3"/>
    <sheet name="WACC Analysis" sheetId="4" r:id="rId4"/>
    <sheet name="Comps Output" sheetId="5" r:id="rId5"/>
    <sheet name="Comps Input" sheetId="6" r:id="rId6"/>
    <sheet name="2015-2016 Annual Report Data" sheetId="8" r:id="rId7"/>
    <sheet name="2017 Annual Report Data" sheetId="9" r:id="rId8"/>
    <sheet name="2018 Annual Report Data" sheetId="10" r:id="rId9"/>
    <sheet name="2019 Annual Report Data" sheetId="11" r:id="rId10"/>
    <sheet name="2020 Annual Report Data" sheetId="12" r:id="rId11"/>
    <sheet name="H1 FY21" sheetId="14" r:id="rId12"/>
  </sheets>
  <calcPr calcId="191029" iterateCount="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5" i="13" l="1"/>
  <c r="C347" i="13"/>
  <c r="G365" i="13"/>
  <c r="B5" i="4" l="1"/>
  <c r="G12" i="6" l="1"/>
  <c r="G117" i="6" s="1"/>
  <c r="G26" i="6"/>
  <c r="G33" i="6" s="1"/>
  <c r="G37" i="6" s="1"/>
  <c r="G87" i="6"/>
  <c r="G86" i="6"/>
  <c r="U11" i="15" l="1"/>
  <c r="I37" i="3"/>
  <c r="B409" i="13" l="1"/>
  <c r="I407" i="13" s="1"/>
  <c r="B408" i="13"/>
  <c r="I408" i="13" s="1"/>
  <c r="F407" i="13"/>
  <c r="B407" i="13"/>
  <c r="I406" i="13" s="1"/>
  <c r="B406" i="13"/>
  <c r="I409" i="13" s="1"/>
  <c r="K393" i="13"/>
  <c r="K394" i="13" s="1"/>
  <c r="K395" i="13" s="1"/>
  <c r="K396" i="13" s="1"/>
  <c r="M391" i="13"/>
  <c r="N391" i="13" s="1"/>
  <c r="O391" i="13" s="1"/>
  <c r="P391" i="13" s="1"/>
  <c r="C393" i="13"/>
  <c r="C394" i="13" s="1"/>
  <c r="C395" i="13" s="1"/>
  <c r="C396" i="13" s="1"/>
  <c r="E391" i="13"/>
  <c r="F391" i="13" s="1"/>
  <c r="G391" i="13" s="1"/>
  <c r="H391" i="13" s="1"/>
  <c r="F408" i="13" l="1"/>
  <c r="F409" i="13" s="1"/>
  <c r="G367" i="13" l="1"/>
  <c r="C376" i="13" s="1"/>
  <c r="C208" i="13"/>
  <c r="I14" i="3" l="1"/>
  <c r="U8" i="4" l="1"/>
  <c r="K362" i="13" l="1"/>
  <c r="K364" i="13" s="1"/>
  <c r="J11" i="4"/>
  <c r="H11" i="4"/>
  <c r="G11" i="4"/>
  <c r="E11" i="4"/>
  <c r="E10" i="4"/>
  <c r="E9" i="4"/>
  <c r="D11" i="4"/>
  <c r="D10" i="4"/>
  <c r="D9" i="4"/>
  <c r="G15" i="4" l="1"/>
  <c r="G234" i="13"/>
  <c r="H233" i="13" s="1"/>
  <c r="N67" i="13" l="1"/>
  <c r="L177" i="3" l="1"/>
  <c r="K177" i="3"/>
  <c r="J155" i="3"/>
  <c r="K155" i="3" s="1"/>
  <c r="L155" i="3" s="1"/>
  <c r="M155" i="3" s="1"/>
  <c r="J153" i="3"/>
  <c r="K153" i="3" s="1"/>
  <c r="L153" i="3" s="1"/>
  <c r="M153" i="3" s="1"/>
  <c r="K150" i="3"/>
  <c r="L150" i="3"/>
  <c r="M150" i="3" s="1"/>
  <c r="J150" i="3"/>
  <c r="J146" i="3"/>
  <c r="K146" i="3" s="1"/>
  <c r="L146" i="3" s="1"/>
  <c r="M146" i="3" s="1"/>
  <c r="J145" i="3"/>
  <c r="K145" i="3" s="1"/>
  <c r="L145" i="3" s="1"/>
  <c r="M145" i="3" s="1"/>
  <c r="K144" i="3"/>
  <c r="L144" i="3" s="1"/>
  <c r="M144" i="3" s="1"/>
  <c r="B302" i="13" l="1"/>
  <c r="B307" i="13" s="1"/>
  <c r="B167" i="13" l="1"/>
  <c r="B101" i="13" l="1"/>
  <c r="C11" i="5"/>
  <c r="F167" i="6"/>
  <c r="E167" i="6"/>
  <c r="D167" i="6"/>
  <c r="D43" i="6"/>
  <c r="F87" i="6"/>
  <c r="E87" i="6"/>
  <c r="C87" i="6"/>
  <c r="B87" i="6"/>
  <c r="F86" i="6"/>
  <c r="E86" i="6"/>
  <c r="D86" i="6"/>
  <c r="C86" i="6"/>
  <c r="B86" i="6"/>
  <c r="B95" i="6"/>
  <c r="F71" i="6"/>
  <c r="F89" i="6" s="1"/>
  <c r="F33" i="6"/>
  <c r="G167" i="6" l="1"/>
  <c r="F11" i="4"/>
  <c r="F75" i="6"/>
  <c r="E70" i="6" l="1"/>
  <c r="D76" i="6"/>
  <c r="D73" i="6"/>
  <c r="D72" i="6"/>
  <c r="D70" i="6"/>
  <c r="E68" i="6"/>
  <c r="D69" i="6"/>
  <c r="D67" i="6"/>
  <c r="D66" i="6"/>
  <c r="D87" i="6" s="1"/>
  <c r="B77" i="6"/>
  <c r="B68" i="6"/>
  <c r="B71" i="6" s="1"/>
  <c r="E71" i="6" l="1"/>
  <c r="E89" i="6" s="1"/>
  <c r="B78" i="6"/>
  <c r="B90" i="6" s="1"/>
  <c r="B89" i="6"/>
  <c r="B82" i="6"/>
  <c r="B88" i="6" s="1"/>
  <c r="D68" i="6"/>
  <c r="B59" i="6"/>
  <c r="E75" i="6"/>
  <c r="G122" i="6"/>
  <c r="G109" i="6"/>
  <c r="G111" i="6" s="1"/>
  <c r="G43" i="6"/>
  <c r="G118" i="6" l="1"/>
  <c r="H96" i="6"/>
  <c r="H95" i="6"/>
  <c r="G95" i="6"/>
  <c r="F95" i="6"/>
  <c r="E95" i="6"/>
  <c r="D95" i="6"/>
  <c r="C95" i="6"/>
  <c r="G94" i="6"/>
  <c r="F94" i="6"/>
  <c r="E94" i="6"/>
  <c r="D94" i="6"/>
  <c r="C94" i="6"/>
  <c r="G68" i="6"/>
  <c r="G71" i="6" s="1"/>
  <c r="F77" i="6"/>
  <c r="D71" i="6"/>
  <c r="D89" i="6" s="1"/>
  <c r="C68" i="6"/>
  <c r="C71" i="6" s="1"/>
  <c r="H49" i="6"/>
  <c r="H52" i="6" s="1"/>
  <c r="G49" i="6"/>
  <c r="G52" i="6" s="1"/>
  <c r="F49" i="6"/>
  <c r="F52" i="6" s="1"/>
  <c r="F63" i="6" s="1"/>
  <c r="E49" i="6"/>
  <c r="E52" i="6" s="1"/>
  <c r="D49" i="6"/>
  <c r="D52" i="6" s="1"/>
  <c r="C49" i="6"/>
  <c r="C52" i="6" s="1"/>
  <c r="G82" i="6" l="1"/>
  <c r="G88" i="6" s="1"/>
  <c r="G89" i="6"/>
  <c r="F78" i="6"/>
  <c r="F90" i="6" s="1"/>
  <c r="C75" i="6"/>
  <c r="C77" i="6" s="1"/>
  <c r="C78" i="6" s="1"/>
  <c r="C89" i="6"/>
  <c r="D56" i="6"/>
  <c r="D58" i="6" s="1"/>
  <c r="D59" i="6" s="1"/>
  <c r="D63" i="6"/>
  <c r="E63" i="6"/>
  <c r="E56" i="6"/>
  <c r="E58" i="6" s="1"/>
  <c r="E59" i="6" s="1"/>
  <c r="H63" i="6"/>
  <c r="H56" i="6"/>
  <c r="H58" i="6" s="1"/>
  <c r="H59" i="6" s="1"/>
  <c r="E82" i="6"/>
  <c r="E88" i="6" s="1"/>
  <c r="E77" i="6"/>
  <c r="D82" i="6"/>
  <c r="D88" i="6" s="1"/>
  <c r="D75" i="6"/>
  <c r="D77" i="6" s="1"/>
  <c r="G75" i="6"/>
  <c r="G77" i="6" s="1"/>
  <c r="F82" i="6"/>
  <c r="F88" i="6" s="1"/>
  <c r="C63" i="6"/>
  <c r="G63" i="6"/>
  <c r="C82" i="6"/>
  <c r="C88" i="6" s="1"/>
  <c r="F56" i="6"/>
  <c r="F58" i="6" s="1"/>
  <c r="F59" i="6" s="1"/>
  <c r="C56" i="6"/>
  <c r="C58" i="6" s="1"/>
  <c r="C59" i="6" s="1"/>
  <c r="G56" i="6"/>
  <c r="G58" i="6" s="1"/>
  <c r="G59" i="6" s="1"/>
  <c r="E78" i="6" l="1"/>
  <c r="E90" i="6" s="1"/>
  <c r="G78" i="6"/>
  <c r="G90" i="6" s="1"/>
  <c r="D78" i="6"/>
  <c r="D90" i="6" s="1"/>
  <c r="C24" i="6"/>
  <c r="C90" i="6" s="1"/>
  <c r="L29" i="6"/>
  <c r="L28" i="6" a="1"/>
  <c r="L28" i="6" s="1"/>
  <c r="D11" i="5" l="1"/>
  <c r="H97" i="6"/>
  <c r="G97" i="6"/>
  <c r="G39" i="6"/>
  <c r="G40" i="6" s="1"/>
  <c r="G44" i="6"/>
  <c r="G129" i="6"/>
  <c r="F12" i="6"/>
  <c r="F117" i="6" s="1"/>
  <c r="F129" i="6" s="1"/>
  <c r="F10" i="5" s="1"/>
  <c r="C12" i="6"/>
  <c r="C117" i="6" s="1"/>
  <c r="C129" i="6" s="1"/>
  <c r="F7" i="5" s="1"/>
  <c r="B12" i="6"/>
  <c r="B117" i="6" s="1"/>
  <c r="B129" i="6" s="1"/>
  <c r="F6" i="5" s="1"/>
  <c r="D12" i="6"/>
  <c r="D117" i="6" s="1"/>
  <c r="D129" i="6" s="1"/>
  <c r="F8" i="5" s="1"/>
  <c r="E12" i="6"/>
  <c r="E117" i="6" s="1"/>
  <c r="E129" i="6" s="1"/>
  <c r="F9" i="5" s="1"/>
  <c r="G120" i="6" l="1"/>
  <c r="G123" i="6" s="1"/>
  <c r="F11" i="5"/>
  <c r="F14" i="5" s="1"/>
  <c r="G98" i="6"/>
  <c r="G96" i="6"/>
  <c r="H98" i="6"/>
  <c r="D45" i="14"/>
  <c r="D62" i="14"/>
  <c r="D69" i="14" s="1"/>
  <c r="D75" i="14"/>
  <c r="G132" i="14"/>
  <c r="G133" i="14" s="1"/>
  <c r="F132" i="14"/>
  <c r="F133" i="14" s="1"/>
  <c r="E132" i="14"/>
  <c r="E133" i="14" s="1"/>
  <c r="D132" i="14"/>
  <c r="D133" i="14" s="1"/>
  <c r="C132" i="14"/>
  <c r="C133" i="14" s="1"/>
  <c r="H131" i="14"/>
  <c r="H130" i="14"/>
  <c r="H129" i="14"/>
  <c r="H128" i="14"/>
  <c r="H127" i="14"/>
  <c r="H124" i="14"/>
  <c r="H123" i="14"/>
  <c r="H122" i="14"/>
  <c r="H121" i="14"/>
  <c r="F119" i="14"/>
  <c r="G118" i="14"/>
  <c r="G119" i="14" s="1"/>
  <c r="F118" i="14"/>
  <c r="E118" i="14"/>
  <c r="E119" i="14" s="1"/>
  <c r="D118" i="14"/>
  <c r="D119" i="14" s="1"/>
  <c r="C118" i="14"/>
  <c r="C119" i="14" s="1"/>
  <c r="H117" i="14"/>
  <c r="H116" i="14"/>
  <c r="H115" i="14"/>
  <c r="H114" i="14"/>
  <c r="H113" i="14"/>
  <c r="H112" i="14"/>
  <c r="H111" i="14"/>
  <c r="H110" i="14"/>
  <c r="H109" i="14"/>
  <c r="XFD109" i="14" s="1"/>
  <c r="D101" i="14"/>
  <c r="C101" i="14"/>
  <c r="D98" i="14"/>
  <c r="C98" i="14"/>
  <c r="D93" i="14"/>
  <c r="C93" i="14"/>
  <c r="C87" i="14"/>
  <c r="C75" i="14"/>
  <c r="C67" i="14"/>
  <c r="C62" i="14"/>
  <c r="C53" i="14"/>
  <c r="C55" i="14" s="1"/>
  <c r="C45" i="14"/>
  <c r="D29" i="14"/>
  <c r="C29" i="14"/>
  <c r="C16" i="14"/>
  <c r="G132" i="12"/>
  <c r="G133" i="12" s="1"/>
  <c r="F132" i="12"/>
  <c r="F133" i="12" s="1"/>
  <c r="E132" i="12"/>
  <c r="D132" i="12"/>
  <c r="D133" i="12" s="1"/>
  <c r="E133" i="12"/>
  <c r="C133" i="12"/>
  <c r="C132" i="12"/>
  <c r="H131" i="12"/>
  <c r="H130" i="12"/>
  <c r="H129" i="12"/>
  <c r="H132" i="12" s="1"/>
  <c r="H133" i="12" s="1"/>
  <c r="H128" i="12"/>
  <c r="H127" i="12"/>
  <c r="H124" i="12"/>
  <c r="H123" i="12"/>
  <c r="G118" i="12"/>
  <c r="G119" i="12" s="1"/>
  <c r="H117" i="12"/>
  <c r="H116" i="12"/>
  <c r="H115" i="12"/>
  <c r="H114" i="12"/>
  <c r="H113" i="12"/>
  <c r="H111" i="12"/>
  <c r="H110" i="12"/>
  <c r="H109" i="12"/>
  <c r="H122" i="12"/>
  <c r="H121" i="12"/>
  <c r="F118" i="12"/>
  <c r="E118" i="12"/>
  <c r="E119" i="12" s="1"/>
  <c r="D118" i="12"/>
  <c r="C118" i="12"/>
  <c r="C119" i="12" s="1"/>
  <c r="F119" i="12"/>
  <c r="H112" i="12"/>
  <c r="D101" i="12"/>
  <c r="C101" i="12"/>
  <c r="D98" i="12"/>
  <c r="C98" i="12"/>
  <c r="D93" i="12"/>
  <c r="C93" i="12"/>
  <c r="D87" i="12"/>
  <c r="C87" i="12"/>
  <c r="C69" i="14" l="1"/>
  <c r="C70" i="14" s="1"/>
  <c r="H132" i="14"/>
  <c r="H133" i="14" s="1"/>
  <c r="G127" i="6"/>
  <c r="E11" i="5" s="1"/>
  <c r="G126" i="6"/>
  <c r="G128" i="6"/>
  <c r="F13" i="5"/>
  <c r="H118" i="14"/>
  <c r="H119" i="14" s="1"/>
  <c r="D70" i="14"/>
  <c r="D119" i="12"/>
  <c r="H118" i="12"/>
  <c r="C75" i="12"/>
  <c r="C67" i="12"/>
  <c r="D67" i="12"/>
  <c r="D62" i="12"/>
  <c r="C62" i="12"/>
  <c r="D53" i="12"/>
  <c r="C53" i="12"/>
  <c r="D45" i="12"/>
  <c r="C45" i="12"/>
  <c r="D29" i="12"/>
  <c r="C29" i="12"/>
  <c r="D16" i="12"/>
  <c r="C16" i="12"/>
  <c r="H119" i="12" l="1"/>
  <c r="C69" i="12"/>
  <c r="D69" i="12"/>
  <c r="D55" i="12"/>
  <c r="D70" i="12" s="1"/>
  <c r="C55" i="12"/>
  <c r="I45" i="3"/>
  <c r="I44" i="3"/>
  <c r="I43" i="3"/>
  <c r="I42" i="3"/>
  <c r="I40" i="3"/>
  <c r="I39" i="3"/>
  <c r="I38" i="3"/>
  <c r="I36" i="3"/>
  <c r="I35" i="3"/>
  <c r="I34" i="3"/>
  <c r="I62" i="3"/>
  <c r="H53" i="13" s="1"/>
  <c r="I59" i="3"/>
  <c r="H50" i="13" s="1"/>
  <c r="J58" i="3"/>
  <c r="K58" i="3"/>
  <c r="L58" i="3"/>
  <c r="M58" i="3"/>
  <c r="I58" i="3"/>
  <c r="J57" i="3"/>
  <c r="K57" i="3"/>
  <c r="L57" i="3"/>
  <c r="M57" i="3"/>
  <c r="I57" i="3"/>
  <c r="J56" i="3"/>
  <c r="K56" i="3"/>
  <c r="L56" i="3"/>
  <c r="M56" i="3"/>
  <c r="I56" i="3"/>
  <c r="I55" i="3"/>
  <c r="J50" i="3"/>
  <c r="K50" i="3"/>
  <c r="L50" i="3"/>
  <c r="M50" i="3"/>
  <c r="J51" i="3"/>
  <c r="K51" i="3"/>
  <c r="L51" i="3"/>
  <c r="M51" i="3"/>
  <c r="J52" i="3"/>
  <c r="K52" i="3"/>
  <c r="L52" i="3"/>
  <c r="M52" i="3"/>
  <c r="J53" i="3"/>
  <c r="K53" i="3"/>
  <c r="L53" i="3"/>
  <c r="M53" i="3"/>
  <c r="I53" i="3"/>
  <c r="I52" i="3"/>
  <c r="I51" i="3"/>
  <c r="I50" i="3"/>
  <c r="J49" i="3"/>
  <c r="K49" i="3"/>
  <c r="L49" i="3"/>
  <c r="M49" i="3"/>
  <c r="I49" i="3"/>
  <c r="J48" i="3"/>
  <c r="K48" i="3"/>
  <c r="L48" i="3"/>
  <c r="M48" i="3"/>
  <c r="I48" i="3"/>
  <c r="J45" i="3"/>
  <c r="K45" i="3"/>
  <c r="L45" i="3"/>
  <c r="M45" i="3"/>
  <c r="J44" i="3"/>
  <c r="K44" i="3"/>
  <c r="L44" i="3"/>
  <c r="M44" i="3"/>
  <c r="J43" i="3"/>
  <c r="K43" i="3"/>
  <c r="L43" i="3"/>
  <c r="M43" i="3"/>
  <c r="J42" i="3"/>
  <c r="K42" i="3"/>
  <c r="L42" i="3"/>
  <c r="M42" i="3"/>
  <c r="J62" i="3"/>
  <c r="K62" i="3"/>
  <c r="L62" i="3"/>
  <c r="M62" i="3"/>
  <c r="J59" i="3"/>
  <c r="K59" i="3"/>
  <c r="L59" i="3"/>
  <c r="M59" i="3"/>
  <c r="J47" i="3"/>
  <c r="K47" i="3"/>
  <c r="L47" i="3"/>
  <c r="M47" i="3"/>
  <c r="I47" i="3"/>
  <c r="J34" i="3"/>
  <c r="K34" i="3"/>
  <c r="L34" i="3"/>
  <c r="M34" i="3"/>
  <c r="J35" i="3"/>
  <c r="K35" i="3"/>
  <c r="L35" i="3"/>
  <c r="M35" i="3"/>
  <c r="J36" i="3"/>
  <c r="K36" i="3"/>
  <c r="L36" i="3"/>
  <c r="M36" i="3"/>
  <c r="I33" i="3"/>
  <c r="J55" i="3"/>
  <c r="K55" i="3"/>
  <c r="L55" i="3"/>
  <c r="M55" i="3"/>
  <c r="G178" i="13"/>
  <c r="C191" i="13"/>
  <c r="C186" i="13"/>
  <c r="F182" i="13"/>
  <c r="F183" i="13"/>
  <c r="F184" i="13"/>
  <c r="F185" i="13"/>
  <c r="F186" i="13"/>
  <c r="F188" i="13"/>
  <c r="E188" i="13"/>
  <c r="F200" i="13"/>
  <c r="B198" i="13"/>
  <c r="C198" i="13"/>
  <c r="D198" i="13"/>
  <c r="E198" i="13"/>
  <c r="G200" i="13"/>
  <c r="G189" i="13"/>
  <c r="D208" i="13"/>
  <c r="E208" i="13"/>
  <c r="F208" i="13"/>
  <c r="G208" i="13"/>
  <c r="C190" i="13"/>
  <c r="C189" i="13"/>
  <c r="C188" i="13"/>
  <c r="C187" i="13"/>
  <c r="C185" i="13"/>
  <c r="C184" i="13"/>
  <c r="C183" i="13"/>
  <c r="C182" i="13"/>
  <c r="C178" i="13"/>
  <c r="B208" i="13"/>
  <c r="G188" i="13"/>
  <c r="D188" i="13"/>
  <c r="F187" i="13"/>
  <c r="G187" i="13"/>
  <c r="G205" i="13"/>
  <c r="D30" i="15" s="1"/>
  <c r="H198" i="13"/>
  <c r="H202" i="13"/>
  <c r="B176" i="13"/>
  <c r="C176" i="13"/>
  <c r="D176" i="13"/>
  <c r="E176" i="13"/>
  <c r="F176" i="13"/>
  <c r="G176" i="13"/>
  <c r="B178" i="13"/>
  <c r="D178" i="13"/>
  <c r="E178" i="13"/>
  <c r="F178" i="13"/>
  <c r="D182" i="13"/>
  <c r="E182" i="13"/>
  <c r="G182" i="13"/>
  <c r="D183" i="13"/>
  <c r="E183" i="13"/>
  <c r="G183" i="13"/>
  <c r="D184" i="13"/>
  <c r="E184" i="13"/>
  <c r="G184" i="13"/>
  <c r="D185" i="13"/>
  <c r="E185" i="13"/>
  <c r="G185" i="13"/>
  <c r="D186" i="13"/>
  <c r="E186" i="13"/>
  <c r="G186" i="13"/>
  <c r="D187" i="13"/>
  <c r="E187" i="13"/>
  <c r="D189" i="13"/>
  <c r="E189" i="13"/>
  <c r="F189" i="13"/>
  <c r="D190" i="13"/>
  <c r="E190" i="13"/>
  <c r="F190" i="13"/>
  <c r="G190" i="13"/>
  <c r="D191" i="13"/>
  <c r="E191" i="13"/>
  <c r="F191" i="13"/>
  <c r="G191" i="13"/>
  <c r="I198" i="13"/>
  <c r="J198" i="13"/>
  <c r="K198" i="13"/>
  <c r="L198" i="13"/>
  <c r="H199" i="13"/>
  <c r="C29" i="13"/>
  <c r="D29" i="13"/>
  <c r="E29" i="13"/>
  <c r="F29" i="13"/>
  <c r="G29" i="13"/>
  <c r="B29" i="13"/>
  <c r="H207" i="13" l="1"/>
  <c r="D31" i="15"/>
  <c r="D29" i="15"/>
  <c r="C325" i="13"/>
  <c r="F325" i="13"/>
  <c r="D325" i="13"/>
  <c r="E325" i="13"/>
  <c r="G325" i="13"/>
  <c r="C70" i="12"/>
  <c r="B324" i="13"/>
  <c r="I199" i="13" l="1"/>
  <c r="J199" i="13"/>
  <c r="K199" i="13"/>
  <c r="L199" i="13"/>
  <c r="I202" i="13"/>
  <c r="J202" i="13"/>
  <c r="K202" i="13"/>
  <c r="L202" i="13"/>
  <c r="H311" i="13"/>
  <c r="C311" i="13"/>
  <c r="C312" i="13" s="1"/>
  <c r="C306" i="13" s="1"/>
  <c r="E311" i="13"/>
  <c r="E312" i="13" s="1"/>
  <c r="E306" i="13" s="1"/>
  <c r="F311" i="13"/>
  <c r="F312" i="13" s="1"/>
  <c r="F306" i="13" s="1"/>
  <c r="G311" i="13"/>
  <c r="G312" i="13" s="1"/>
  <c r="G306" i="13" s="1"/>
  <c r="D311" i="13"/>
  <c r="D312" i="13" s="1"/>
  <c r="D306" i="13" s="1"/>
  <c r="B144" i="6"/>
  <c r="F161" i="6"/>
  <c r="E161" i="6"/>
  <c r="D161" i="6"/>
  <c r="F156" i="6"/>
  <c r="E156" i="6"/>
  <c r="D156" i="6"/>
  <c r="C156" i="6"/>
  <c r="B156" i="6"/>
  <c r="F150" i="6"/>
  <c r="E150" i="6"/>
  <c r="D150" i="6"/>
  <c r="C150" i="6"/>
  <c r="B150" i="6"/>
  <c r="F144" i="6"/>
  <c r="E144" i="6"/>
  <c r="D144" i="6"/>
  <c r="C144" i="6"/>
  <c r="C138" i="6"/>
  <c r="D138" i="6"/>
  <c r="E138" i="6"/>
  <c r="F138" i="6"/>
  <c r="B138" i="6"/>
  <c r="C349" i="13"/>
  <c r="J10" i="4"/>
  <c r="J9" i="4"/>
  <c r="J8" i="4"/>
  <c r="J7" i="4"/>
  <c r="J6" i="4"/>
  <c r="H10" i="4"/>
  <c r="H9" i="4"/>
  <c r="H8" i="4"/>
  <c r="H7" i="4"/>
  <c r="H6" i="4"/>
  <c r="I355" i="13"/>
  <c r="C118" i="6"/>
  <c r="C120" i="6" s="1"/>
  <c r="D118" i="6"/>
  <c r="D120" i="6" s="1"/>
  <c r="E118" i="6"/>
  <c r="F118" i="6"/>
  <c r="F120" i="6" s="1"/>
  <c r="I11" i="4" s="1"/>
  <c r="B118" i="6"/>
  <c r="B120" i="6" s="1"/>
  <c r="C109" i="6"/>
  <c r="C111" i="6" s="1"/>
  <c r="C122" i="6" s="1"/>
  <c r="D109" i="6"/>
  <c r="D111" i="6" s="1"/>
  <c r="D122" i="6" s="1"/>
  <c r="E109" i="6"/>
  <c r="E111" i="6" s="1"/>
  <c r="E122" i="6" s="1"/>
  <c r="F109" i="6"/>
  <c r="F111" i="6" s="1"/>
  <c r="F122" i="6" s="1"/>
  <c r="B109" i="6"/>
  <c r="B111" i="6" s="1"/>
  <c r="B122" i="6" s="1"/>
  <c r="D16" i="5"/>
  <c r="Z12" i="15" l="1"/>
  <c r="Y12" i="15"/>
  <c r="X12" i="15"/>
  <c r="X15" i="15" s="1"/>
  <c r="W12" i="15"/>
  <c r="W15" i="15" s="1"/>
  <c r="V12" i="15"/>
  <c r="V15" i="15" s="1"/>
  <c r="U12" i="15"/>
  <c r="U15" i="15" s="1"/>
  <c r="K11" i="4"/>
  <c r="L11" i="4"/>
  <c r="G161" i="6"/>
  <c r="F10" i="4" s="1"/>
  <c r="G362" i="13"/>
  <c r="D126" i="6"/>
  <c r="F126" i="6"/>
  <c r="I6" i="4"/>
  <c r="B126" i="6"/>
  <c r="B128" i="6"/>
  <c r="B127" i="6"/>
  <c r="I7" i="4"/>
  <c r="L7" i="4" s="1"/>
  <c r="C126" i="6"/>
  <c r="E120" i="6"/>
  <c r="I9" i="4" s="1"/>
  <c r="K9" i="4" s="1"/>
  <c r="E119" i="6"/>
  <c r="G144" i="6"/>
  <c r="F7" i="4" s="1"/>
  <c r="G156" i="6"/>
  <c r="F9" i="4" s="1"/>
  <c r="G150" i="6"/>
  <c r="F8" i="4" s="1"/>
  <c r="G138" i="6"/>
  <c r="F123" i="6"/>
  <c r="D123" i="6"/>
  <c r="I10" i="4"/>
  <c r="L10" i="4" s="1"/>
  <c r="I8" i="4"/>
  <c r="E123" i="6"/>
  <c r="C123" i="6"/>
  <c r="B123" i="6"/>
  <c r="M11" i="4" l="1"/>
  <c r="E6" i="5"/>
  <c r="E26" i="4"/>
  <c r="B10" i="4" s="1"/>
  <c r="F6" i="4"/>
  <c r="L142" i="6"/>
  <c r="E126" i="6"/>
  <c r="K10" i="4"/>
  <c r="M10" i="4" s="1"/>
  <c r="B26" i="6" l="1"/>
  <c r="B33" i="6" s="1"/>
  <c r="C26" i="6"/>
  <c r="C33" i="6" s="1"/>
  <c r="D26" i="6"/>
  <c r="E26" i="6"/>
  <c r="E33" i="6" s="1"/>
  <c r="F26" i="6"/>
  <c r="E23" i="5"/>
  <c r="B299" i="13"/>
  <c r="C296" i="13" s="1"/>
  <c r="C299" i="13" s="1"/>
  <c r="C298" i="13"/>
  <c r="D298" i="13"/>
  <c r="E298" i="13"/>
  <c r="F298" i="13"/>
  <c r="G298" i="13"/>
  <c r="B298" i="13"/>
  <c r="F324" i="13"/>
  <c r="G120" i="11"/>
  <c r="D113" i="11"/>
  <c r="E119" i="11"/>
  <c r="E120" i="11" s="1"/>
  <c r="C303" i="13"/>
  <c r="D303" i="13"/>
  <c r="E303" i="13"/>
  <c r="F303" i="13"/>
  <c r="G303" i="13"/>
  <c r="H304" i="13" s="1"/>
  <c r="H298" i="13" s="1"/>
  <c r="B37" i="6" l="1"/>
  <c r="B39" i="6" s="1"/>
  <c r="B40" i="6" s="1"/>
  <c r="B97" i="6"/>
  <c r="E97" i="6"/>
  <c r="E128" i="6"/>
  <c r="F44" i="6"/>
  <c r="F97" i="6"/>
  <c r="F128" i="6"/>
  <c r="C97" i="6"/>
  <c r="C128" i="6"/>
  <c r="D33" i="6"/>
  <c r="E37" i="6"/>
  <c r="E39" i="6" s="1"/>
  <c r="E40" i="6" s="1"/>
  <c r="F37" i="6"/>
  <c r="F39" i="6" s="1"/>
  <c r="F40" i="6" s="1"/>
  <c r="C37" i="6"/>
  <c r="C39" i="6" s="1"/>
  <c r="C40" i="6" s="1"/>
  <c r="B44" i="6"/>
  <c r="C44" i="6"/>
  <c r="D296" i="13"/>
  <c r="H128" i="6" l="1"/>
  <c r="D6" i="5"/>
  <c r="B98" i="6"/>
  <c r="C6" i="5"/>
  <c r="B96" i="6"/>
  <c r="D37" i="6"/>
  <c r="D39" i="6" s="1"/>
  <c r="D40" i="6" s="1"/>
  <c r="D97" i="6"/>
  <c r="D128" i="6"/>
  <c r="C7" i="5"/>
  <c r="C96" i="6"/>
  <c r="C127" i="6"/>
  <c r="D10" i="5"/>
  <c r="F98" i="6"/>
  <c r="D7" i="5"/>
  <c r="C98" i="6"/>
  <c r="C10" i="5"/>
  <c r="F96" i="6"/>
  <c r="F127" i="6"/>
  <c r="E10" i="5" s="1"/>
  <c r="D9" i="5"/>
  <c r="E98" i="6"/>
  <c r="D44" i="6"/>
  <c r="E44" i="6"/>
  <c r="D299" i="13"/>
  <c r="E296" i="13" s="1"/>
  <c r="H127" i="6" l="1"/>
  <c r="E7" i="5"/>
  <c r="C9" i="5"/>
  <c r="E96" i="6"/>
  <c r="E127" i="6"/>
  <c r="E9" i="5" s="1"/>
  <c r="C8" i="5"/>
  <c r="D96" i="6"/>
  <c r="D127" i="6"/>
  <c r="E8" i="5" s="1"/>
  <c r="E14" i="5" s="1"/>
  <c r="D8" i="5"/>
  <c r="D98" i="6"/>
  <c r="E299" i="13"/>
  <c r="F296" i="13" s="1"/>
  <c r="F299" i="13" s="1"/>
  <c r="E13" i="5" l="1"/>
  <c r="G296" i="13"/>
  <c r="G299" i="13" s="1"/>
  <c r="H38" i="13" l="1"/>
  <c r="E36" i="13"/>
  <c r="H35" i="13"/>
  <c r="H296" i="13"/>
  <c r="H299" i="13" s="1"/>
  <c r="H164" i="13" s="1"/>
  <c r="G167" i="13"/>
  <c r="C1" i="13"/>
  <c r="C364" i="13"/>
  <c r="G364" i="13"/>
  <c r="E355" i="13"/>
  <c r="F355" i="13"/>
  <c r="G355" i="13"/>
  <c r="H355" i="13"/>
  <c r="D355" i="13"/>
  <c r="B24" i="4"/>
  <c r="B22" i="4"/>
  <c r="E31" i="13"/>
  <c r="D205" i="13"/>
  <c r="E205" i="13"/>
  <c r="F205" i="13"/>
  <c r="C200" i="13"/>
  <c r="D200" i="13"/>
  <c r="E200" i="13"/>
  <c r="B200" i="13"/>
  <c r="D20" i="4"/>
  <c r="D19" i="4"/>
  <c r="D18" i="4"/>
  <c r="B30" i="4"/>
  <c r="K6" i="4"/>
  <c r="C324" i="13"/>
  <c r="D324" i="13"/>
  <c r="E324" i="13"/>
  <c r="G324" i="13"/>
  <c r="C323" i="13"/>
  <c r="D323" i="13"/>
  <c r="E323" i="13"/>
  <c r="F323" i="13"/>
  <c r="G323" i="13"/>
  <c r="B323" i="13"/>
  <c r="G322" i="13"/>
  <c r="G333" i="13" s="1"/>
  <c r="C322" i="13"/>
  <c r="C333" i="13" s="1"/>
  <c r="D322" i="13"/>
  <c r="D333" i="13" s="1"/>
  <c r="E322" i="13"/>
  <c r="E333" i="13" s="1"/>
  <c r="F322" i="13"/>
  <c r="F333" i="13" s="1"/>
  <c r="B322" i="13"/>
  <c r="B333" i="13" s="1"/>
  <c r="F43" i="13"/>
  <c r="L43" i="13"/>
  <c r="L152" i="13" s="1"/>
  <c r="K43" i="13"/>
  <c r="K152" i="13" s="1"/>
  <c r="J43" i="13"/>
  <c r="J152" i="13" s="1"/>
  <c r="I43" i="13"/>
  <c r="I152" i="13" s="1"/>
  <c r="H43" i="13"/>
  <c r="H152" i="13" s="1"/>
  <c r="L48" i="13"/>
  <c r="L157" i="13" s="1"/>
  <c r="K48" i="13"/>
  <c r="K157" i="13" s="1"/>
  <c r="J48" i="13"/>
  <c r="J157" i="13" s="1"/>
  <c r="I48" i="13"/>
  <c r="H48" i="13"/>
  <c r="C48" i="13"/>
  <c r="D48" i="13"/>
  <c r="E48" i="13"/>
  <c r="F48" i="13"/>
  <c r="G48" i="13"/>
  <c r="B48" i="13"/>
  <c r="C43" i="13"/>
  <c r="D43" i="13"/>
  <c r="E43" i="13"/>
  <c r="G43" i="13"/>
  <c r="B43" i="13"/>
  <c r="G42" i="13"/>
  <c r="L40" i="13"/>
  <c r="K40" i="13"/>
  <c r="J40" i="13"/>
  <c r="I40" i="13"/>
  <c r="H40" i="13"/>
  <c r="L42" i="13"/>
  <c r="L151" i="13" s="1"/>
  <c r="K42" i="13"/>
  <c r="K151" i="13" s="1"/>
  <c r="J42" i="13"/>
  <c r="J151" i="13" s="1"/>
  <c r="I42" i="13"/>
  <c r="I151" i="13" s="1"/>
  <c r="H42" i="13"/>
  <c r="F42" i="13"/>
  <c r="E42" i="13"/>
  <c r="I41" i="13"/>
  <c r="I150" i="13" s="1"/>
  <c r="J41" i="13"/>
  <c r="J150" i="13" s="1"/>
  <c r="K41" i="13"/>
  <c r="K150" i="13" s="1"/>
  <c r="L41" i="13"/>
  <c r="L150" i="13" s="1"/>
  <c r="H41" i="13"/>
  <c r="H150" i="13" s="1"/>
  <c r="H189" i="13" s="1"/>
  <c r="C41" i="13"/>
  <c r="D41" i="13"/>
  <c r="E41" i="13"/>
  <c r="F41" i="13"/>
  <c r="G41" i="13"/>
  <c r="B41" i="13"/>
  <c r="I49" i="13"/>
  <c r="I158" i="13" s="1"/>
  <c r="J49" i="13"/>
  <c r="J158" i="13" s="1"/>
  <c r="K49" i="13"/>
  <c r="K158" i="13" s="1"/>
  <c r="L49" i="13"/>
  <c r="L158" i="13" s="1"/>
  <c r="H49" i="13"/>
  <c r="H158" i="13" s="1"/>
  <c r="G49" i="13"/>
  <c r="C49" i="13"/>
  <c r="D49" i="13"/>
  <c r="E49" i="13"/>
  <c r="F49" i="13"/>
  <c r="B49" i="13"/>
  <c r="G101" i="13"/>
  <c r="G81" i="13"/>
  <c r="L47" i="13"/>
  <c r="K47" i="13"/>
  <c r="J47" i="13"/>
  <c r="I47" i="13"/>
  <c r="H47" i="13"/>
  <c r="I39" i="13"/>
  <c r="J39" i="13"/>
  <c r="K39" i="13"/>
  <c r="L39" i="13"/>
  <c r="H39" i="13"/>
  <c r="C47" i="13"/>
  <c r="D47" i="13"/>
  <c r="E47" i="13"/>
  <c r="F47" i="13"/>
  <c r="G47" i="13"/>
  <c r="B47" i="13"/>
  <c r="C39" i="13"/>
  <c r="D39" i="13"/>
  <c r="E39" i="13"/>
  <c r="F39" i="13"/>
  <c r="G39" i="13"/>
  <c r="B39" i="13"/>
  <c r="D268" i="13"/>
  <c r="E268" i="13"/>
  <c r="F268" i="13"/>
  <c r="G268" i="13"/>
  <c r="C268" i="13"/>
  <c r="H264" i="13"/>
  <c r="I264" i="13" s="1"/>
  <c r="J264" i="13" s="1"/>
  <c r="K264" i="13" s="1"/>
  <c r="L264" i="13" s="1"/>
  <c r="H273" i="13"/>
  <c r="H274" i="13"/>
  <c r="I274" i="13" s="1"/>
  <c r="H272" i="13"/>
  <c r="H279" i="13"/>
  <c r="H280" i="13"/>
  <c r="I280" i="13" s="1"/>
  <c r="J280" i="13" s="1"/>
  <c r="K280" i="13" s="1"/>
  <c r="L280" i="13" s="1"/>
  <c r="H29" i="13"/>
  <c r="H132" i="13" s="1"/>
  <c r="H184" i="13" s="1"/>
  <c r="F31" i="13"/>
  <c r="G31" i="13"/>
  <c r="F36" i="13"/>
  <c r="G36" i="13"/>
  <c r="I286" i="13"/>
  <c r="F290" i="13"/>
  <c r="G290" i="13"/>
  <c r="E290" i="13"/>
  <c r="D266" i="13"/>
  <c r="D275" i="13"/>
  <c r="B30" i="13"/>
  <c r="C30" i="13"/>
  <c r="D30" i="13"/>
  <c r="B34" i="13"/>
  <c r="C34" i="13"/>
  <c r="D34" i="13"/>
  <c r="H36" i="13"/>
  <c r="I36" i="13"/>
  <c r="J36" i="13"/>
  <c r="K36" i="13"/>
  <c r="L36" i="13"/>
  <c r="H31" i="13"/>
  <c r="I31" i="13"/>
  <c r="J31" i="13"/>
  <c r="K31" i="13"/>
  <c r="L31" i="13"/>
  <c r="L38" i="13"/>
  <c r="I38" i="13"/>
  <c r="J38" i="13"/>
  <c r="K38" i="13"/>
  <c r="G50" i="13"/>
  <c r="G44" i="13"/>
  <c r="H217" i="13"/>
  <c r="I217" i="13" s="1"/>
  <c r="J217" i="13" s="1"/>
  <c r="K217" i="13" s="1"/>
  <c r="L217" i="13" s="1"/>
  <c r="H214" i="13"/>
  <c r="H196" i="13" s="1"/>
  <c r="C222" i="13"/>
  <c r="D222" i="13"/>
  <c r="E222" i="13"/>
  <c r="F222" i="13"/>
  <c r="G222" i="13"/>
  <c r="B222" i="13"/>
  <c r="G292" i="13"/>
  <c r="H285" i="13" s="1"/>
  <c r="E292" i="13"/>
  <c r="F292" i="13"/>
  <c r="F253" i="13"/>
  <c r="G253" i="13"/>
  <c r="G255" i="13" s="1"/>
  <c r="H255" i="13" s="1"/>
  <c r="I255" i="13" s="1"/>
  <c r="J255" i="13" s="1"/>
  <c r="K255" i="13" s="1"/>
  <c r="L255" i="13" s="1"/>
  <c r="F248" i="13"/>
  <c r="G248" i="13"/>
  <c r="F144" i="13"/>
  <c r="D281" i="13"/>
  <c r="E281" i="13"/>
  <c r="F281" i="13"/>
  <c r="G281" i="13"/>
  <c r="H278" i="13" s="1"/>
  <c r="G275" i="13"/>
  <c r="H271" i="13" s="1"/>
  <c r="B275" i="13"/>
  <c r="C275" i="13"/>
  <c r="E275" i="13"/>
  <c r="F275" i="13"/>
  <c r="G266" i="13"/>
  <c r="H261" i="13" s="1"/>
  <c r="B266" i="13"/>
  <c r="C266" i="13"/>
  <c r="E266" i="13"/>
  <c r="F266" i="13"/>
  <c r="G144" i="13"/>
  <c r="I33" i="13"/>
  <c r="J33" i="13"/>
  <c r="K33" i="13"/>
  <c r="L33" i="13"/>
  <c r="I34" i="13"/>
  <c r="J34" i="13"/>
  <c r="K34" i="13"/>
  <c r="L34" i="13"/>
  <c r="I35" i="13"/>
  <c r="I141" i="13" s="1"/>
  <c r="J35" i="13"/>
  <c r="J141" i="13" s="1"/>
  <c r="K35" i="13"/>
  <c r="K141" i="13" s="1"/>
  <c r="L35" i="13"/>
  <c r="L141" i="13" s="1"/>
  <c r="H34" i="13"/>
  <c r="H33" i="13"/>
  <c r="I29" i="13"/>
  <c r="I132" i="13" s="1"/>
  <c r="L30" i="13"/>
  <c r="L133" i="13" s="1"/>
  <c r="K30" i="13"/>
  <c r="K133" i="13" s="1"/>
  <c r="J30" i="13"/>
  <c r="J133" i="13" s="1"/>
  <c r="I30" i="13"/>
  <c r="I133" i="13" s="1"/>
  <c r="L29" i="13"/>
  <c r="L132" i="13" s="1"/>
  <c r="K29" i="13"/>
  <c r="K132" i="13" s="1"/>
  <c r="J29" i="13"/>
  <c r="J132" i="13" s="1"/>
  <c r="L28" i="13"/>
  <c r="L131" i="13" s="1"/>
  <c r="K28" i="13"/>
  <c r="K131" i="13" s="1"/>
  <c r="J28" i="13"/>
  <c r="J131" i="13" s="1"/>
  <c r="I28" i="13"/>
  <c r="I131" i="13" s="1"/>
  <c r="L27" i="13"/>
  <c r="L130" i="13" s="1"/>
  <c r="K27" i="13"/>
  <c r="K130" i="13" s="1"/>
  <c r="J27" i="13"/>
  <c r="J130" i="13" s="1"/>
  <c r="I27" i="13"/>
  <c r="I130" i="13" s="1"/>
  <c r="L26" i="13"/>
  <c r="K26" i="13"/>
  <c r="J26" i="13"/>
  <c r="I26" i="13"/>
  <c r="L25" i="13"/>
  <c r="K25" i="13"/>
  <c r="J25" i="13"/>
  <c r="I25" i="13"/>
  <c r="H30" i="13"/>
  <c r="H133" i="13" s="1"/>
  <c r="H28" i="13"/>
  <c r="H131" i="13" s="1"/>
  <c r="H27" i="13"/>
  <c r="H130" i="13" s="1"/>
  <c r="H26" i="13"/>
  <c r="H25" i="13"/>
  <c r="G35" i="13"/>
  <c r="H241" i="13"/>
  <c r="H229" i="13"/>
  <c r="D224" i="13"/>
  <c r="E224" i="13"/>
  <c r="F224" i="13"/>
  <c r="G224" i="13"/>
  <c r="H213" i="13" s="1"/>
  <c r="C224" i="13"/>
  <c r="B224" i="13"/>
  <c r="E34" i="13"/>
  <c r="F34" i="13"/>
  <c r="G34" i="13"/>
  <c r="C33" i="13"/>
  <c r="D33" i="13"/>
  <c r="E33" i="13"/>
  <c r="F33" i="13"/>
  <c r="G33" i="13"/>
  <c r="B33" i="13"/>
  <c r="E30" i="13"/>
  <c r="F30" i="13"/>
  <c r="G30" i="13"/>
  <c r="D25" i="15" l="1"/>
  <c r="H141" i="13"/>
  <c r="H185" i="13" s="1"/>
  <c r="H151" i="13"/>
  <c r="H191" i="13" s="1"/>
  <c r="F257" i="13"/>
  <c r="H195" i="13"/>
  <c r="H281" i="13"/>
  <c r="I278" i="13" s="1"/>
  <c r="G257" i="13"/>
  <c r="I279" i="13"/>
  <c r="H197" i="13"/>
  <c r="L185" i="13"/>
  <c r="J185" i="13"/>
  <c r="K189" i="13"/>
  <c r="K191" i="13"/>
  <c r="I189" i="13"/>
  <c r="K185" i="13"/>
  <c r="L189" i="13"/>
  <c r="J189" i="13"/>
  <c r="J191" i="13"/>
  <c r="L191" i="13"/>
  <c r="J286" i="13"/>
  <c r="I272" i="13"/>
  <c r="I214" i="13"/>
  <c r="H268" i="13"/>
  <c r="I268" i="13" s="1"/>
  <c r="J268" i="13" s="1"/>
  <c r="K268" i="13" s="1"/>
  <c r="L268" i="13" s="1"/>
  <c r="C363" i="13"/>
  <c r="E22" i="5"/>
  <c r="C359" i="13"/>
  <c r="K8" i="4"/>
  <c r="I296" i="13"/>
  <c r="B9" i="4"/>
  <c r="C302" i="13"/>
  <c r="C307" i="13" s="1"/>
  <c r="L9" i="4"/>
  <c r="L6" i="4"/>
  <c r="M6" i="4" s="1"/>
  <c r="K7" i="4"/>
  <c r="M7" i="4" s="1"/>
  <c r="L8" i="4"/>
  <c r="B11" i="4"/>
  <c r="E29" i="4" s="1"/>
  <c r="E28" i="4"/>
  <c r="B37" i="4"/>
  <c r="B38" i="4" s="1"/>
  <c r="B27" i="4"/>
  <c r="B33" i="4"/>
  <c r="H290" i="13"/>
  <c r="I290" i="13" s="1"/>
  <c r="J290" i="13" s="1"/>
  <c r="K290" i="13" s="1"/>
  <c r="L290" i="13" s="1"/>
  <c r="H250" i="13"/>
  <c r="H252" i="13" s="1"/>
  <c r="H91" i="13"/>
  <c r="I273" i="13"/>
  <c r="H245" i="13"/>
  <c r="H248" i="13" s="1"/>
  <c r="I245" i="13" s="1"/>
  <c r="I248" i="13" s="1"/>
  <c r="J245" i="13" s="1"/>
  <c r="J248" i="13" s="1"/>
  <c r="K245" i="13" s="1"/>
  <c r="K248" i="13" s="1"/>
  <c r="L245" i="13" s="1"/>
  <c r="L248" i="13" s="1"/>
  <c r="H275" i="13"/>
  <c r="I271" i="13" s="1"/>
  <c r="J274" i="13"/>
  <c r="K274" i="13" s="1"/>
  <c r="L274" i="13" s="1"/>
  <c r="H222" i="13"/>
  <c r="H216" i="13" s="1"/>
  <c r="E282" i="13"/>
  <c r="G282" i="13"/>
  <c r="F282" i="13"/>
  <c r="D282" i="13"/>
  <c r="I241" i="13"/>
  <c r="J241" i="13" s="1"/>
  <c r="K241" i="13" s="1"/>
  <c r="L241" i="13" s="1"/>
  <c r="C35" i="13"/>
  <c r="D35" i="13"/>
  <c r="E35" i="13"/>
  <c r="F35" i="13"/>
  <c r="B35" i="13"/>
  <c r="C28" i="13"/>
  <c r="D28" i="13"/>
  <c r="E28" i="13"/>
  <c r="F28" i="13"/>
  <c r="G28" i="13"/>
  <c r="B28" i="13"/>
  <c r="C27" i="13"/>
  <c r="D27" i="13"/>
  <c r="E27" i="13"/>
  <c r="F27" i="13"/>
  <c r="G27" i="13"/>
  <c r="B27" i="13"/>
  <c r="H46" i="13"/>
  <c r="J33" i="3"/>
  <c r="K33" i="3"/>
  <c r="L33" i="3"/>
  <c r="M33" i="3"/>
  <c r="J37" i="3"/>
  <c r="K37" i="3"/>
  <c r="L37" i="3"/>
  <c r="M37" i="3"/>
  <c r="J38" i="3"/>
  <c r="K38" i="3"/>
  <c r="L38" i="3"/>
  <c r="M38" i="3"/>
  <c r="J39" i="3"/>
  <c r="K39" i="3"/>
  <c r="L39" i="3"/>
  <c r="M39" i="3"/>
  <c r="J40" i="3"/>
  <c r="K40" i="3"/>
  <c r="L40" i="3"/>
  <c r="M40" i="3"/>
  <c r="H44" i="13"/>
  <c r="I44" i="13"/>
  <c r="J44" i="13"/>
  <c r="K44" i="13"/>
  <c r="L44" i="13"/>
  <c r="L50" i="13"/>
  <c r="K50" i="13"/>
  <c r="J50" i="13"/>
  <c r="I50" i="13"/>
  <c r="L53" i="13"/>
  <c r="K53" i="13"/>
  <c r="J53" i="13"/>
  <c r="I53" i="13"/>
  <c r="I18" i="3"/>
  <c r="H11" i="13" s="1"/>
  <c r="H82" i="13" s="1"/>
  <c r="J18" i="3"/>
  <c r="I11" i="13" s="1"/>
  <c r="I82" i="13" s="1"/>
  <c r="K18" i="3"/>
  <c r="J11" i="13" s="1"/>
  <c r="J82" i="13" s="1"/>
  <c r="L18" i="3"/>
  <c r="K11" i="13" s="1"/>
  <c r="K82" i="13" s="1"/>
  <c r="M18" i="3"/>
  <c r="L11" i="13" s="1"/>
  <c r="L82" i="13" s="1"/>
  <c r="M29" i="3"/>
  <c r="L21" i="13" s="1"/>
  <c r="L29" i="3"/>
  <c r="K21" i="13" s="1"/>
  <c r="K29" i="3"/>
  <c r="J21" i="13" s="1"/>
  <c r="J29" i="3"/>
  <c r="I21" i="13" s="1"/>
  <c r="I29" i="3"/>
  <c r="H21" i="13" s="1"/>
  <c r="M28" i="3"/>
  <c r="L20" i="13" s="1"/>
  <c r="L28" i="3"/>
  <c r="K20" i="13" s="1"/>
  <c r="K28" i="3"/>
  <c r="J20" i="13" s="1"/>
  <c r="J28" i="3"/>
  <c r="I20" i="13" s="1"/>
  <c r="I28" i="3"/>
  <c r="H20" i="13" s="1"/>
  <c r="M27" i="3"/>
  <c r="L19" i="13" s="1"/>
  <c r="L27" i="3"/>
  <c r="K19" i="13" s="1"/>
  <c r="K27" i="3"/>
  <c r="J19" i="13" s="1"/>
  <c r="J27" i="3"/>
  <c r="I19" i="13" s="1"/>
  <c r="I27" i="3"/>
  <c r="H19" i="13" s="1"/>
  <c r="M26" i="3"/>
  <c r="L18" i="13" s="1"/>
  <c r="L26" i="3"/>
  <c r="K18" i="13" s="1"/>
  <c r="K26" i="3"/>
  <c r="J18" i="13" s="1"/>
  <c r="J26" i="3"/>
  <c r="I18" i="13" s="1"/>
  <c r="I26" i="3"/>
  <c r="H18" i="13" s="1"/>
  <c r="M25" i="3"/>
  <c r="L17" i="13" s="1"/>
  <c r="L25" i="3"/>
  <c r="K17" i="13" s="1"/>
  <c r="K25" i="3"/>
  <c r="J17" i="13" s="1"/>
  <c r="J25" i="3"/>
  <c r="I17" i="13" s="1"/>
  <c r="I25" i="3"/>
  <c r="H17" i="13" s="1"/>
  <c r="M24" i="3"/>
  <c r="L16" i="13" s="1"/>
  <c r="L24" i="3"/>
  <c r="K16" i="13" s="1"/>
  <c r="K24" i="3"/>
  <c r="J16" i="13" s="1"/>
  <c r="J24" i="3"/>
  <c r="I16" i="13" s="1"/>
  <c r="I24" i="3"/>
  <c r="H16" i="13" s="1"/>
  <c r="M23" i="3"/>
  <c r="L15" i="13" s="1"/>
  <c r="L23" i="3"/>
  <c r="K15" i="13" s="1"/>
  <c r="K23" i="3"/>
  <c r="J15" i="13" s="1"/>
  <c r="J23" i="3"/>
  <c r="I15" i="13" s="1"/>
  <c r="I23" i="3"/>
  <c r="H15" i="13" s="1"/>
  <c r="M22" i="3"/>
  <c r="L14" i="13" s="1"/>
  <c r="L22" i="3"/>
  <c r="K14" i="13" s="1"/>
  <c r="K22" i="3"/>
  <c r="J14" i="13" s="1"/>
  <c r="J22" i="3"/>
  <c r="I14" i="13" s="1"/>
  <c r="I22" i="3"/>
  <c r="H14" i="13" s="1"/>
  <c r="M21" i="3"/>
  <c r="L13" i="13" s="1"/>
  <c r="L21" i="3"/>
  <c r="K13" i="13" s="1"/>
  <c r="K21" i="3"/>
  <c r="J13" i="13" s="1"/>
  <c r="J21" i="3"/>
  <c r="I13" i="13" s="1"/>
  <c r="I21" i="3"/>
  <c r="H13" i="13" s="1"/>
  <c r="M20" i="3"/>
  <c r="L20" i="3"/>
  <c r="K20" i="3"/>
  <c r="J20" i="3"/>
  <c r="I20" i="3"/>
  <c r="M19" i="3"/>
  <c r="L12" i="13" s="1"/>
  <c r="L19" i="3"/>
  <c r="K12" i="13" s="1"/>
  <c r="K19" i="3"/>
  <c r="J12" i="13" s="1"/>
  <c r="J19" i="3"/>
  <c r="I12" i="13" s="1"/>
  <c r="I19" i="3"/>
  <c r="H12" i="13" s="1"/>
  <c r="M17" i="3"/>
  <c r="L10" i="13" s="1"/>
  <c r="L17" i="3"/>
  <c r="K10" i="13" s="1"/>
  <c r="K17" i="3"/>
  <c r="J10" i="13" s="1"/>
  <c r="J17" i="3"/>
  <c r="I10" i="13" s="1"/>
  <c r="I17" i="3"/>
  <c r="H10" i="13" s="1"/>
  <c r="M16" i="3"/>
  <c r="L9" i="13" s="1"/>
  <c r="L16" i="3"/>
  <c r="K9" i="13" s="1"/>
  <c r="K16" i="3"/>
  <c r="J9" i="13" s="1"/>
  <c r="J16" i="3"/>
  <c r="I9" i="13" s="1"/>
  <c r="I16" i="3"/>
  <c r="H9" i="13" s="1"/>
  <c r="M15" i="3"/>
  <c r="L8" i="13" s="1"/>
  <c r="L15" i="3"/>
  <c r="K8" i="13" s="1"/>
  <c r="K15" i="3"/>
  <c r="J8" i="13" s="1"/>
  <c r="J15" i="3"/>
  <c r="I8" i="13" s="1"/>
  <c r="I15" i="3"/>
  <c r="H8" i="13" s="1"/>
  <c r="M14" i="3"/>
  <c r="L7" i="13" s="1"/>
  <c r="L14" i="3"/>
  <c r="K7" i="13" s="1"/>
  <c r="K14" i="3"/>
  <c r="J7" i="13" s="1"/>
  <c r="J14" i="3"/>
  <c r="I7" i="13" s="1"/>
  <c r="H7" i="13"/>
  <c r="E2" i="3"/>
  <c r="F2" i="3" s="1"/>
  <c r="G2" i="3" s="1"/>
  <c r="H2" i="3" s="1"/>
  <c r="I2" i="3" s="1"/>
  <c r="J2" i="3" s="1"/>
  <c r="K2" i="3" s="1"/>
  <c r="L2" i="3" s="1"/>
  <c r="M2" i="3" s="1"/>
  <c r="D21" i="13"/>
  <c r="E21" i="13"/>
  <c r="F21" i="13"/>
  <c r="G21" i="13"/>
  <c r="D20" i="13"/>
  <c r="E20" i="13"/>
  <c r="F20" i="13"/>
  <c r="G20" i="13"/>
  <c r="C20" i="13"/>
  <c r="H2" i="13"/>
  <c r="I2" i="13" s="1"/>
  <c r="J2" i="13" s="1"/>
  <c r="K2" i="13" s="1"/>
  <c r="L2" i="13" s="1"/>
  <c r="C11" i="13"/>
  <c r="D11" i="13"/>
  <c r="E11" i="13"/>
  <c r="F11" i="13"/>
  <c r="G11" i="13"/>
  <c r="B11" i="13"/>
  <c r="C167" i="13"/>
  <c r="D167" i="13"/>
  <c r="E167" i="13"/>
  <c r="F167" i="13"/>
  <c r="G160" i="13"/>
  <c r="C160" i="13"/>
  <c r="D160" i="13"/>
  <c r="E160" i="13"/>
  <c r="F160" i="13"/>
  <c r="B160" i="13"/>
  <c r="B154" i="13"/>
  <c r="C154" i="13"/>
  <c r="D154" i="13"/>
  <c r="E154" i="13"/>
  <c r="F154" i="13"/>
  <c r="G154" i="13"/>
  <c r="B144" i="13"/>
  <c r="C144" i="13"/>
  <c r="D144" i="13"/>
  <c r="E144" i="13"/>
  <c r="G135" i="13"/>
  <c r="C135" i="13"/>
  <c r="D135" i="13"/>
  <c r="D145" i="13" s="1"/>
  <c r="E135" i="13"/>
  <c r="F135" i="13"/>
  <c r="F145" i="13" s="1"/>
  <c r="B135" i="13"/>
  <c r="D112" i="13"/>
  <c r="E112" i="13"/>
  <c r="F112" i="13"/>
  <c r="C112" i="13"/>
  <c r="B112" i="13"/>
  <c r="B88" i="13"/>
  <c r="B77" i="13"/>
  <c r="C71" i="13"/>
  <c r="C38" i="13" s="1"/>
  <c r="D71" i="13"/>
  <c r="D38" i="13" s="1"/>
  <c r="F71" i="13"/>
  <c r="G71" i="13"/>
  <c r="E101" i="13"/>
  <c r="D101" i="13"/>
  <c r="F101" i="13"/>
  <c r="C101" i="13"/>
  <c r="C81" i="13"/>
  <c r="D81" i="13"/>
  <c r="E81" i="13"/>
  <c r="F81" i="13"/>
  <c r="B81" i="13"/>
  <c r="C88" i="13"/>
  <c r="D88" i="13"/>
  <c r="E88" i="13"/>
  <c r="F88" i="13"/>
  <c r="G88" i="13"/>
  <c r="C94" i="13"/>
  <c r="D94" i="13"/>
  <c r="E94" i="13"/>
  <c r="F94" i="13"/>
  <c r="G94" i="13"/>
  <c r="B94" i="13"/>
  <c r="D77" i="13"/>
  <c r="E77" i="13"/>
  <c r="F77" i="13"/>
  <c r="G77" i="13"/>
  <c r="H77" i="13"/>
  <c r="I77" i="13"/>
  <c r="J77" i="13"/>
  <c r="K77" i="13"/>
  <c r="L77" i="13"/>
  <c r="C77" i="13"/>
  <c r="I191" i="13" l="1"/>
  <c r="I185" i="13"/>
  <c r="E161" i="13"/>
  <c r="I195" i="13"/>
  <c r="I281" i="13"/>
  <c r="J278" i="13" s="1"/>
  <c r="L46" i="13"/>
  <c r="J46" i="13"/>
  <c r="K46" i="13"/>
  <c r="I46" i="13"/>
  <c r="J279" i="13"/>
  <c r="I197" i="13"/>
  <c r="K286" i="13"/>
  <c r="H200" i="13"/>
  <c r="H324" i="13"/>
  <c r="J214" i="13"/>
  <c r="I196" i="13"/>
  <c r="J272" i="13"/>
  <c r="G7" i="13"/>
  <c r="D302" i="13"/>
  <c r="D307" i="13" s="1"/>
  <c r="E95" i="13"/>
  <c r="M8" i="4"/>
  <c r="M9" i="4"/>
  <c r="M19" i="4"/>
  <c r="M18" i="4"/>
  <c r="G161" i="13"/>
  <c r="H253" i="13"/>
  <c r="I250" i="13" s="1"/>
  <c r="I252" i="13" s="1"/>
  <c r="I253" i="13" s="1"/>
  <c r="H287" i="13"/>
  <c r="H292" i="13" s="1"/>
  <c r="G78" i="13"/>
  <c r="G95" i="13"/>
  <c r="H263" i="13"/>
  <c r="I233" i="13"/>
  <c r="H87" i="13"/>
  <c r="G38" i="13"/>
  <c r="H224" i="13"/>
  <c r="I213" i="13" s="1"/>
  <c r="H86" i="13"/>
  <c r="I275" i="13"/>
  <c r="J271" i="13" s="1"/>
  <c r="J273" i="13"/>
  <c r="I91" i="13"/>
  <c r="I222" i="13"/>
  <c r="J222" i="13" s="1"/>
  <c r="K222" i="13" s="1"/>
  <c r="L222" i="13" s="1"/>
  <c r="C8" i="13"/>
  <c r="G8" i="13"/>
  <c r="F38" i="13"/>
  <c r="F25" i="13"/>
  <c r="D25" i="13"/>
  <c r="F26" i="13"/>
  <c r="D26" i="13"/>
  <c r="F8" i="13"/>
  <c r="D78" i="13"/>
  <c r="D339" i="13" s="1"/>
  <c r="G25" i="13"/>
  <c r="C25" i="13"/>
  <c r="G26" i="13"/>
  <c r="C26" i="13"/>
  <c r="H234" i="13"/>
  <c r="H236" i="13" s="1"/>
  <c r="D8" i="13"/>
  <c r="D7" i="13"/>
  <c r="E145" i="13"/>
  <c r="C145" i="13"/>
  <c r="B161" i="13"/>
  <c r="G145" i="13"/>
  <c r="B95" i="13"/>
  <c r="F161" i="13"/>
  <c r="F162" i="13" s="1"/>
  <c r="D161" i="13"/>
  <c r="D169" i="13" s="1"/>
  <c r="F95" i="13"/>
  <c r="D95" i="13"/>
  <c r="C78" i="13"/>
  <c r="C95" i="13"/>
  <c r="F78" i="13"/>
  <c r="F339" i="13" s="1"/>
  <c r="D23" i="15" l="1"/>
  <c r="D24" i="15"/>
  <c r="M15" i="4"/>
  <c r="M17" i="4" s="1"/>
  <c r="H78" i="13"/>
  <c r="E11" i="15" s="1"/>
  <c r="G102" i="13"/>
  <c r="D11" i="15"/>
  <c r="G339" i="13"/>
  <c r="E29" i="15"/>
  <c r="E169" i="13"/>
  <c r="C339" i="13"/>
  <c r="C10" i="13"/>
  <c r="I285" i="13"/>
  <c r="I287" i="13" s="1"/>
  <c r="I292" i="13" s="1"/>
  <c r="I134" i="13" s="1"/>
  <c r="H134" i="13"/>
  <c r="H142" i="13"/>
  <c r="H92" i="13"/>
  <c r="H84" i="13"/>
  <c r="H176" i="13" s="1"/>
  <c r="H93" i="13"/>
  <c r="J195" i="13"/>
  <c r="H143" i="13"/>
  <c r="H238" i="13"/>
  <c r="H159" i="13" s="1"/>
  <c r="H240" i="13"/>
  <c r="K279" i="13"/>
  <c r="J197" i="13"/>
  <c r="J281" i="13"/>
  <c r="K278" i="13" s="1"/>
  <c r="L286" i="13"/>
  <c r="K272" i="13"/>
  <c r="K214" i="13"/>
  <c r="J196" i="13"/>
  <c r="I200" i="13"/>
  <c r="I324" i="13"/>
  <c r="E302" i="13"/>
  <c r="E307" i="13" s="1"/>
  <c r="H257" i="13"/>
  <c r="H138" i="13" s="1"/>
  <c r="D162" i="13"/>
  <c r="G169" i="13"/>
  <c r="D9" i="13"/>
  <c r="D12" i="13"/>
  <c r="G104" i="13"/>
  <c r="G319" i="13" s="1"/>
  <c r="G40" i="13"/>
  <c r="F102" i="13"/>
  <c r="F40" i="13"/>
  <c r="C40" i="13"/>
  <c r="C42" i="13"/>
  <c r="C46" i="13"/>
  <c r="D104" i="13"/>
  <c r="D105" i="13" s="1"/>
  <c r="D46" i="13"/>
  <c r="D40" i="13"/>
  <c r="D42" i="13"/>
  <c r="H136" i="13"/>
  <c r="H88" i="13"/>
  <c r="H266" i="13"/>
  <c r="H282" i="13" s="1"/>
  <c r="H137" i="13" s="1"/>
  <c r="J275" i="13"/>
  <c r="K271" i="13" s="1"/>
  <c r="C102" i="13"/>
  <c r="J250" i="13"/>
  <c r="J252" i="13" s="1"/>
  <c r="I257" i="13"/>
  <c r="I138" i="13" s="1"/>
  <c r="J233" i="13"/>
  <c r="I87" i="13"/>
  <c r="D15" i="13"/>
  <c r="D102" i="13"/>
  <c r="D103" i="13" s="1"/>
  <c r="K273" i="13"/>
  <c r="J91" i="13"/>
  <c r="I216" i="13"/>
  <c r="D10" i="13"/>
  <c r="D16" i="13"/>
  <c r="D17" i="13"/>
  <c r="D14" i="13"/>
  <c r="G162" i="13"/>
  <c r="F9" i="13"/>
  <c r="H153" i="13"/>
  <c r="I229" i="13"/>
  <c r="I234" i="13" s="1"/>
  <c r="D13" i="13"/>
  <c r="F104" i="13"/>
  <c r="F108" i="13" s="1"/>
  <c r="F175" i="13" s="1"/>
  <c r="F192" i="13" s="1"/>
  <c r="F330" i="13" s="1"/>
  <c r="F17" i="13"/>
  <c r="F12" i="13"/>
  <c r="F16" i="13"/>
  <c r="F13" i="13"/>
  <c r="F15" i="13"/>
  <c r="F14" i="13"/>
  <c r="F10" i="13"/>
  <c r="G16" i="13"/>
  <c r="G13" i="13"/>
  <c r="G15" i="13"/>
  <c r="G14" i="13"/>
  <c r="G10" i="13"/>
  <c r="G9" i="13"/>
  <c r="G17" i="13"/>
  <c r="G12" i="13"/>
  <c r="C104" i="13"/>
  <c r="C16" i="13"/>
  <c r="C13" i="13"/>
  <c r="C15" i="13"/>
  <c r="C14" i="13"/>
  <c r="C9" i="13"/>
  <c r="C17" i="13"/>
  <c r="C12" i="13"/>
  <c r="E162" i="13"/>
  <c r="F169" i="13"/>
  <c r="B281" i="13"/>
  <c r="B282" i="13" s="1"/>
  <c r="C281" i="13"/>
  <c r="C282" i="13" s="1"/>
  <c r="C205" i="13"/>
  <c r="B205" i="13"/>
  <c r="C161" i="13"/>
  <c r="C118" i="13"/>
  <c r="C21" i="13" s="1"/>
  <c r="B118" i="13"/>
  <c r="B21" i="13" s="1"/>
  <c r="C124" i="11"/>
  <c r="C134" i="11"/>
  <c r="D124" i="11"/>
  <c r="D134" i="11" s="1"/>
  <c r="D133" i="11"/>
  <c r="D127" i="11"/>
  <c r="E124" i="11"/>
  <c r="E134" i="11"/>
  <c r="F124" i="11"/>
  <c r="F134" i="11"/>
  <c r="G124" i="11"/>
  <c r="G134" i="11" s="1"/>
  <c r="H133" i="11"/>
  <c r="H132" i="11"/>
  <c r="H131" i="11"/>
  <c r="H130" i="11"/>
  <c r="H129" i="11"/>
  <c r="H125" i="11"/>
  <c r="H127" i="11" s="1"/>
  <c r="H126" i="11"/>
  <c r="F127" i="11"/>
  <c r="H122" i="11"/>
  <c r="H123" i="11"/>
  <c r="H124" i="11" s="1"/>
  <c r="H110" i="11"/>
  <c r="H114" i="11"/>
  <c r="H119" i="11" s="1"/>
  <c r="H120" i="11" s="1"/>
  <c r="H115" i="11"/>
  <c r="H116" i="11"/>
  <c r="H117" i="11"/>
  <c r="H118" i="11"/>
  <c r="F113" i="11"/>
  <c r="F120" i="11" s="1"/>
  <c r="H113" i="11"/>
  <c r="D119" i="11"/>
  <c r="D120" i="11" s="1"/>
  <c r="C119" i="11"/>
  <c r="C120" i="11" s="1"/>
  <c r="F119" i="11"/>
  <c r="H112" i="11"/>
  <c r="H111" i="11"/>
  <c r="C116" i="8"/>
  <c r="H116" i="8" s="1"/>
  <c r="C117" i="8"/>
  <c r="D116" i="8"/>
  <c r="D117" i="8" s="1"/>
  <c r="D109" i="8"/>
  <c r="E117" i="8"/>
  <c r="F109" i="8"/>
  <c r="F117" i="8" s="1"/>
  <c r="G116" i="8"/>
  <c r="G117" i="8"/>
  <c r="F116" i="8"/>
  <c r="H115" i="8"/>
  <c r="H114" i="8"/>
  <c r="H113" i="8"/>
  <c r="E111" i="8"/>
  <c r="H111" i="8"/>
  <c r="H110" i="8"/>
  <c r="H107" i="8"/>
  <c r="H108" i="8"/>
  <c r="H109" i="8"/>
  <c r="H94" i="8"/>
  <c r="H97" i="8"/>
  <c r="H103" i="8"/>
  <c r="H104" i="8"/>
  <c r="G104" i="8"/>
  <c r="F104" i="8"/>
  <c r="E104" i="8"/>
  <c r="D104" i="8"/>
  <c r="C104" i="8"/>
  <c r="H102" i="8"/>
  <c r="H101" i="8"/>
  <c r="H100" i="8"/>
  <c r="H98" i="8"/>
  <c r="H96" i="8"/>
  <c r="H95" i="8"/>
  <c r="H117" i="8" l="1"/>
  <c r="H134" i="11"/>
  <c r="I142" i="13"/>
  <c r="J285" i="13"/>
  <c r="J287" i="13" s="1"/>
  <c r="J292" i="13" s="1"/>
  <c r="H67" i="13"/>
  <c r="H68" i="13"/>
  <c r="I68" i="13" s="1"/>
  <c r="J68" i="13" s="1"/>
  <c r="K68" i="13" s="1"/>
  <c r="L68" i="13" s="1"/>
  <c r="H129" i="13"/>
  <c r="H183" i="13" s="1"/>
  <c r="H155" i="13"/>
  <c r="H79" i="13"/>
  <c r="I78" i="13"/>
  <c r="I155" i="13" s="1"/>
  <c r="H96" i="13"/>
  <c r="D14" i="15"/>
  <c r="C16" i="5"/>
  <c r="E20" i="5" s="1"/>
  <c r="B30" i="5" s="1"/>
  <c r="E12" i="15"/>
  <c r="F29" i="15"/>
  <c r="H187" i="13"/>
  <c r="H94" i="13"/>
  <c r="H322" i="13"/>
  <c r="H333" i="13" s="1"/>
  <c r="I93" i="13"/>
  <c r="H70" i="13"/>
  <c r="I70" i="13" s="1"/>
  <c r="J70" i="13" s="1"/>
  <c r="K70" i="13" s="1"/>
  <c r="L70" i="13" s="1"/>
  <c r="K195" i="13"/>
  <c r="H69" i="13"/>
  <c r="I69" i="13" s="1"/>
  <c r="J69" i="13" s="1"/>
  <c r="K69" i="13" s="1"/>
  <c r="L69" i="13" s="1"/>
  <c r="L279" i="13"/>
  <c r="L197" i="13" s="1"/>
  <c r="K197" i="13"/>
  <c r="H339" i="13"/>
  <c r="H147" i="13"/>
  <c r="J200" i="13"/>
  <c r="J324" i="13"/>
  <c r="L214" i="13"/>
  <c r="L196" i="13" s="1"/>
  <c r="K196" i="13"/>
  <c r="L272" i="13"/>
  <c r="L195" i="13" s="1"/>
  <c r="H80" i="13"/>
  <c r="I261" i="13"/>
  <c r="I263" i="13" s="1"/>
  <c r="I92" i="13" s="1"/>
  <c r="F302" i="13"/>
  <c r="F307" i="13" s="1"/>
  <c r="G302" i="13" s="1"/>
  <c r="H95" i="13"/>
  <c r="H149" i="13"/>
  <c r="G108" i="13"/>
  <c r="H100" i="13"/>
  <c r="H203" i="13" s="1"/>
  <c r="I67" i="13"/>
  <c r="H99" i="13"/>
  <c r="H178" i="13" s="1"/>
  <c r="H60" i="13"/>
  <c r="H83" i="13"/>
  <c r="H97" i="13"/>
  <c r="H128" i="13"/>
  <c r="H182" i="13" s="1"/>
  <c r="H98" i="13"/>
  <c r="H148" i="13" s="1"/>
  <c r="G18" i="13"/>
  <c r="G320" i="13" s="1"/>
  <c r="G321" i="13" s="1"/>
  <c r="G326" i="13" s="1"/>
  <c r="D357" i="13" s="1"/>
  <c r="H144" i="13"/>
  <c r="D108" i="13"/>
  <c r="G105" i="13"/>
  <c r="G332" i="13"/>
  <c r="G334" i="13" s="1"/>
  <c r="C18" i="13"/>
  <c r="C319" i="13"/>
  <c r="F18" i="13"/>
  <c r="F319" i="13"/>
  <c r="D18" i="13"/>
  <c r="D319" i="13"/>
  <c r="I98" i="13"/>
  <c r="I156" i="13" s="1"/>
  <c r="I224" i="13"/>
  <c r="I86" i="13"/>
  <c r="I88" i="13" s="1"/>
  <c r="K285" i="13"/>
  <c r="K287" i="13" s="1"/>
  <c r="K292" i="13" s="1"/>
  <c r="J142" i="13"/>
  <c r="J134" i="13"/>
  <c r="L273" i="13"/>
  <c r="L91" i="13" s="1"/>
  <c r="K91" i="13"/>
  <c r="K275" i="13"/>
  <c r="L271" i="13" s="1"/>
  <c r="K233" i="13"/>
  <c r="J87" i="13"/>
  <c r="J253" i="13"/>
  <c r="J93" i="13"/>
  <c r="K281" i="13"/>
  <c r="G103" i="13"/>
  <c r="C108" i="13"/>
  <c r="C19" i="13" s="1"/>
  <c r="I238" i="13"/>
  <c r="I159" i="13" s="1"/>
  <c r="I236" i="13"/>
  <c r="I153" i="13" s="1"/>
  <c r="I143" i="13"/>
  <c r="J229" i="13"/>
  <c r="I240" i="13"/>
  <c r="C105" i="13"/>
  <c r="C103" i="13"/>
  <c r="F105" i="13"/>
  <c r="F103" i="13"/>
  <c r="F109" i="13"/>
  <c r="F19" i="13"/>
  <c r="C162" i="13"/>
  <c r="C169" i="13"/>
  <c r="I94" i="13" l="1"/>
  <c r="I128" i="13"/>
  <c r="I339" i="13"/>
  <c r="I79" i="13"/>
  <c r="I100" i="13"/>
  <c r="I203" i="13" s="1"/>
  <c r="I96" i="13"/>
  <c r="I60" i="13"/>
  <c r="I149" i="13"/>
  <c r="I188" i="13" s="1"/>
  <c r="F11" i="15"/>
  <c r="F12" i="15" s="1"/>
  <c r="I129" i="13"/>
  <c r="I183" i="13" s="1"/>
  <c r="J78" i="13"/>
  <c r="G11" i="15" s="1"/>
  <c r="I97" i="13"/>
  <c r="I80" i="13"/>
  <c r="I81" i="13" s="1"/>
  <c r="I147" i="13"/>
  <c r="I186" i="13" s="1"/>
  <c r="I99" i="13"/>
  <c r="I303" i="13" s="1"/>
  <c r="J304" i="13" s="1"/>
  <c r="J298" i="13" s="1"/>
  <c r="I83" i="13"/>
  <c r="H186" i="13"/>
  <c r="H325" i="13" s="1"/>
  <c r="D15" i="15"/>
  <c r="D17" i="15"/>
  <c r="G29" i="15"/>
  <c r="Y11" i="15"/>
  <c r="Y15" i="15" s="1"/>
  <c r="G337" i="13"/>
  <c r="E19" i="5"/>
  <c r="E18" i="5" s="1"/>
  <c r="E26" i="5" s="1"/>
  <c r="H188" i="13"/>
  <c r="H81" i="13"/>
  <c r="I95" i="13"/>
  <c r="I182" i="13"/>
  <c r="C175" i="13"/>
  <c r="C192" i="13" s="1"/>
  <c r="C330" i="13" s="1"/>
  <c r="G109" i="13"/>
  <c r="G175" i="13"/>
  <c r="G192" i="13" s="1"/>
  <c r="D28" i="15" s="1"/>
  <c r="D109" i="13"/>
  <c r="D175" i="13"/>
  <c r="D192" i="13" s="1"/>
  <c r="D330" i="13" s="1"/>
  <c r="H303" i="13"/>
  <c r="I304" i="13" s="1"/>
  <c r="I298" i="13" s="1"/>
  <c r="I299" i="13" s="1"/>
  <c r="I164" i="13" s="1"/>
  <c r="I187" i="13"/>
  <c r="I184" i="13"/>
  <c r="K200" i="13"/>
  <c r="K324" i="13"/>
  <c r="L200" i="13"/>
  <c r="L324" i="13"/>
  <c r="H71" i="13"/>
  <c r="H156" i="13"/>
  <c r="H160" i="13" s="1"/>
  <c r="G307" i="13"/>
  <c r="H154" i="13"/>
  <c r="G19" i="13"/>
  <c r="G110" i="13"/>
  <c r="H101" i="13"/>
  <c r="H323" i="13"/>
  <c r="D19" i="13"/>
  <c r="C332" i="13"/>
  <c r="C334" i="13" s="1"/>
  <c r="D320" i="13"/>
  <c r="D321" i="13" s="1"/>
  <c r="D326" i="13" s="1"/>
  <c r="D332" i="13"/>
  <c r="D334" i="13" s="1"/>
  <c r="F320" i="13"/>
  <c r="F321" i="13" s="1"/>
  <c r="F326" i="13" s="1"/>
  <c r="F332" i="13"/>
  <c r="F334" i="13" s="1"/>
  <c r="I148" i="13"/>
  <c r="C320" i="13"/>
  <c r="I160" i="13"/>
  <c r="J129" i="13"/>
  <c r="J184" i="13"/>
  <c r="K250" i="13"/>
  <c r="J257" i="13"/>
  <c r="J138" i="13" s="1"/>
  <c r="L233" i="13"/>
  <c r="L87" i="13" s="1"/>
  <c r="K87" i="13"/>
  <c r="J67" i="13"/>
  <c r="I71" i="13"/>
  <c r="L275" i="13"/>
  <c r="I266" i="13"/>
  <c r="L285" i="13"/>
  <c r="L287" i="13" s="1"/>
  <c r="L292" i="13" s="1"/>
  <c r="K142" i="13"/>
  <c r="K134" i="13"/>
  <c r="I84" i="13"/>
  <c r="I176" i="13" s="1"/>
  <c r="I136" i="13"/>
  <c r="J213" i="13"/>
  <c r="J216" i="13" s="1"/>
  <c r="L278" i="13"/>
  <c r="L281" i="13" s="1"/>
  <c r="J234" i="13"/>
  <c r="D110" i="13"/>
  <c r="C109" i="13"/>
  <c r="J60" i="13" l="1"/>
  <c r="J96" i="13"/>
  <c r="J80" i="13"/>
  <c r="J128" i="13"/>
  <c r="J182" i="13" s="1"/>
  <c r="J97" i="13"/>
  <c r="J98" i="13"/>
  <c r="J156" i="13" s="1"/>
  <c r="J100" i="13"/>
  <c r="J203" i="13" s="1"/>
  <c r="K78" i="13"/>
  <c r="K155" i="13" s="1"/>
  <c r="J99" i="13"/>
  <c r="J178" i="13" s="1"/>
  <c r="I178" i="13"/>
  <c r="I323" i="13"/>
  <c r="J149" i="13"/>
  <c r="J188" i="13" s="1"/>
  <c r="J83" i="13"/>
  <c r="J147" i="13"/>
  <c r="J79" i="13"/>
  <c r="J81" i="13" s="1"/>
  <c r="J339" i="13"/>
  <c r="J155" i="13"/>
  <c r="J183" i="13"/>
  <c r="G12" i="15"/>
  <c r="D18" i="15"/>
  <c r="B29" i="5"/>
  <c r="B28" i="5"/>
  <c r="H29" i="15"/>
  <c r="I29" i="15"/>
  <c r="F337" i="13"/>
  <c r="C337" i="13"/>
  <c r="G336" i="13"/>
  <c r="D337" i="13"/>
  <c r="D336" i="13"/>
  <c r="G330" i="13"/>
  <c r="H102" i="13"/>
  <c r="I325" i="13"/>
  <c r="J296" i="13"/>
  <c r="J299" i="13" s="1"/>
  <c r="J164" i="13" s="1"/>
  <c r="K339" i="13"/>
  <c r="H104" i="13"/>
  <c r="H319" i="13" s="1"/>
  <c r="H320" i="13" s="1"/>
  <c r="H190" i="13"/>
  <c r="I154" i="13"/>
  <c r="I161" i="13" s="1"/>
  <c r="I190" i="13"/>
  <c r="K149" i="13"/>
  <c r="H302" i="13"/>
  <c r="H161" i="13"/>
  <c r="K99" i="13"/>
  <c r="K129" i="13"/>
  <c r="K183" i="13" s="1"/>
  <c r="D359" i="13"/>
  <c r="K96" i="13"/>
  <c r="K79" i="13"/>
  <c r="K184" i="13"/>
  <c r="K98" i="13"/>
  <c r="K156" i="13" s="1"/>
  <c r="K100" i="13"/>
  <c r="K203" i="13" s="1"/>
  <c r="K97" i="13"/>
  <c r="K60" i="13"/>
  <c r="K128" i="13"/>
  <c r="K182" i="13" s="1"/>
  <c r="K147" i="13"/>
  <c r="C321" i="13"/>
  <c r="C326" i="13" s="1"/>
  <c r="I101" i="13"/>
  <c r="I102" i="13" s="1"/>
  <c r="F14" i="15" s="1"/>
  <c r="I322" i="13"/>
  <c r="I333" i="13" s="1"/>
  <c r="J224" i="13"/>
  <c r="J86" i="13"/>
  <c r="J88" i="13" s="1"/>
  <c r="J261" i="13"/>
  <c r="I282" i="13"/>
  <c r="I137" i="13" s="1"/>
  <c r="I144" i="13" s="1"/>
  <c r="K67" i="13"/>
  <c r="J71" i="13"/>
  <c r="L142" i="13"/>
  <c r="L134" i="13"/>
  <c r="K252" i="13"/>
  <c r="K93" i="13" s="1"/>
  <c r="J236" i="13"/>
  <c r="J153" i="13" s="1"/>
  <c r="J143" i="13"/>
  <c r="J238" i="13"/>
  <c r="J159" i="13" s="1"/>
  <c r="K229" i="13"/>
  <c r="J240" i="13"/>
  <c r="K83" i="13" l="1"/>
  <c r="J303" i="13"/>
  <c r="K304" i="13" s="1"/>
  <c r="K298" i="13" s="1"/>
  <c r="K80" i="13"/>
  <c r="K81" i="13" s="1"/>
  <c r="L78" i="13"/>
  <c r="I11" i="15" s="1"/>
  <c r="H11" i="15"/>
  <c r="H12" i="15" s="1"/>
  <c r="J148" i="13"/>
  <c r="J190" i="13" s="1"/>
  <c r="J160" i="13"/>
  <c r="J323" i="13"/>
  <c r="K188" i="13"/>
  <c r="J186" i="13"/>
  <c r="J325" i="13" s="1"/>
  <c r="Z11" i="15"/>
  <c r="Z15" i="15" s="1"/>
  <c r="K186" i="13"/>
  <c r="K325" i="13" s="1"/>
  <c r="E24" i="15"/>
  <c r="H103" i="13"/>
  <c r="E15" i="15" s="1"/>
  <c r="E14" i="15"/>
  <c r="F24" i="15"/>
  <c r="K296" i="13"/>
  <c r="K299" i="13" s="1"/>
  <c r="I103" i="13"/>
  <c r="F15" i="15" s="1"/>
  <c r="H105" i="13"/>
  <c r="H106" i="13"/>
  <c r="H108" i="13" s="1"/>
  <c r="E17" i="15" s="1"/>
  <c r="E19" i="15" s="1"/>
  <c r="H332" i="13"/>
  <c r="H334" i="13" s="1"/>
  <c r="H321" i="13"/>
  <c r="K303" i="13"/>
  <c r="L304" i="13" s="1"/>
  <c r="L298" i="13" s="1"/>
  <c r="K178" i="13"/>
  <c r="J187" i="13"/>
  <c r="K148" i="13"/>
  <c r="L60" i="13"/>
  <c r="L128" i="13"/>
  <c r="L182" i="13" s="1"/>
  <c r="K323" i="13"/>
  <c r="L96" i="13"/>
  <c r="L184" i="13"/>
  <c r="I104" i="13"/>
  <c r="I319" i="13" s="1"/>
  <c r="L67" i="13"/>
  <c r="L71" i="13" s="1"/>
  <c r="K71" i="13"/>
  <c r="J263" i="13"/>
  <c r="K213" i="13"/>
  <c r="K216" i="13" s="1"/>
  <c r="J136" i="13"/>
  <c r="K253" i="13"/>
  <c r="K234" i="13"/>
  <c r="L80" i="13" l="1"/>
  <c r="L97" i="13"/>
  <c r="L100" i="13"/>
  <c r="L203" i="13" s="1"/>
  <c r="L98" i="13"/>
  <c r="L156" i="13" s="1"/>
  <c r="J154" i="13"/>
  <c r="J161" i="13" s="1"/>
  <c r="L83" i="13"/>
  <c r="L129" i="13"/>
  <c r="L183" i="13" s="1"/>
  <c r="L149" i="13"/>
  <c r="L188" i="13" s="1"/>
  <c r="L338" i="13"/>
  <c r="L155" i="13"/>
  <c r="L147" i="13"/>
  <c r="L186" i="13" s="1"/>
  <c r="L99" i="13"/>
  <c r="L79" i="13"/>
  <c r="K190" i="13"/>
  <c r="I12" i="15"/>
  <c r="H337" i="13"/>
  <c r="H336" i="13"/>
  <c r="H326" i="13"/>
  <c r="E357" i="13" s="1"/>
  <c r="L148" i="13"/>
  <c r="L190" i="13" s="1"/>
  <c r="H109" i="13"/>
  <c r="H175" i="13"/>
  <c r="H192" i="13" s="1"/>
  <c r="E28" i="15" s="1"/>
  <c r="L303" i="13"/>
  <c r="L178" i="13"/>
  <c r="L81" i="13"/>
  <c r="H110" i="13"/>
  <c r="H119" i="13" s="1"/>
  <c r="H116" i="13" s="1"/>
  <c r="H118" i="13" s="1"/>
  <c r="H114" i="13" s="1"/>
  <c r="L323" i="13"/>
  <c r="K164" i="13"/>
  <c r="L296" i="13"/>
  <c r="L299" i="13" s="1"/>
  <c r="L164" i="13" s="1"/>
  <c r="H112" i="13"/>
  <c r="H166" i="13" s="1"/>
  <c r="I320" i="13"/>
  <c r="I321" i="13" s="1"/>
  <c r="I326" i="13" s="1"/>
  <c r="I332" i="13"/>
  <c r="I334" i="13" s="1"/>
  <c r="I106" i="13"/>
  <c r="I105" i="13"/>
  <c r="K257" i="13"/>
  <c r="K138" i="13" s="1"/>
  <c r="L250" i="13"/>
  <c r="K224" i="13"/>
  <c r="K86" i="13"/>
  <c r="K88" i="13" s="1"/>
  <c r="J92" i="13"/>
  <c r="J94" i="13" s="1"/>
  <c r="J95" i="13" s="1"/>
  <c r="J84" i="13"/>
  <c r="J176" i="13" s="1"/>
  <c r="J266" i="13"/>
  <c r="K238" i="13"/>
  <c r="K159" i="13" s="1"/>
  <c r="K160" i="13" s="1"/>
  <c r="K236" i="13"/>
  <c r="K153" i="13" s="1"/>
  <c r="K143" i="13"/>
  <c r="L229" i="13"/>
  <c r="L234" i="13" s="1"/>
  <c r="K240" i="13"/>
  <c r="L325" i="13" l="1"/>
  <c r="G24" i="15"/>
  <c r="E18" i="15"/>
  <c r="E359" i="13"/>
  <c r="I337" i="13"/>
  <c r="I336" i="13"/>
  <c r="F357" i="13"/>
  <c r="F359" i="13" s="1"/>
  <c r="K154" i="13"/>
  <c r="K161" i="13" s="1"/>
  <c r="K187" i="13"/>
  <c r="H204" i="13"/>
  <c r="H205" i="13" s="1"/>
  <c r="E30" i="15" s="1"/>
  <c r="H113" i="13"/>
  <c r="I108" i="13"/>
  <c r="F17" i="15" s="1"/>
  <c r="F19" i="15" s="1"/>
  <c r="H117" i="13"/>
  <c r="J101" i="13"/>
  <c r="J102" i="13" s="1"/>
  <c r="G14" i="15" s="1"/>
  <c r="J322" i="13"/>
  <c r="J333" i="13" s="1"/>
  <c r="K261" i="13"/>
  <c r="J282" i="13"/>
  <c r="J137" i="13" s="1"/>
  <c r="J144" i="13" s="1"/>
  <c r="L252" i="13"/>
  <c r="L93" i="13" s="1"/>
  <c r="L213" i="13"/>
  <c r="L216" i="13" s="1"/>
  <c r="K136" i="13"/>
  <c r="L240" i="13"/>
  <c r="L236" i="13"/>
  <c r="L153" i="13" s="1"/>
  <c r="L143" i="13"/>
  <c r="L238" i="13"/>
  <c r="L159" i="13" s="1"/>
  <c r="L160" i="13" s="1"/>
  <c r="H24" i="15" l="1"/>
  <c r="H206" i="13"/>
  <c r="H208" i="13" s="1"/>
  <c r="E31" i="15" s="1"/>
  <c r="H330" i="13"/>
  <c r="I175" i="13"/>
  <c r="I192" i="13" s="1"/>
  <c r="J103" i="13"/>
  <c r="G15" i="15" s="1"/>
  <c r="L154" i="13"/>
  <c r="L161" i="13" s="1"/>
  <c r="L187" i="13"/>
  <c r="I112" i="13"/>
  <c r="I204" i="13" s="1"/>
  <c r="I205" i="13" s="1"/>
  <c r="F30" i="15" s="1"/>
  <c r="I109" i="13"/>
  <c r="I110" i="13"/>
  <c r="I119" i="13" s="1"/>
  <c r="I116" i="13" s="1"/>
  <c r="I118" i="13" s="1"/>
  <c r="I117" i="13" s="1"/>
  <c r="J104" i="13"/>
  <c r="J319" i="13" s="1"/>
  <c r="L224" i="13"/>
  <c r="L136" i="13" s="1"/>
  <c r="L86" i="13"/>
  <c r="L88" i="13" s="1"/>
  <c r="L253" i="13"/>
  <c r="L257" i="13" s="1"/>
  <c r="L138" i="13" s="1"/>
  <c r="K263" i="13"/>
  <c r="K266" i="13" s="1"/>
  <c r="I24" i="15" l="1"/>
  <c r="F28" i="15"/>
  <c r="F18" i="15"/>
  <c r="I330" i="13"/>
  <c r="H127" i="13"/>
  <c r="I206" i="13"/>
  <c r="I166" i="13"/>
  <c r="I207" i="13"/>
  <c r="J105" i="13"/>
  <c r="I113" i="13"/>
  <c r="I114" i="13"/>
  <c r="J320" i="13"/>
  <c r="J321" i="13" s="1"/>
  <c r="J326" i="13" s="1"/>
  <c r="J332" i="13"/>
  <c r="J334" i="13" s="1"/>
  <c r="J106" i="13"/>
  <c r="L261" i="13"/>
  <c r="L263" i="13" s="1"/>
  <c r="K282" i="13"/>
  <c r="K137" i="13" s="1"/>
  <c r="K144" i="13" s="1"/>
  <c r="K92" i="13"/>
  <c r="K94" i="13" s="1"/>
  <c r="K95" i="13" s="1"/>
  <c r="K84" i="13"/>
  <c r="K176" i="13" s="1"/>
  <c r="J337" i="13" l="1"/>
  <c r="J336" i="13"/>
  <c r="G357" i="13"/>
  <c r="I208" i="13"/>
  <c r="J108" i="13"/>
  <c r="K101" i="13"/>
  <c r="K104" i="13" s="1"/>
  <c r="K322" i="13"/>
  <c r="K333" i="13" s="1"/>
  <c r="L266" i="13"/>
  <c r="L282" i="13" s="1"/>
  <c r="L137" i="13" s="1"/>
  <c r="L144" i="13" s="1"/>
  <c r="L92" i="13"/>
  <c r="L94" i="13" s="1"/>
  <c r="L95" i="13" s="1"/>
  <c r="L84" i="13"/>
  <c r="L176" i="13" s="1"/>
  <c r="I127" i="13" l="1"/>
  <c r="F31" i="15"/>
  <c r="G17" i="15"/>
  <c r="G19" i="15" s="1"/>
  <c r="G359" i="13"/>
  <c r="K102" i="13"/>
  <c r="J207" i="13"/>
  <c r="J109" i="13"/>
  <c r="J175" i="13"/>
  <c r="J192" i="13" s="1"/>
  <c r="J112" i="13"/>
  <c r="J110" i="13"/>
  <c r="J119" i="13" s="1"/>
  <c r="J116" i="13" s="1"/>
  <c r="J113" i="13" s="1"/>
  <c r="K319" i="13"/>
  <c r="K332" i="13" s="1"/>
  <c r="K334" i="13" s="1"/>
  <c r="K106" i="13"/>
  <c r="L101" i="13"/>
  <c r="L104" i="13" s="1"/>
  <c r="L322" i="13"/>
  <c r="L332" i="13" s="1"/>
  <c r="K105" i="13"/>
  <c r="K103" i="13" l="1"/>
  <c r="H15" i="15" s="1"/>
  <c r="H14" i="15"/>
  <c r="G28" i="15"/>
  <c r="G18" i="15"/>
  <c r="K337" i="13"/>
  <c r="K336" i="13"/>
  <c r="J166" i="13"/>
  <c r="J204" i="13"/>
  <c r="J205" i="13" s="1"/>
  <c r="K320" i="13"/>
  <c r="K321" i="13" s="1"/>
  <c r="K326" i="13" s="1"/>
  <c r="K108" i="13"/>
  <c r="H17" i="15" s="1"/>
  <c r="H19" i="15" s="1"/>
  <c r="L102" i="13"/>
  <c r="I14" i="15" s="1"/>
  <c r="L319" i="13"/>
  <c r="L331" i="13" s="1"/>
  <c r="L333" i="13" s="1"/>
  <c r="M354" i="13" s="1"/>
  <c r="L106" i="13"/>
  <c r="J118" i="13"/>
  <c r="L105" i="13"/>
  <c r="J330" i="13" l="1"/>
  <c r="G30" i="15"/>
  <c r="L103" i="13"/>
  <c r="K175" i="13"/>
  <c r="K192" i="13" s="1"/>
  <c r="J206" i="13"/>
  <c r="J208" i="13" s="1"/>
  <c r="J117" i="13"/>
  <c r="J114" i="13"/>
  <c r="K112" i="13"/>
  <c r="K204" i="13" s="1"/>
  <c r="K205" i="13" s="1"/>
  <c r="H30" i="15" s="1"/>
  <c r="L320" i="13"/>
  <c r="L321" i="13" s="1"/>
  <c r="L326" i="13" s="1"/>
  <c r="H357" i="13"/>
  <c r="K110" i="13"/>
  <c r="K119" i="13" s="1"/>
  <c r="K116" i="13" s="1"/>
  <c r="K113" i="13" s="1"/>
  <c r="L108" i="13"/>
  <c r="K109" i="13"/>
  <c r="L335" i="13"/>
  <c r="I15" i="15" l="1"/>
  <c r="H28" i="15"/>
  <c r="H18" i="15"/>
  <c r="I17" i="15"/>
  <c r="I19" i="15" s="1"/>
  <c r="I20" i="15" s="1"/>
  <c r="K207" i="13"/>
  <c r="G31" i="15"/>
  <c r="H359" i="13"/>
  <c r="K330" i="13"/>
  <c r="J127" i="13"/>
  <c r="K206" i="13"/>
  <c r="I357" i="13"/>
  <c r="I359" i="13" s="1"/>
  <c r="L110" i="13"/>
  <c r="L119" i="13" s="1"/>
  <c r="L116" i="13" s="1"/>
  <c r="L118" i="13" s="1"/>
  <c r="L117" i="13" s="1"/>
  <c r="L175" i="13"/>
  <c r="L192" i="13" s="1"/>
  <c r="K166" i="13"/>
  <c r="L112" i="13"/>
  <c r="L204" i="13" s="1"/>
  <c r="L205" i="13" s="1"/>
  <c r="I30" i="15" s="1"/>
  <c r="L109" i="13"/>
  <c r="K118" i="13"/>
  <c r="K208" i="13" l="1"/>
  <c r="H31" i="15" s="1"/>
  <c r="I28" i="15"/>
  <c r="I18" i="15"/>
  <c r="L330" i="13"/>
  <c r="L166" i="13"/>
  <c r="L206" i="13"/>
  <c r="L113" i="13"/>
  <c r="K117" i="13"/>
  <c r="K114" i="13"/>
  <c r="L114" i="13"/>
  <c r="K127" i="13" l="1"/>
  <c r="L207" i="13"/>
  <c r="L208" i="13" s="1"/>
  <c r="I31" i="15" l="1"/>
  <c r="L127" i="13"/>
  <c r="B145" i="13"/>
  <c r="B162" i="13" l="1"/>
  <c r="B169" i="13"/>
  <c r="L135" i="13" l="1"/>
  <c r="L145" i="13" s="1"/>
  <c r="I135" i="13"/>
  <c r="I145" i="13" s="1"/>
  <c r="K135" i="13"/>
  <c r="K145" i="13" s="1"/>
  <c r="H23" i="15" s="1"/>
  <c r="J135" i="13"/>
  <c r="J145" i="13" s="1"/>
  <c r="F23" i="15" l="1"/>
  <c r="G23" i="15"/>
  <c r="I23" i="15"/>
  <c r="K162" i="13"/>
  <c r="J162" i="13"/>
  <c r="L162" i="13"/>
  <c r="I162" i="13"/>
  <c r="H135" i="13"/>
  <c r="H145" i="13" l="1"/>
  <c r="E23" i="15" s="1"/>
  <c r="H162" i="13" l="1"/>
  <c r="B71" i="13" l="1"/>
  <c r="B38" i="13" s="1"/>
  <c r="B78" i="13" l="1"/>
  <c r="B46" i="13" s="1"/>
  <c r="C7" i="13"/>
  <c r="B25" i="13"/>
  <c r="B8" i="13"/>
  <c r="B26" i="13"/>
  <c r="B12" i="13" l="1"/>
  <c r="B16" i="13"/>
  <c r="B104" i="13"/>
  <c r="B339" i="13"/>
  <c r="B9" i="13"/>
  <c r="B15" i="13"/>
  <c r="B13" i="13"/>
  <c r="B17" i="13"/>
  <c r="B10" i="13"/>
  <c r="B40" i="13"/>
  <c r="B14" i="13"/>
  <c r="B102" i="13"/>
  <c r="B103" i="13" s="1"/>
  <c r="B105" i="13" l="1"/>
  <c r="B18" i="13"/>
  <c r="B108" i="13"/>
  <c r="B319" i="13"/>
  <c r="B320" i="13" s="1"/>
  <c r="B321" i="13" l="1"/>
  <c r="B332" i="13"/>
  <c r="B334" i="13" s="1"/>
  <c r="B109" i="13"/>
  <c r="B19" i="13"/>
  <c r="B175" i="13"/>
  <c r="B192" i="13" s="1"/>
  <c r="B330" i="13" s="1"/>
  <c r="C110" i="13"/>
  <c r="E71" i="13"/>
  <c r="E8" i="13" s="1"/>
  <c r="B337" i="13" l="1"/>
  <c r="C336" i="13"/>
  <c r="E78" i="13"/>
  <c r="F7" i="13"/>
  <c r="E38" i="13"/>
  <c r="E26" i="13"/>
  <c r="E7" i="13"/>
  <c r="E25" i="13"/>
  <c r="E15" i="13" l="1"/>
  <c r="E17" i="13"/>
  <c r="E104" i="13"/>
  <c r="E40" i="13"/>
  <c r="E339" i="13"/>
  <c r="E12" i="13"/>
  <c r="E10" i="13"/>
  <c r="E9" i="13"/>
  <c r="E102" i="13"/>
  <c r="E103" i="13" s="1"/>
  <c r="E16" i="13"/>
  <c r="E14" i="13"/>
  <c r="E13" i="13"/>
  <c r="E105" i="13" l="1"/>
  <c r="E319" i="13"/>
  <c r="E18" i="13"/>
  <c r="E108" i="13"/>
  <c r="E109" i="13" l="1"/>
  <c r="E175" i="13"/>
  <c r="E192" i="13" s="1"/>
  <c r="E330" i="13" s="1"/>
  <c r="E110" i="13"/>
  <c r="E19" i="13"/>
  <c r="F110" i="13"/>
  <c r="B31" i="4"/>
  <c r="B32" i="4" s="1"/>
  <c r="B34" i="4" s="1"/>
  <c r="M20" i="4"/>
  <c r="M21" i="4" s="1"/>
  <c r="B23" i="4" s="1"/>
  <c r="B26" i="4" s="1"/>
  <c r="E320" i="13"/>
  <c r="E321" i="13" s="1"/>
  <c r="E326" i="13" s="1"/>
  <c r="E332" i="13"/>
  <c r="E334" i="13" s="1"/>
  <c r="B28" i="4" l="1"/>
  <c r="B40" i="4" s="1"/>
  <c r="E337" i="13"/>
  <c r="E336" i="13"/>
  <c r="F336" i="13"/>
  <c r="C328" i="13" l="1"/>
  <c r="C329" i="13"/>
  <c r="M355" i="13"/>
  <c r="C350" i="13" l="1"/>
  <c r="J357" i="13" s="1"/>
  <c r="C362" i="13" l="1"/>
  <c r="J359" i="13"/>
  <c r="K365" i="13" s="1"/>
  <c r="C391" i="13" s="1"/>
  <c r="C365" i="13" l="1"/>
  <c r="C367" i="13" s="1"/>
  <c r="C2" i="13" s="1"/>
  <c r="C1" i="3"/>
  <c r="C2" i="3"/>
  <c r="L401" i="13"/>
  <c r="K391" i="13"/>
  <c r="F401" i="13"/>
  <c r="C401" i="13"/>
  <c r="F8" i="3"/>
  <c r="I401" i="13" l="1"/>
  <c r="E409" i="13"/>
  <c r="D409" i="13"/>
  <c r="E408" i="13"/>
  <c r="D408" i="13"/>
  <c r="E406" i="13"/>
  <c r="D406" i="13"/>
  <c r="E407" i="13"/>
  <c r="D407" i="13"/>
  <c r="L406" i="13" s="1"/>
  <c r="G407" i="13" l="1"/>
  <c r="K406" i="13"/>
  <c r="G408" i="13"/>
  <c r="L408" i="13"/>
  <c r="K408" i="13"/>
  <c r="G406" i="13"/>
  <c r="K409" i="13"/>
  <c r="L409" i="13"/>
  <c r="G409" i="13"/>
  <c r="L407" i="13"/>
  <c r="K407" i="13"/>
  <c r="H406" i="13" l="1"/>
  <c r="H407" i="13"/>
  <c r="H408" i="13"/>
  <c r="H409" i="13"/>
  <c r="I170" i="13"/>
  <c r="I169" i="13"/>
  <c r="I165" i="13"/>
  <c r="I167" i="13"/>
  <c r="F25" i="15"/>
  <c r="J170" i="13"/>
  <c r="J169" i="13"/>
  <c r="J165" i="13"/>
  <c r="J167" i="13"/>
  <c r="G25" i="15"/>
  <c r="J306" i="13"/>
  <c r="J312" i="13"/>
  <c r="H170" i="13"/>
  <c r="H169" i="13"/>
  <c r="H165" i="13"/>
  <c r="H167" i="13"/>
  <c r="E25" i="15"/>
  <c r="L311" i="13"/>
  <c r="L313" i="13"/>
  <c r="L312" i="13"/>
  <c r="L306" i="13"/>
  <c r="I312" i="13"/>
  <c r="I306" i="13"/>
  <c r="I25" i="15"/>
  <c r="L302" i="13"/>
  <c r="L307" i="13"/>
  <c r="L165" i="13"/>
  <c r="L167" i="13"/>
  <c r="L169" i="13"/>
  <c r="L170" i="13"/>
  <c r="I311" i="13"/>
  <c r="I313" i="13"/>
  <c r="J311" i="13"/>
  <c r="J313" i="13"/>
  <c r="K311" i="13"/>
  <c r="K313" i="13"/>
  <c r="K312" i="13"/>
  <c r="K306" i="13"/>
  <c r="H25" i="15"/>
  <c r="H313" i="13"/>
  <c r="H312" i="13"/>
  <c r="H306" i="13"/>
  <c r="H307" i="13"/>
  <c r="I302" i="13"/>
  <c r="I307" i="13"/>
  <c r="J302" i="13"/>
  <c r="J307" i="13"/>
  <c r="K302" i="13"/>
  <c r="K307" i="13"/>
  <c r="K165" i="13"/>
  <c r="K167" i="13"/>
  <c r="K169" i="13"/>
  <c r="K170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Shamshod Qurbonov</author>
    <author>Tim Young</author>
    <author xml:space="preserve">Eli Adams </author>
  </authors>
  <commentList>
    <comment ref="G5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Eli Adams:</t>
        </r>
        <r>
          <rPr>
            <sz val="9"/>
            <color indexed="81"/>
            <rFont val="Tahoma"/>
            <family val="2"/>
          </rPr>
          <t xml:space="preserve">
Taken from Yahoo Finance</t>
        </r>
      </text>
    </comment>
    <comment ref="B6" authorId="1" shapeId="0" xr:uid="{00000000-0006-0000-0400-000002000000}">
      <text>
        <r>
          <rPr>
            <b/>
            <sz val="9"/>
            <color indexed="81"/>
            <rFont val="Tahoma"/>
            <family val="2"/>
          </rPr>
          <t>Eli Adams:</t>
        </r>
        <r>
          <rPr>
            <sz val="9"/>
            <color indexed="81"/>
            <rFont val="Tahoma"/>
            <family val="2"/>
          </rPr>
          <t xml:space="preserve">
Sourced from    http://www.worldgovernmentbonds.com/, Aus 10yr Govt Bond Yield
</t>
        </r>
      </text>
    </comment>
    <comment ref="B7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Eli Adams:</t>
        </r>
        <r>
          <rPr>
            <sz val="9"/>
            <color indexed="81"/>
            <rFont val="Tahoma"/>
            <family val="2"/>
          </rPr>
          <t xml:space="preserve">
Source: spindices.com</t>
        </r>
      </text>
    </comment>
    <comment ref="B8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Eli Adams:</t>
        </r>
        <r>
          <rPr>
            <sz val="9"/>
            <color indexed="81"/>
            <rFont val="Tahoma"/>
            <family val="2"/>
          </rPr>
          <t xml:space="preserve">
The company is big enough</t>
        </r>
      </text>
    </comment>
    <comment ref="E25" authorId="2" shapeId="0" xr:uid="{00000000-0006-0000-0400-000005000000}">
      <text>
        <r>
          <rPr>
            <b/>
            <sz val="9"/>
            <color indexed="81"/>
            <rFont val="Tahoma"/>
            <family val="2"/>
          </rPr>
          <t>Eli Adams :</t>
        </r>
        <r>
          <rPr>
            <sz val="9"/>
            <color indexed="81"/>
            <rFont val="Tahoma"/>
            <family val="2"/>
          </rPr>
          <t xml:space="preserve">
Page 10 -FY20 Q4</t>
        </r>
      </text>
    </comment>
    <comment ref="A26" authorId="2" shapeId="0" xr:uid="{00000000-0006-0000-0400-000006000000}">
      <text>
        <r>
          <rPr>
            <b/>
            <sz val="9"/>
            <color indexed="81"/>
            <rFont val="Tahoma"/>
            <family val="2"/>
          </rPr>
          <t>Eli Adams :</t>
        </r>
        <r>
          <rPr>
            <sz val="9"/>
            <color indexed="81"/>
            <rFont val="Tahoma"/>
            <family val="2"/>
          </rPr>
          <t xml:space="preserve">
CAPM = Rf-B(Rm-Rf)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Eli Adams </author>
    <author>Tim Young</author>
  </authors>
  <commentList>
    <comment ref="E11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Eli Adams :</t>
        </r>
        <r>
          <rPr>
            <sz val="9"/>
            <color indexed="81"/>
            <rFont val="Tahoma"/>
            <family val="2"/>
          </rPr>
          <t xml:space="preserve">
https://www.bloomberg.com/quote/AUDUSD:CUR
AS OF 07/16/2021 EDT</t>
        </r>
      </text>
    </comment>
    <comment ref="A46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>Eli Adams</t>
        </r>
        <r>
          <rPr>
            <sz val="9"/>
            <color indexed="81"/>
            <rFont val="Tahoma"/>
            <family val="2"/>
          </rPr>
          <t xml:space="preserve">
For those that report half yearly instead it is their half-yearly's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Eli Adams </author>
  </authors>
  <commentList>
    <comment ref="D87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Eli Adams :</t>
        </r>
        <r>
          <rPr>
            <sz val="9"/>
            <color indexed="81"/>
            <rFont val="Tahoma"/>
            <family val="2"/>
          </rPr>
          <t xml:space="preserve">
F21 Hlaf Year Result Presentation 
</t>
        </r>
      </text>
    </comment>
  </commentList>
</comments>
</file>

<file path=xl/sharedStrings.xml><?xml version="1.0" encoding="utf-8"?>
<sst xmlns="http://schemas.openxmlformats.org/spreadsheetml/2006/main" count="2267" uniqueCount="971">
  <si>
    <r>
      <rPr>
        <sz val="10"/>
        <color rgb="FF363542"/>
        <rFont val="Calibri"/>
        <family val="2"/>
      </rPr>
      <t>Notes</t>
    </r>
  </si>
  <si>
    <r>
      <rPr>
        <sz val="9"/>
        <color rgb="FF363542"/>
        <rFont val="Calibri"/>
        <family val="2"/>
      </rPr>
      <t>Current assets</t>
    </r>
  </si>
  <si>
    <r>
      <rPr>
        <sz val="9"/>
        <color rgb="FF363542"/>
        <rFont val="Calibri"/>
        <family val="2"/>
      </rPr>
      <t>Cash and cash equivalents</t>
    </r>
  </si>
  <si>
    <r>
      <rPr>
        <sz val="9"/>
        <color rgb="FF363542"/>
        <rFont val="Calibri"/>
        <family val="2"/>
      </rPr>
      <t>Prepayments</t>
    </r>
  </si>
  <si>
    <r>
      <rPr>
        <sz val="9"/>
        <color rgb="FF363542"/>
        <rFont val="Calibri"/>
        <family val="2"/>
      </rPr>
      <t>Trade and other receivables</t>
    </r>
  </si>
  <si>
    <r>
      <rPr>
        <sz val="9"/>
        <color rgb="FF363542"/>
        <rFont val="Calibri"/>
        <family val="2"/>
      </rPr>
      <t>Earned and unbilled revenue</t>
    </r>
  </si>
  <si>
    <r>
      <rPr>
        <sz val="9"/>
        <color rgb="FF363542"/>
        <rFont val="Calibri"/>
        <family val="2"/>
      </rPr>
      <t>Other current assets</t>
    </r>
  </si>
  <si>
    <r>
      <rPr>
        <sz val="9"/>
        <color rgb="FF363542"/>
        <rFont val="Calibri"/>
        <family val="2"/>
      </rPr>
      <t>Total current assets</t>
    </r>
  </si>
  <si>
    <r>
      <rPr>
        <sz val="9"/>
        <color rgb="FF363542"/>
        <rFont val="Calibri"/>
        <family val="2"/>
      </rPr>
      <t>Non-current assets</t>
    </r>
  </si>
  <si>
    <r>
      <rPr>
        <sz val="9"/>
        <color rgb="FF363542"/>
        <rFont val="Calibri"/>
        <family val="2"/>
      </rPr>
      <t>Property, plant and equipment</t>
    </r>
  </si>
  <si>
    <r>
      <rPr>
        <sz val="9"/>
        <color rgb="FF363542"/>
        <rFont val="Calibri"/>
        <family val="2"/>
      </rPr>
      <t>Intangible assets</t>
    </r>
  </si>
  <si>
    <r>
      <rPr>
        <sz val="9"/>
        <color rgb="FF363542"/>
        <rFont val="Calibri"/>
        <family val="2"/>
      </rPr>
      <t>Deferred tax assets</t>
    </r>
  </si>
  <si>
    <r>
      <rPr>
        <sz val="9"/>
        <color rgb="FF363542"/>
        <rFont val="Calibri"/>
        <family val="2"/>
      </rPr>
      <t>Total non-current assets</t>
    </r>
  </si>
  <si>
    <r>
      <rPr>
        <sz val="9"/>
        <color rgb="FF363542"/>
        <rFont val="Calibri"/>
        <family val="2"/>
      </rPr>
      <t>Total assets</t>
    </r>
  </si>
  <si>
    <r>
      <rPr>
        <sz val="9"/>
        <color rgb="FF363542"/>
        <rFont val="Calibri"/>
        <family val="2"/>
      </rPr>
      <t>Current liabilities</t>
    </r>
  </si>
  <si>
    <r>
      <rPr>
        <sz val="9"/>
        <color rgb="FF363542"/>
        <rFont val="Calibri"/>
        <family val="2"/>
      </rPr>
      <t>Trade and other payables</t>
    </r>
  </si>
  <si>
    <r>
      <rPr>
        <sz val="9"/>
        <color rgb="FF363542"/>
        <rFont val="Calibri"/>
        <family val="2"/>
      </rPr>
      <t>Provisions</t>
    </r>
  </si>
  <si>
    <r>
      <rPr>
        <sz val="9"/>
        <color rgb="FF363542"/>
        <rFont val="Calibri"/>
        <family val="2"/>
      </rPr>
      <t>Current tax liabilities</t>
    </r>
  </si>
  <si>
    <r>
      <rPr>
        <sz val="9"/>
        <color rgb="FF363542"/>
        <rFont val="Calibri"/>
        <family val="2"/>
      </rPr>
      <t>Unearned revenue</t>
    </r>
  </si>
  <si>
    <r>
      <rPr>
        <sz val="9"/>
        <color rgb="FF363542"/>
        <rFont val="Calibri"/>
        <family val="2"/>
      </rPr>
      <t>Borrowings</t>
    </r>
  </si>
  <si>
    <r>
      <rPr>
        <sz val="9"/>
        <color rgb="FF363542"/>
        <rFont val="Calibri"/>
        <family val="2"/>
      </rPr>
      <t>Total current liabilities</t>
    </r>
  </si>
  <si>
    <r>
      <rPr>
        <sz val="9"/>
        <color rgb="FF363542"/>
        <rFont val="Calibri"/>
        <family val="2"/>
      </rPr>
      <t>Non-current liabilities</t>
    </r>
  </si>
  <si>
    <r>
      <rPr>
        <sz val="9"/>
        <color rgb="FF44414D"/>
        <rFont val="Calibri"/>
        <family val="2"/>
      </rPr>
      <t>-</t>
    </r>
  </si>
  <si>
    <r>
      <rPr>
        <sz val="9"/>
        <color rgb="FF363542"/>
        <rFont val="Calibri"/>
        <family val="2"/>
      </rPr>
      <t>Other non-current liabilities</t>
    </r>
  </si>
  <si>
    <r>
      <rPr>
        <sz val="9"/>
        <color rgb="FF363542"/>
        <rFont val="Calibri"/>
        <family val="2"/>
      </rPr>
      <t>Total non-current liabilities</t>
    </r>
  </si>
  <si>
    <r>
      <rPr>
        <sz val="9"/>
        <color rgb="FF363542"/>
        <rFont val="Calibri"/>
        <family val="2"/>
      </rPr>
      <t>Total liabilities</t>
    </r>
  </si>
  <si>
    <r>
      <rPr>
        <sz val="9"/>
        <color rgb="FF363542"/>
        <rFont val="Calibri"/>
        <family val="2"/>
      </rPr>
      <t>Net assets</t>
    </r>
  </si>
  <si>
    <r>
      <rPr>
        <sz val="9"/>
        <color rgb="FF363542"/>
        <rFont val="Calibri"/>
        <family val="2"/>
      </rPr>
      <t>Contributed equity</t>
    </r>
  </si>
  <si>
    <r>
      <rPr>
        <sz val="9"/>
        <color rgb="FF363542"/>
        <rFont val="Calibri"/>
        <family val="2"/>
      </rPr>
      <t>Other reserves</t>
    </r>
  </si>
  <si>
    <r>
      <rPr>
        <sz val="9"/>
        <color rgb="FF363542"/>
        <rFont val="Calibri"/>
        <family val="2"/>
      </rPr>
      <t>Retained earnings</t>
    </r>
  </si>
  <si>
    <r>
      <rPr>
        <sz val="9"/>
        <color rgb="FF363542"/>
        <rFont val="Calibri"/>
        <family val="2"/>
      </rPr>
      <t>Total equity</t>
    </r>
  </si>
  <si>
    <r>
      <rPr>
        <sz val="9"/>
        <color rgb="FF363542"/>
        <rFont val="Calibri"/>
        <family val="2"/>
      </rPr>
      <t>Variable costs</t>
    </r>
  </si>
  <si>
    <r>
      <rPr>
        <sz val="9"/>
        <color rgb="FF363542"/>
        <rFont val="Calibri"/>
        <family val="2"/>
      </rPr>
      <t>Variable customer cloud costs</t>
    </r>
  </si>
  <si>
    <r>
      <rPr>
        <sz val="9"/>
        <color rgb="FF363542"/>
        <rFont val="Calibri"/>
        <family val="2"/>
      </rPr>
      <t>Occupancy costs</t>
    </r>
  </si>
  <si>
    <r>
      <rPr>
        <sz val="9"/>
        <color rgb="FF363542"/>
        <rFont val="Calibri"/>
        <family val="2"/>
      </rPr>
      <t>Corporate costs</t>
    </r>
  </si>
  <si>
    <r>
      <rPr>
        <sz val="9"/>
        <color rgb="FF363542"/>
        <rFont val="Calibri"/>
        <family val="2"/>
      </rPr>
      <t>Depreciation &amp; amortisation</t>
    </r>
  </si>
  <si>
    <r>
      <rPr>
        <sz val="9"/>
        <color rgb="FF363542"/>
        <rFont val="Calibri"/>
        <family val="2"/>
      </rPr>
      <t>Computer &amp; communication costs</t>
    </r>
  </si>
  <si>
    <r>
      <rPr>
        <sz val="9"/>
        <color rgb="FF363542"/>
        <rFont val="Calibri"/>
        <family val="2"/>
      </rPr>
      <t>Marketing costs</t>
    </r>
  </si>
  <si>
    <r>
      <rPr>
        <sz val="9"/>
        <color rgb="FF363542"/>
        <rFont val="Calibri"/>
        <family val="2"/>
      </rPr>
      <t>Employee costs</t>
    </r>
  </si>
  <si>
    <r>
      <rPr>
        <sz val="9"/>
        <color rgb="FF363542"/>
        <rFont val="Calibri"/>
        <family val="2"/>
      </rPr>
      <t>Share-based  payments</t>
    </r>
  </si>
  <si>
    <r>
      <rPr>
        <sz val="9"/>
        <color rgb="FF363542"/>
        <rFont val="Calibri"/>
        <family val="2"/>
      </rPr>
      <t>Finance expense</t>
    </r>
  </si>
  <si>
    <r>
      <rPr>
        <sz val="9"/>
        <color rgb="FF363542"/>
        <rFont val="Calibri"/>
        <family val="2"/>
      </rPr>
      <t>Profit before income tax</t>
    </r>
  </si>
  <si>
    <r>
      <rPr>
        <sz val="9"/>
        <color rgb="FF363542"/>
        <rFont val="Calibri"/>
        <family val="2"/>
      </rPr>
      <t>Income tax expense</t>
    </r>
  </si>
  <si>
    <r>
      <rPr>
        <sz val="9"/>
        <color rgb="FF363542"/>
        <rFont val="Calibri"/>
        <family val="2"/>
      </rPr>
      <t>Basic earnings per share</t>
    </r>
  </si>
  <si>
    <r>
      <rPr>
        <sz val="9"/>
        <color rgb="FF44414D"/>
        <rFont val="Calibri"/>
        <family val="2"/>
      </rPr>
      <t>Diluted earnings per share</t>
    </r>
  </si>
  <si>
    <r>
      <rPr>
        <sz val="13"/>
        <color rgb="FF34B4E8"/>
        <rFont val="Calibri"/>
        <family val="2"/>
      </rPr>
      <t xml:space="preserve">Consolidated statement of comprehensive income
</t>
    </r>
    <r>
      <rPr>
        <b/>
        <sz val="10"/>
        <color rgb="FF363543"/>
        <rFont val="Arial Narrow"/>
        <family val="2"/>
      </rPr>
      <t>For the year ended 30 September 2016</t>
    </r>
  </si>
  <si>
    <r>
      <rPr>
        <sz val="10"/>
        <color rgb="FF363542"/>
        <rFont val="Calibri"/>
        <family val="2"/>
      </rPr>
      <t xml:space="preserve">2016
</t>
    </r>
    <r>
      <rPr>
        <sz val="10"/>
        <color rgb="FF363542"/>
        <rFont val="Calibri"/>
        <family val="2"/>
      </rPr>
      <t>$’000</t>
    </r>
  </si>
  <si>
    <r>
      <rPr>
        <sz val="10"/>
        <color rgb="FF363542"/>
        <rFont val="Calibri"/>
        <family val="2"/>
      </rPr>
      <t xml:space="preserve">2015
</t>
    </r>
    <r>
      <rPr>
        <sz val="10"/>
        <color rgb="FF363542"/>
        <rFont val="Calibri"/>
        <family val="2"/>
      </rPr>
      <t>$’000</t>
    </r>
  </si>
  <si>
    <r>
      <rPr>
        <sz val="9"/>
        <color rgb="FF363542"/>
        <rFont val="Calibri"/>
        <family val="2"/>
      </rPr>
      <t>Exchange differences on translation of foreign operations</t>
    </r>
  </si>
  <si>
    <r>
      <rPr>
        <sz val="9"/>
        <color rgb="FF363542"/>
        <rFont val="Calibri"/>
        <family val="2"/>
      </rPr>
      <t>Other comprehensive income for the year, net of tax</t>
    </r>
  </si>
  <si>
    <r>
      <rPr>
        <sz val="9"/>
        <color rgb="FF363542"/>
        <rFont val="Calibri"/>
        <family val="2"/>
      </rPr>
      <t>Total comprehensive income for the year</t>
    </r>
  </si>
  <si>
    <r>
      <rPr>
        <sz val="9"/>
        <color rgb="FF363542"/>
        <rFont val="Calibri"/>
        <family val="2"/>
      </rPr>
      <t>Cash flows from operating activities</t>
    </r>
  </si>
  <si>
    <r>
      <rPr>
        <sz val="9"/>
        <color rgb="FF363542"/>
        <rFont val="Calibri"/>
        <family val="2"/>
      </rPr>
      <t>Receipts from customers (inclusive of GST)</t>
    </r>
  </si>
  <si>
    <r>
      <rPr>
        <sz val="9"/>
        <color rgb="FF363542"/>
        <rFont val="Calibri"/>
        <family val="2"/>
      </rPr>
      <t>Prepayments to suppliers and employees</t>
    </r>
  </si>
  <si>
    <r>
      <rPr>
        <sz val="9"/>
        <color rgb="FF363542"/>
        <rFont val="Calibri"/>
        <family val="2"/>
      </rPr>
      <t>Payments to suppliers and employees (inclusive of GST)</t>
    </r>
  </si>
  <si>
    <r>
      <rPr>
        <sz val="9"/>
        <color rgb="FF363542"/>
        <rFont val="Calibri"/>
        <family val="2"/>
      </rPr>
      <t>Interest received</t>
    </r>
  </si>
  <si>
    <r>
      <rPr>
        <sz val="9"/>
        <color rgb="FF363542"/>
        <rFont val="Calibri"/>
        <family val="2"/>
      </rPr>
      <t>Income taxes paid</t>
    </r>
  </si>
  <si>
    <r>
      <rPr>
        <sz val="9"/>
        <color rgb="FF363542"/>
        <rFont val="Calibri"/>
        <family val="2"/>
      </rPr>
      <t>Other revenue</t>
    </r>
  </si>
  <si>
    <r>
      <rPr>
        <sz val="9"/>
        <color rgb="FF363542"/>
        <rFont val="Calibri"/>
        <family val="2"/>
      </rPr>
      <t>Interest paid</t>
    </r>
  </si>
  <si>
    <r>
      <rPr>
        <sz val="9"/>
        <color rgb="FF363542"/>
        <rFont val="Calibri"/>
        <family val="2"/>
      </rPr>
      <t>Net cash inflow/ (outflow) from operating activities</t>
    </r>
  </si>
  <si>
    <r>
      <rPr>
        <sz val="9"/>
        <color rgb="FF363542"/>
        <rFont val="Calibri"/>
        <family val="2"/>
      </rPr>
      <t>Cash flows from investing activities</t>
    </r>
  </si>
  <si>
    <r>
      <rPr>
        <sz val="9"/>
        <color rgb="FF363542"/>
        <rFont val="Calibri"/>
        <family val="2"/>
      </rPr>
      <t>Payments for acquisition of subsidiary (net of cash acquired)</t>
    </r>
  </si>
  <si>
    <r>
      <rPr>
        <sz val="9"/>
        <color rgb="FF363542"/>
        <rFont val="Calibri"/>
        <family val="2"/>
      </rPr>
      <t>Payments for property, plant and equipment</t>
    </r>
  </si>
  <si>
    <r>
      <rPr>
        <sz val="9"/>
        <color rgb="FF363542"/>
        <rFont val="Calibri"/>
        <family val="2"/>
      </rPr>
      <t>Proceeds from sale of property, plant and equipment</t>
    </r>
  </si>
  <si>
    <r>
      <rPr>
        <sz val="9"/>
        <color rgb="FF363542"/>
        <rFont val="Calibri"/>
        <family val="2"/>
      </rPr>
      <t>Net cash inflow / (outflow) from investing activities</t>
    </r>
  </si>
  <si>
    <r>
      <rPr>
        <sz val="9"/>
        <color rgb="FF363542"/>
        <rFont val="Calibri"/>
        <family val="2"/>
      </rPr>
      <t>Cash flows from financing activities</t>
    </r>
  </si>
  <si>
    <r>
      <rPr>
        <sz val="9"/>
        <color rgb="FF363542"/>
        <rFont val="Calibri"/>
        <family val="2"/>
      </rPr>
      <t>Proceeds from exercise of share options</t>
    </r>
  </si>
  <si>
    <r>
      <rPr>
        <sz val="9"/>
        <color rgb="FF363542"/>
        <rFont val="Calibri"/>
        <family val="2"/>
      </rPr>
      <t>Repayment of finance lease</t>
    </r>
  </si>
  <si>
    <r>
      <rPr>
        <sz val="9"/>
        <color rgb="FF363542"/>
        <rFont val="Calibri"/>
        <family val="2"/>
      </rPr>
      <t>Dividends paid to Company's shareholders</t>
    </r>
  </si>
  <si>
    <r>
      <rPr>
        <sz val="9"/>
        <color rgb="FF363542"/>
        <rFont val="Calibri"/>
        <family val="2"/>
      </rPr>
      <t>Net cash inflow / (outflow) from financing activities</t>
    </r>
  </si>
  <si>
    <r>
      <rPr>
        <sz val="9"/>
        <color rgb="FF363542"/>
        <rFont val="Calibri"/>
        <family val="2"/>
      </rPr>
      <t>Net increase / (decrease) in cash and cash equivalents</t>
    </r>
  </si>
  <si>
    <r>
      <rPr>
        <sz val="9"/>
        <color rgb="FF363542"/>
        <rFont val="Calibri"/>
        <family val="2"/>
      </rPr>
      <t>Cash and cash equivalents at the beginning of the financial year</t>
    </r>
  </si>
  <si>
    <r>
      <rPr>
        <sz val="9"/>
        <color rgb="FF363542"/>
        <rFont val="Calibri"/>
        <family val="2"/>
      </rPr>
      <t>Cash and cash equivalents at end of year</t>
    </r>
  </si>
  <si>
    <r>
      <rPr>
        <sz val="13"/>
        <color theme="1"/>
        <rFont val="Calibri"/>
        <family val="2"/>
      </rPr>
      <t xml:space="preserve">Consolidated income statement </t>
    </r>
    <r>
      <rPr>
        <b/>
        <sz val="10"/>
        <color theme="1"/>
        <rFont val="Arial Narrow"/>
        <family val="2"/>
      </rPr>
      <t>For the year ended 30 September 2016</t>
    </r>
  </si>
  <si>
    <t>Consolidated statement of financial position For the year ended 30 September 2016</t>
  </si>
  <si>
    <t>Cents</t>
  </si>
  <si>
    <r>
      <rPr>
        <b/>
        <sz val="9"/>
        <color rgb="FF363542"/>
        <rFont val="Calibri"/>
        <family val="2"/>
      </rPr>
      <t>LIABILITIES</t>
    </r>
  </si>
  <si>
    <r>
      <rPr>
        <b/>
        <sz val="9"/>
        <color rgb="FF363542"/>
        <rFont val="Calibri"/>
        <family val="2"/>
      </rPr>
      <t>EQUITY</t>
    </r>
  </si>
  <si>
    <r>
      <rPr>
        <b/>
        <sz val="9"/>
        <color rgb="FF363542"/>
        <rFont val="Calibri"/>
        <family val="2"/>
      </rPr>
      <t>Profit for the year</t>
    </r>
  </si>
  <si>
    <r>
      <rPr>
        <b/>
        <sz val="9"/>
        <color rgb="FF363542"/>
        <rFont val="Calibri"/>
        <family val="2"/>
      </rPr>
      <t>Other comprehensive income</t>
    </r>
  </si>
  <si>
    <t>Consolidated statement of cash flows For the year ended 30 September 2016</t>
  </si>
  <si>
    <t>Consolidated statement of changes in equity</t>
  </si>
  <si>
    <t>Consolidated Statement of changesin equity as at 30 September 2018</t>
  </si>
  <si>
    <r>
      <rPr>
        <sz val="8"/>
        <color rgb="FF0F162E"/>
        <rFont val="Arial Narrow"/>
        <family val="2"/>
      </rPr>
      <t>Notes</t>
    </r>
  </si>
  <si>
    <r>
      <rPr>
        <b/>
        <sz val="7"/>
        <color rgb="FF0F162E"/>
        <rFont val="Arial Narrow"/>
        <family val="2"/>
      </rPr>
      <t xml:space="preserve">Contributed
</t>
    </r>
    <r>
      <rPr>
        <b/>
        <sz val="7"/>
        <color rgb="FF0F162E"/>
        <rFont val="Arial Narrow"/>
        <family val="2"/>
      </rPr>
      <t xml:space="preserve">equity
</t>
    </r>
    <r>
      <rPr>
        <b/>
        <sz val="7"/>
        <color rgb="FF0F162E"/>
        <rFont val="Arial Narrow"/>
        <family val="2"/>
      </rPr>
      <t>$’000</t>
    </r>
  </si>
  <si>
    <r>
      <rPr>
        <b/>
        <sz val="7"/>
        <color rgb="FF0F162E"/>
        <rFont val="Arial Narrow"/>
        <family val="2"/>
      </rPr>
      <t xml:space="preserve">Retained earnings
</t>
    </r>
    <r>
      <rPr>
        <b/>
        <sz val="7"/>
        <color rgb="FF0F162E"/>
        <rFont val="Arial Narrow"/>
        <family val="2"/>
      </rPr>
      <t>$’000</t>
    </r>
  </si>
  <si>
    <r>
      <rPr>
        <b/>
        <sz val="7"/>
        <color rgb="FF0F162E"/>
        <rFont val="Arial Narrow"/>
        <family val="2"/>
      </rPr>
      <t xml:space="preserve">Dividend reserve
</t>
    </r>
    <r>
      <rPr>
        <b/>
        <sz val="7"/>
        <color rgb="FF0F162E"/>
        <rFont val="Arial Narrow"/>
        <family val="2"/>
      </rPr>
      <t>$’000</t>
    </r>
  </si>
  <si>
    <r>
      <rPr>
        <b/>
        <sz val="7"/>
        <color rgb="FF0F162E"/>
        <rFont val="Arial Narrow"/>
        <family val="2"/>
      </rPr>
      <t xml:space="preserve">FOREX
</t>
    </r>
    <r>
      <rPr>
        <b/>
        <sz val="7"/>
        <color rgb="FF0F162E"/>
        <rFont val="Arial Narrow"/>
        <family val="2"/>
      </rPr>
      <t xml:space="preserve">reserve
</t>
    </r>
    <r>
      <rPr>
        <b/>
        <sz val="7"/>
        <color rgb="FF0F162E"/>
        <rFont val="Arial Narrow"/>
        <family val="2"/>
      </rPr>
      <t>$’000</t>
    </r>
  </si>
  <si>
    <r>
      <rPr>
        <b/>
        <sz val="7"/>
        <color rgb="FF0F162E"/>
        <rFont val="Arial Narrow"/>
        <family val="2"/>
      </rPr>
      <t xml:space="preserve">Share option
</t>
    </r>
    <r>
      <rPr>
        <b/>
        <sz val="7"/>
        <color rgb="FF0F162E"/>
        <rFont val="Arial Narrow"/>
        <family val="2"/>
      </rPr>
      <t xml:space="preserve">reserve
</t>
    </r>
    <r>
      <rPr>
        <b/>
        <sz val="7"/>
        <color rgb="FF0F162E"/>
        <rFont val="Arial Narrow"/>
        <family val="2"/>
      </rPr>
      <t>$’000</t>
    </r>
  </si>
  <si>
    <r>
      <rPr>
        <b/>
        <sz val="7"/>
        <color rgb="FF0F162E"/>
        <rFont val="Arial Narrow"/>
        <family val="2"/>
      </rPr>
      <t xml:space="preserve">Total equity
</t>
    </r>
    <r>
      <rPr>
        <b/>
        <sz val="7"/>
        <color rgb="FF0F162E"/>
        <rFont val="Arial Narrow"/>
        <family val="2"/>
      </rPr>
      <t>$’000</t>
    </r>
  </si>
  <si>
    <r>
      <rPr>
        <sz val="7"/>
        <color rgb="FF0F162E"/>
        <rFont val="Arial Black"/>
        <family val="2"/>
      </rPr>
      <t>Exchange differences on translation of foreign operations</t>
    </r>
  </si>
  <si>
    <r>
      <rPr>
        <sz val="7"/>
        <color rgb="FF0F162E"/>
        <rFont val="Arial Black"/>
        <family val="2"/>
      </rPr>
      <t>-</t>
    </r>
  </si>
  <si>
    <r>
      <rPr>
        <sz val="7"/>
        <color rgb="FF0F162E"/>
        <rFont val="Arial Black"/>
        <family val="2"/>
      </rPr>
      <t>Profit for the period</t>
    </r>
  </si>
  <si>
    <r>
      <rPr>
        <b/>
        <sz val="7"/>
        <color rgb="FF0F162E"/>
        <rFont val="Arial Narrow"/>
        <family val="2"/>
      </rPr>
      <t>Total comprehensive income for the period</t>
    </r>
  </si>
  <si>
    <r>
      <rPr>
        <b/>
        <sz val="7"/>
        <color rgb="FF0F162E"/>
        <rFont val="Arial Narrow"/>
        <family val="2"/>
      </rPr>
      <t>-</t>
    </r>
  </si>
  <si>
    <r>
      <rPr>
        <sz val="7"/>
        <color rgb="FF0F162E"/>
        <rFont val="Arial Black"/>
        <family val="2"/>
      </rPr>
      <t>Dividends paid</t>
    </r>
  </si>
  <si>
    <r>
      <rPr>
        <sz val="7"/>
        <color rgb="FF0F162E"/>
        <rFont val="Arial Black"/>
        <family val="2"/>
      </rPr>
      <t>Transfer to dividend reserve</t>
    </r>
  </si>
  <si>
    <r>
      <rPr>
        <sz val="7"/>
        <color rgb="FF0F162E"/>
        <rFont val="Arial Black"/>
        <family val="2"/>
      </rPr>
      <t>Exercise of share options</t>
    </r>
  </si>
  <si>
    <r>
      <rPr>
        <sz val="7"/>
        <color rgb="FF0F162E"/>
        <rFont val="Arial Black"/>
        <family val="2"/>
      </rPr>
      <t>Share based payments</t>
    </r>
  </si>
  <si>
    <r>
      <rPr>
        <sz val="7"/>
        <color rgb="FF0F162E"/>
        <rFont val="Arial Black"/>
        <family val="2"/>
      </rPr>
      <t>Tax impact of share trust</t>
    </r>
  </si>
  <si>
    <r>
      <rPr>
        <sz val="7"/>
        <color rgb="FF0F162E"/>
        <rFont val="Arial Black"/>
        <family val="2"/>
      </rPr>
      <t>Share-based payments</t>
    </r>
  </si>
  <si>
    <t>Balance at 1 October 2015</t>
  </si>
  <si>
    <t>Balance at 30 September 2016</t>
  </si>
  <si>
    <t>Balance at 1 October 2014</t>
  </si>
  <si>
    <t>Non-controlling interests on acquisition of subsidiary</t>
  </si>
  <si>
    <t>Balance at 30 September 2015</t>
  </si>
  <si>
    <r>
      <rPr>
        <b/>
        <sz val="9"/>
        <color rgb="FF363542"/>
        <rFont val="Calibri"/>
        <family val="2"/>
      </rPr>
      <t>Total operating costs</t>
    </r>
  </si>
  <si>
    <r>
      <rPr>
        <b/>
        <sz val="9"/>
        <color rgb="FF363542"/>
        <rFont val="Calibri"/>
        <family val="2"/>
      </rPr>
      <t>Total variable costs</t>
    </r>
  </si>
  <si>
    <r>
      <rPr>
        <b/>
        <sz val="9"/>
        <color rgb="FF363542"/>
        <rFont val="Calibri"/>
        <family val="2"/>
      </rPr>
      <t>Revenue</t>
    </r>
  </si>
  <si>
    <t xml:space="preserve">Consolidated Income Statement </t>
  </si>
  <si>
    <t>Notes</t>
  </si>
  <si>
    <r>
      <rPr>
        <b/>
        <sz val="7"/>
        <color theme="1"/>
        <rFont val="Calibri"/>
        <family val="2"/>
      </rPr>
      <t>2017
$’000</t>
    </r>
  </si>
  <si>
    <r>
      <rPr>
        <b/>
        <sz val="7"/>
        <color theme="1"/>
        <rFont val="Calibri"/>
        <family val="2"/>
      </rPr>
      <t>2016
$’000</t>
    </r>
  </si>
  <si>
    <r>
      <rPr>
        <b/>
        <sz val="7"/>
        <color rgb="FF3D3E4A"/>
        <rFont val="Calibri"/>
        <family val="2"/>
      </rPr>
      <t>Revenue</t>
    </r>
  </si>
  <si>
    <r>
      <rPr>
        <sz val="7"/>
        <color rgb="FF3D3E4A"/>
        <rFont val="Arial Black"/>
        <family val="2"/>
      </rPr>
      <t>Variable costs</t>
    </r>
  </si>
  <si>
    <r>
      <rPr>
        <sz val="7"/>
        <color rgb="FF3D3E4A"/>
        <rFont val="Arial Black"/>
        <family val="2"/>
      </rPr>
      <t>Variable customer cloud costs</t>
    </r>
  </si>
  <si>
    <r>
      <rPr>
        <b/>
        <sz val="7"/>
        <color rgb="FF3D3E4A"/>
        <rFont val="Calibri"/>
        <family val="2"/>
      </rPr>
      <t>Total variable costs</t>
    </r>
  </si>
  <si>
    <r>
      <rPr>
        <sz val="7"/>
        <color rgb="FF3D3E4A"/>
        <rFont val="Arial Black"/>
        <family val="2"/>
      </rPr>
      <t>Occupancy costs</t>
    </r>
  </si>
  <si>
    <r>
      <rPr>
        <sz val="7"/>
        <color rgb="FF3D3E4A"/>
        <rFont val="Arial Black"/>
        <family val="2"/>
      </rPr>
      <t>Corporate costs</t>
    </r>
  </si>
  <si>
    <r>
      <rPr>
        <sz val="7"/>
        <color rgb="FF3D3E4A"/>
        <rFont val="Arial Black"/>
        <family val="2"/>
      </rPr>
      <t>Depreciation and amortisation</t>
    </r>
  </si>
  <si>
    <r>
      <rPr>
        <sz val="7"/>
        <color rgb="FF3D3E4A"/>
        <rFont val="Arial Black"/>
        <family val="2"/>
      </rPr>
      <t>Computer and communication costs</t>
    </r>
  </si>
  <si>
    <r>
      <rPr>
        <sz val="7"/>
        <color rgb="FF3D3E4A"/>
        <rFont val="Arial Black"/>
        <family val="2"/>
      </rPr>
      <t>Marketing costs</t>
    </r>
  </si>
  <si>
    <r>
      <rPr>
        <sz val="7"/>
        <color rgb="FF3D3E4A"/>
        <rFont val="Arial Black"/>
        <family val="2"/>
      </rPr>
      <t>Employee costs</t>
    </r>
  </si>
  <si>
    <r>
      <rPr>
        <sz val="7"/>
        <color rgb="FF3D3E4A"/>
        <rFont val="Arial Black"/>
        <family val="2"/>
      </rPr>
      <t>Share-based payments</t>
    </r>
  </si>
  <si>
    <r>
      <rPr>
        <sz val="7"/>
        <color rgb="FF3D3E4A"/>
        <rFont val="Arial Black"/>
        <family val="2"/>
      </rPr>
      <t>Finance expense</t>
    </r>
  </si>
  <si>
    <r>
      <rPr>
        <b/>
        <sz val="7"/>
        <color rgb="FF3D3E4A"/>
        <rFont val="Calibri"/>
        <family val="2"/>
      </rPr>
      <t>Total operating costs</t>
    </r>
  </si>
  <si>
    <r>
      <rPr>
        <b/>
        <sz val="7"/>
        <color rgb="FF3D3E4A"/>
        <rFont val="Calibri"/>
        <family val="2"/>
      </rPr>
      <t>Profit before income tax</t>
    </r>
  </si>
  <si>
    <r>
      <rPr>
        <sz val="7"/>
        <color rgb="FF3D3E4A"/>
        <rFont val="Arial Black"/>
        <family val="2"/>
      </rPr>
      <t>Income tax expense</t>
    </r>
  </si>
  <si>
    <r>
      <rPr>
        <b/>
        <sz val="7"/>
        <color rgb="FF3D3E4A"/>
        <rFont val="Calibri"/>
        <family val="2"/>
      </rPr>
      <t>Profit for the year from continuing operations</t>
    </r>
  </si>
  <si>
    <r>
      <rPr>
        <b/>
        <sz val="7"/>
        <color rgb="FF35B4E8"/>
        <rFont val="Calibri"/>
        <family val="2"/>
      </rPr>
      <t>Cents</t>
    </r>
  </si>
  <si>
    <r>
      <rPr>
        <sz val="7"/>
        <color rgb="FF3D3E4A"/>
        <rFont val="Arial Black"/>
        <family val="2"/>
      </rPr>
      <t>Basic earnings per share</t>
    </r>
  </si>
  <si>
    <r>
      <rPr>
        <sz val="7"/>
        <color rgb="FF3D3E4A"/>
        <rFont val="Arial Black"/>
        <family val="2"/>
      </rPr>
      <t>Diluted earnings per share</t>
    </r>
  </si>
  <si>
    <t>Consolidated statement of comprehensive income  For the year ended 30 September 2017</t>
  </si>
  <si>
    <r>
      <rPr>
        <b/>
        <sz val="7"/>
        <color rgb="FF35B4E8"/>
        <rFont val="Calibri"/>
        <family val="2"/>
      </rPr>
      <t xml:space="preserve">2017
</t>
    </r>
    <r>
      <rPr>
        <b/>
        <sz val="7"/>
        <color rgb="FF35B4E8"/>
        <rFont val="Calibri"/>
        <family val="2"/>
      </rPr>
      <t>$’000</t>
    </r>
  </si>
  <si>
    <t>2016   $’000</t>
  </si>
  <si>
    <r>
      <rPr>
        <b/>
        <sz val="7"/>
        <color rgb="FF3D3E4A"/>
        <rFont val="Calibri"/>
        <family val="2"/>
      </rPr>
      <t>Other comprehensive income</t>
    </r>
  </si>
  <si>
    <r>
      <rPr>
        <sz val="7"/>
        <color rgb="FF3D3E4A"/>
        <rFont val="Arial Black"/>
        <family val="2"/>
      </rPr>
      <t>Items that may be reclassified to profit or loss in subsequent periods Exchange differences on translation of foreign operations</t>
    </r>
  </si>
  <si>
    <r>
      <rPr>
        <b/>
        <sz val="7"/>
        <color rgb="FF3D3E4A"/>
        <rFont val="Calibri"/>
        <family val="2"/>
      </rPr>
      <t>Other comprehensive income for the year, net of tax</t>
    </r>
  </si>
  <si>
    <r>
      <rPr>
        <b/>
        <sz val="7"/>
        <color rgb="FF3D3E4A"/>
        <rFont val="Calibri"/>
        <family val="2"/>
      </rPr>
      <t>Total comprehensive income for the year</t>
    </r>
  </si>
  <si>
    <t>Balance Sheet (2017)</t>
  </si>
  <si>
    <r>
      <rPr>
        <b/>
        <sz val="7"/>
        <color rgb="FF35B4E8"/>
        <rFont val="Calibri"/>
        <family val="2"/>
      </rPr>
      <t>Notes</t>
    </r>
  </si>
  <si>
    <r>
      <rPr>
        <b/>
        <sz val="7"/>
        <color rgb="FF35B4E8"/>
        <rFont val="Calibri"/>
        <family val="2"/>
      </rPr>
      <t xml:space="preserve">2016
</t>
    </r>
    <r>
      <rPr>
        <b/>
        <sz val="7"/>
        <color rgb="FF35B4E8"/>
        <rFont val="Calibri"/>
        <family val="2"/>
      </rPr>
      <t>$’000</t>
    </r>
  </si>
  <si>
    <r>
      <rPr>
        <b/>
        <sz val="7"/>
        <color rgb="FF3D3E4A"/>
        <rFont val="Calibri"/>
        <family val="2"/>
      </rPr>
      <t>ASSETS</t>
    </r>
  </si>
  <si>
    <r>
      <rPr>
        <b/>
        <sz val="7"/>
        <color rgb="FF3D3E4A"/>
        <rFont val="Calibri"/>
        <family val="2"/>
      </rPr>
      <t>Current assets</t>
    </r>
  </si>
  <si>
    <r>
      <rPr>
        <sz val="7"/>
        <color rgb="FF3D3E4A"/>
        <rFont val="Arial Black"/>
        <family val="2"/>
      </rPr>
      <t>Cash and cash equivalents</t>
    </r>
  </si>
  <si>
    <r>
      <rPr>
        <sz val="7"/>
        <color rgb="FF3D3E4A"/>
        <rFont val="Arial Black"/>
        <family val="2"/>
      </rPr>
      <t>Prepayments</t>
    </r>
  </si>
  <si>
    <r>
      <rPr>
        <sz val="7"/>
        <color rgb="FF3D3E4A"/>
        <rFont val="Arial Black"/>
        <family val="2"/>
      </rPr>
      <t>Trade and other receivables</t>
    </r>
  </si>
  <si>
    <r>
      <rPr>
        <sz val="7"/>
        <color rgb="FF3D3E4A"/>
        <rFont val="Arial Black"/>
        <family val="2"/>
      </rPr>
      <t>Earned and unbilled revenue</t>
    </r>
  </si>
  <si>
    <r>
      <rPr>
        <sz val="7"/>
        <color rgb="FF3D3E4A"/>
        <rFont val="Arial Black"/>
        <family val="2"/>
      </rPr>
      <t>Other current assets</t>
    </r>
  </si>
  <si>
    <r>
      <rPr>
        <b/>
        <sz val="7"/>
        <color rgb="FF3D3E4A"/>
        <rFont val="Calibri"/>
        <family val="2"/>
      </rPr>
      <t>Total current assets</t>
    </r>
  </si>
  <si>
    <r>
      <rPr>
        <b/>
        <sz val="7"/>
        <color rgb="FF3D3E4A"/>
        <rFont val="Calibri"/>
        <family val="2"/>
      </rPr>
      <t>Non-current assets</t>
    </r>
  </si>
  <si>
    <r>
      <rPr>
        <sz val="7"/>
        <color rgb="FF3D3E4A"/>
        <rFont val="Arial Black"/>
        <family val="2"/>
      </rPr>
      <t>Property, plant and equipment</t>
    </r>
  </si>
  <si>
    <r>
      <rPr>
        <sz val="7"/>
        <color rgb="FF3D3E4A"/>
        <rFont val="Arial Black"/>
        <family val="2"/>
      </rPr>
      <t>Intangible assets</t>
    </r>
  </si>
  <si>
    <r>
      <rPr>
        <sz val="7"/>
        <color rgb="FF3D3E4A"/>
        <rFont val="Arial Black"/>
        <family val="2"/>
      </rPr>
      <t>Deferred tax assets</t>
    </r>
  </si>
  <si>
    <r>
      <rPr>
        <b/>
        <sz val="7"/>
        <color rgb="FF3D3E4A"/>
        <rFont val="Calibri"/>
        <family val="2"/>
      </rPr>
      <t>Total non-current assets</t>
    </r>
  </si>
  <si>
    <r>
      <rPr>
        <b/>
        <sz val="7"/>
        <color rgb="FF3D3E4A"/>
        <rFont val="Calibri"/>
        <family val="2"/>
      </rPr>
      <t>Total assets</t>
    </r>
  </si>
  <si>
    <r>
      <rPr>
        <b/>
        <sz val="7"/>
        <color rgb="FF3D3E4A"/>
        <rFont val="Calibri"/>
        <family val="2"/>
      </rPr>
      <t>LIABILITIES</t>
    </r>
  </si>
  <si>
    <r>
      <rPr>
        <b/>
        <sz val="7"/>
        <color rgb="FF3D3E4A"/>
        <rFont val="Calibri"/>
        <family val="2"/>
      </rPr>
      <t>Current liabilities</t>
    </r>
  </si>
  <si>
    <r>
      <rPr>
        <sz val="7"/>
        <color rgb="FF3D3E4A"/>
        <rFont val="Arial Black"/>
        <family val="2"/>
      </rPr>
      <t>Trade and other payables</t>
    </r>
  </si>
  <si>
    <r>
      <rPr>
        <sz val="7"/>
        <color rgb="FF3D3E4A"/>
        <rFont val="Arial Black"/>
        <family val="2"/>
      </rPr>
      <t>Provisions</t>
    </r>
  </si>
  <si>
    <r>
      <rPr>
        <sz val="7"/>
        <color rgb="FF3D3E4A"/>
        <rFont val="Arial Black"/>
        <family val="2"/>
      </rPr>
      <t>Current tax liabilities</t>
    </r>
  </si>
  <si>
    <r>
      <rPr>
        <sz val="7"/>
        <color rgb="FF3D3E4A"/>
        <rFont val="Arial Black"/>
        <family val="2"/>
      </rPr>
      <t>Unearned revenue</t>
    </r>
  </si>
  <si>
    <r>
      <rPr>
        <sz val="7"/>
        <color rgb="FF3D3E4A"/>
        <rFont val="Arial Black"/>
        <family val="2"/>
      </rPr>
      <t>Borrowings</t>
    </r>
  </si>
  <si>
    <r>
      <rPr>
        <b/>
        <sz val="7"/>
        <color rgb="FF3D3E4A"/>
        <rFont val="Calibri"/>
        <family val="2"/>
      </rPr>
      <t>Total current liabilities</t>
    </r>
  </si>
  <si>
    <r>
      <rPr>
        <b/>
        <sz val="7"/>
        <color rgb="FF3D3E4A"/>
        <rFont val="Calibri"/>
        <family val="2"/>
      </rPr>
      <t>Non-Current liabilities</t>
    </r>
  </si>
  <si>
    <r>
      <rPr>
        <sz val="7"/>
        <color rgb="FF3D3E4A"/>
        <rFont val="Arial Black"/>
        <family val="2"/>
      </rPr>
      <t>Current non-current liabilities</t>
    </r>
  </si>
  <si>
    <r>
      <rPr>
        <b/>
        <sz val="7"/>
        <color rgb="FF3D3E4A"/>
        <rFont val="Calibri"/>
        <family val="2"/>
      </rPr>
      <t>Total non-current liabilities</t>
    </r>
  </si>
  <si>
    <r>
      <rPr>
        <b/>
        <sz val="7"/>
        <color rgb="FF3D3E4A"/>
        <rFont val="Calibri"/>
        <family val="2"/>
      </rPr>
      <t>Total liabilities</t>
    </r>
  </si>
  <si>
    <r>
      <rPr>
        <b/>
        <sz val="7"/>
        <color rgb="FF3D3E4A"/>
        <rFont val="Calibri"/>
        <family val="2"/>
      </rPr>
      <t>Net assets</t>
    </r>
  </si>
  <si>
    <r>
      <rPr>
        <b/>
        <sz val="7"/>
        <color rgb="FF3D3E4A"/>
        <rFont val="Calibri"/>
        <family val="2"/>
      </rPr>
      <t>EQUITY</t>
    </r>
  </si>
  <si>
    <r>
      <rPr>
        <sz val="7"/>
        <color rgb="FF3D3E4A"/>
        <rFont val="Arial Black"/>
        <family val="2"/>
      </rPr>
      <t>Contributed equity</t>
    </r>
  </si>
  <si>
    <r>
      <rPr>
        <sz val="7"/>
        <color rgb="FF3D3E4A"/>
        <rFont val="Arial Black"/>
        <family val="2"/>
      </rPr>
      <t>Other reserves</t>
    </r>
  </si>
  <si>
    <r>
      <rPr>
        <sz val="7"/>
        <color rgb="FF3D3E4A"/>
        <rFont val="Arial Black"/>
        <family val="2"/>
      </rPr>
      <t>Retained earnings</t>
    </r>
  </si>
  <si>
    <r>
      <rPr>
        <b/>
        <sz val="7"/>
        <color rgb="FF3D3E4A"/>
        <rFont val="Calibri"/>
        <family val="2"/>
      </rPr>
      <t>Total equity</t>
    </r>
  </si>
  <si>
    <t>Consolidated statement of cash flows For the year ended 30 September 2017</t>
  </si>
  <si>
    <r>
      <rPr>
        <b/>
        <sz val="7"/>
        <color rgb="FF3D3E4A"/>
        <rFont val="Calibri"/>
        <family val="2"/>
      </rPr>
      <t>Cash flows from operating activities</t>
    </r>
  </si>
  <si>
    <r>
      <rPr>
        <sz val="7"/>
        <color rgb="FF3D3E4A"/>
        <rFont val="Arial Black"/>
        <family val="2"/>
      </rPr>
      <t>Receipts from customers (inclusive of GST)</t>
    </r>
  </si>
  <si>
    <r>
      <rPr>
        <sz val="7"/>
        <color rgb="FF3D3E4A"/>
        <rFont val="Arial Black"/>
        <family val="2"/>
      </rPr>
      <t>Unused prepayments to suppliers</t>
    </r>
  </si>
  <si>
    <r>
      <rPr>
        <sz val="7"/>
        <color rgb="FF3D3E4A"/>
        <rFont val="Arial Black"/>
        <family val="2"/>
      </rPr>
      <t>Payments to suppliers and employees (inclusive of GST)</t>
    </r>
  </si>
  <si>
    <r>
      <rPr>
        <sz val="7"/>
        <color rgb="FF3D3E4A"/>
        <rFont val="Arial Black"/>
        <family val="2"/>
      </rPr>
      <t>Interest received</t>
    </r>
  </si>
  <si>
    <r>
      <rPr>
        <sz val="7"/>
        <color rgb="FF3D3E4A"/>
        <rFont val="Arial Black"/>
        <family val="2"/>
      </rPr>
      <t>Income taxes paid</t>
    </r>
  </si>
  <si>
    <r>
      <rPr>
        <sz val="7"/>
        <color rgb="FF3D3E4A"/>
        <rFont val="Arial Black"/>
        <family val="2"/>
      </rPr>
      <t>Other revenue</t>
    </r>
  </si>
  <si>
    <r>
      <rPr>
        <sz val="7"/>
        <color rgb="FF3D3E4A"/>
        <rFont val="Arial Black"/>
        <family val="2"/>
      </rPr>
      <t>Interest paid</t>
    </r>
  </si>
  <si>
    <r>
      <rPr>
        <b/>
        <sz val="7"/>
        <color rgb="FF3D3E4A"/>
        <rFont val="Calibri"/>
        <family val="2"/>
      </rPr>
      <t>Net cash inflow / (outflow) from operating activities</t>
    </r>
  </si>
  <si>
    <r>
      <rPr>
        <b/>
        <sz val="7"/>
        <color rgb="FF3D3E4A"/>
        <rFont val="Calibri"/>
        <family val="2"/>
      </rPr>
      <t>Cash flows from investing activities</t>
    </r>
  </si>
  <si>
    <r>
      <rPr>
        <sz val="7"/>
        <color rgb="FF3D3E4A"/>
        <rFont val="Arial Black"/>
        <family val="2"/>
      </rPr>
      <t>Payments for acquisition of subsidiary (net of cash acquired)</t>
    </r>
  </si>
  <si>
    <r>
      <rPr>
        <sz val="7"/>
        <color rgb="FF3D3E4A"/>
        <rFont val="Arial Black"/>
        <family val="2"/>
      </rPr>
      <t>Payments for property, plant and equipment</t>
    </r>
  </si>
  <si>
    <r>
      <rPr>
        <sz val="7"/>
        <color rgb="FF3D3E4A"/>
        <rFont val="Arial Black"/>
        <family val="2"/>
      </rPr>
      <t>Proceeds from sale of property, plant and equipment</t>
    </r>
  </si>
  <si>
    <r>
      <rPr>
        <b/>
        <sz val="7"/>
        <color rgb="FF3D3E4A"/>
        <rFont val="Calibri"/>
        <family val="2"/>
      </rPr>
      <t>Net cash inflow / (outflow) from investing activities</t>
    </r>
  </si>
  <si>
    <r>
      <rPr>
        <b/>
        <sz val="7"/>
        <color rgb="FF3D3E4A"/>
        <rFont val="Calibri"/>
        <family val="2"/>
      </rPr>
      <t>Cash flows from financing activities</t>
    </r>
  </si>
  <si>
    <r>
      <rPr>
        <sz val="7"/>
        <color rgb="FF3D3E4A"/>
        <rFont val="Arial Black"/>
        <family val="2"/>
      </rPr>
      <t>Proceeds from exercise of share options</t>
    </r>
  </si>
  <si>
    <r>
      <rPr>
        <sz val="7"/>
        <color rgb="FF3D3E4A"/>
        <rFont val="Arial Black"/>
        <family val="2"/>
      </rPr>
      <t>Repayment of finance lease</t>
    </r>
  </si>
  <si>
    <r>
      <rPr>
        <sz val="7"/>
        <color rgb="FF3D3E4A"/>
        <rFont val="Arial Black"/>
        <family val="2"/>
      </rPr>
      <t>Dividends paid to Company's shareholders</t>
    </r>
  </si>
  <si>
    <r>
      <rPr>
        <b/>
        <sz val="7"/>
        <color rgb="FF3D3E4A"/>
        <rFont val="Calibri"/>
        <family val="2"/>
      </rPr>
      <t>Net cash inflow / (outflow) from financing activities</t>
    </r>
  </si>
  <si>
    <r>
      <rPr>
        <b/>
        <sz val="7"/>
        <color rgb="FF3D3E4A"/>
        <rFont val="Calibri"/>
        <family val="2"/>
      </rPr>
      <t>Net increase / (decrease) in cash and cash equivalents</t>
    </r>
  </si>
  <si>
    <r>
      <rPr>
        <b/>
        <sz val="7"/>
        <color rgb="FF3D3E4A"/>
        <rFont val="Calibri"/>
        <family val="2"/>
      </rPr>
      <t>Cash and cash equivalents at the beginning of the financial year</t>
    </r>
  </si>
  <si>
    <r>
      <rPr>
        <b/>
        <sz val="7"/>
        <color rgb="FF3D3E4A"/>
        <rFont val="Calibri"/>
        <family val="2"/>
      </rPr>
      <t>Cash and cash equivalents at end of year</t>
    </r>
  </si>
  <si>
    <r>
      <rPr>
        <b/>
        <sz val="7"/>
        <color theme="1"/>
        <rFont val="Calibri"/>
        <family val="2"/>
      </rPr>
      <t>Contributed
equity
$’000</t>
    </r>
  </si>
  <si>
    <r>
      <rPr>
        <b/>
        <sz val="7"/>
        <color theme="1"/>
        <rFont val="Calibri"/>
        <family val="2"/>
      </rPr>
      <t>Retained earnings
$’000</t>
    </r>
  </si>
  <si>
    <r>
      <rPr>
        <b/>
        <sz val="7"/>
        <color theme="1"/>
        <rFont val="Calibri"/>
        <family val="2"/>
      </rPr>
      <t>Dividend reserve
$’000</t>
    </r>
  </si>
  <si>
    <r>
      <rPr>
        <b/>
        <sz val="7"/>
        <color theme="1"/>
        <rFont val="Calibri"/>
        <family val="2"/>
      </rPr>
      <t>FOREX
reserve
$’000</t>
    </r>
  </si>
  <si>
    <r>
      <rPr>
        <b/>
        <sz val="7"/>
        <color theme="1"/>
        <rFont val="Calibri"/>
        <family val="2"/>
      </rPr>
      <t>Share option
reserve
$’000</t>
    </r>
  </si>
  <si>
    <r>
      <rPr>
        <b/>
        <sz val="7"/>
        <color theme="1"/>
        <rFont val="Calibri"/>
        <family val="2"/>
      </rPr>
      <t>Total equity
$’000</t>
    </r>
  </si>
  <si>
    <r>
      <rPr>
        <b/>
        <sz val="7"/>
        <color rgb="FF3D3E4A"/>
        <rFont val="Calibri"/>
        <family val="2"/>
      </rPr>
      <t>Balance at 1 October 2017</t>
    </r>
  </si>
  <si>
    <r>
      <rPr>
        <sz val="7"/>
        <color rgb="FF3D3E4A"/>
        <rFont val="Arial Black"/>
        <family val="2"/>
      </rPr>
      <t>Exchange differences on translation of foreign operations</t>
    </r>
  </si>
  <si>
    <r>
      <rPr>
        <sz val="7"/>
        <color rgb="FF3D3E4A"/>
        <rFont val="Arial Black"/>
        <family val="2"/>
      </rPr>
      <t>-</t>
    </r>
  </si>
  <si>
    <r>
      <rPr>
        <sz val="7"/>
        <color rgb="FF3D3E4A"/>
        <rFont val="Arial Black"/>
        <family val="2"/>
      </rPr>
      <t>Profit for the period</t>
    </r>
  </si>
  <si>
    <r>
      <rPr>
        <b/>
        <sz val="7"/>
        <color rgb="FF3D3E4A"/>
        <rFont val="Calibri"/>
        <family val="2"/>
      </rPr>
      <t>Total comprehensive income for the period</t>
    </r>
  </si>
  <si>
    <r>
      <rPr>
        <b/>
        <sz val="7"/>
        <color rgb="FF3D3E4A"/>
        <rFont val="Calibri"/>
        <family val="2"/>
      </rPr>
      <t>-</t>
    </r>
  </si>
  <si>
    <r>
      <rPr>
        <sz val="7"/>
        <color rgb="FF3D3E4A"/>
        <rFont val="Arial Black"/>
        <family val="2"/>
      </rPr>
      <t>Dividends paid</t>
    </r>
  </si>
  <si>
    <r>
      <rPr>
        <sz val="7"/>
        <color rgb="FF3D3E4A"/>
        <rFont val="Arial Black"/>
        <family val="2"/>
      </rPr>
      <t>Transfer to dividend reserve</t>
    </r>
  </si>
  <si>
    <r>
      <rPr>
        <sz val="7"/>
        <color rgb="FF3D3E4A"/>
        <rFont val="Arial Black"/>
        <family val="2"/>
      </rPr>
      <t>Exercise of share options</t>
    </r>
  </si>
  <si>
    <r>
      <rPr>
        <sz val="7"/>
        <color rgb="FF3D3E4A"/>
        <rFont val="Arial Black"/>
        <family val="2"/>
      </rPr>
      <t>Share based payments</t>
    </r>
  </si>
  <si>
    <r>
      <rPr>
        <sz val="7"/>
        <color rgb="FF3D3E4A"/>
        <rFont val="Arial Black"/>
        <family val="2"/>
      </rPr>
      <t>Tax impact of share trust</t>
    </r>
  </si>
  <si>
    <r>
      <rPr>
        <b/>
        <sz val="7"/>
        <color rgb="FF3D3E4A"/>
        <rFont val="Calibri"/>
        <family val="2"/>
      </rPr>
      <t>Balance at 30 September 2017</t>
    </r>
  </si>
  <si>
    <r>
      <rPr>
        <b/>
        <sz val="7"/>
        <color rgb="FF3D3E4A"/>
        <rFont val="Calibri"/>
        <family val="2"/>
      </rPr>
      <t>Balance at 1 October 2016</t>
    </r>
  </si>
  <si>
    <r>
      <rPr>
        <b/>
        <sz val="7"/>
        <color rgb="FF3D3E4A"/>
        <rFont val="Calibri"/>
        <family val="2"/>
      </rPr>
      <t>Balance at 30 September 2016</t>
    </r>
  </si>
  <si>
    <t>Financial Statements  Consolidated income statement For the year ended 30 September 2018</t>
  </si>
  <si>
    <r>
      <rPr>
        <sz val="8"/>
        <color rgb="FF0F162E"/>
        <rFont val="Times New Roman"/>
        <family val="1"/>
      </rPr>
      <t>Notes</t>
    </r>
  </si>
  <si>
    <r>
      <rPr>
        <b/>
        <sz val="8"/>
        <color rgb="FF0F162E"/>
        <rFont val="Times New Roman"/>
        <family val="1"/>
      </rPr>
      <t>2018
$’000</t>
    </r>
  </si>
  <si>
    <r>
      <rPr>
        <b/>
        <sz val="8"/>
        <color rgb="FF0F162E"/>
        <rFont val="Times New Roman"/>
        <family val="1"/>
      </rPr>
      <t>2017
$’000</t>
    </r>
  </si>
  <si>
    <r>
      <rPr>
        <b/>
        <sz val="12"/>
        <color rgb="FF0F162E"/>
        <rFont val="Times New Roman"/>
        <family val="1"/>
      </rPr>
      <t>Revenue</t>
    </r>
  </si>
  <si>
    <r>
      <rPr>
        <sz val="12"/>
        <color rgb="FF0F162E"/>
        <rFont val="Times New Roman"/>
        <family val="1"/>
      </rPr>
      <t>Variable costs</t>
    </r>
  </si>
  <si>
    <r>
      <rPr>
        <sz val="12"/>
        <color rgb="FF0F162E"/>
        <rFont val="Times New Roman"/>
        <family val="1"/>
      </rPr>
      <t>Variable customer cloud costs</t>
    </r>
  </si>
  <si>
    <r>
      <rPr>
        <b/>
        <sz val="12"/>
        <color rgb="FF0F162E"/>
        <rFont val="Times New Roman"/>
        <family val="1"/>
      </rPr>
      <t>Total variable costs</t>
    </r>
  </si>
  <si>
    <r>
      <rPr>
        <sz val="12"/>
        <color rgb="FF0F162E"/>
        <rFont val="Times New Roman"/>
        <family val="1"/>
      </rPr>
      <t>Occupancy costs</t>
    </r>
  </si>
  <si>
    <r>
      <rPr>
        <sz val="12"/>
        <color rgb="FF0F162E"/>
        <rFont val="Times New Roman"/>
        <family val="1"/>
      </rPr>
      <t>Corporate costs</t>
    </r>
  </si>
  <si>
    <r>
      <rPr>
        <sz val="12"/>
        <color rgb="FF0F162E"/>
        <rFont val="Times New Roman"/>
        <family val="1"/>
      </rPr>
      <t>Depreciation and amortisation</t>
    </r>
  </si>
  <si>
    <r>
      <rPr>
        <sz val="12"/>
        <color rgb="FF0F162E"/>
        <rFont val="Times New Roman"/>
        <family val="1"/>
      </rPr>
      <t>Computer and communication costs</t>
    </r>
  </si>
  <si>
    <r>
      <rPr>
        <sz val="12"/>
        <color rgb="FF0F162E"/>
        <rFont val="Times New Roman"/>
        <family val="1"/>
      </rPr>
      <t>Marketing costs</t>
    </r>
  </si>
  <si>
    <r>
      <rPr>
        <sz val="12"/>
        <color rgb="FF0F162E"/>
        <rFont val="Times New Roman"/>
        <family val="1"/>
      </rPr>
      <t>Employee costs</t>
    </r>
  </si>
  <si>
    <r>
      <rPr>
        <sz val="12"/>
        <color rgb="FF0F162E"/>
        <rFont val="Times New Roman"/>
        <family val="1"/>
      </rPr>
      <t>Share-based payments</t>
    </r>
  </si>
  <si>
    <r>
      <rPr>
        <sz val="12"/>
        <color rgb="FF0F162E"/>
        <rFont val="Times New Roman"/>
        <family val="1"/>
      </rPr>
      <t>Finance expense</t>
    </r>
  </si>
  <si>
    <r>
      <rPr>
        <b/>
        <sz val="12"/>
        <color rgb="FF0F162E"/>
        <rFont val="Times New Roman"/>
        <family val="1"/>
      </rPr>
      <t>Total operating costs</t>
    </r>
  </si>
  <si>
    <r>
      <rPr>
        <b/>
        <sz val="12"/>
        <color rgb="FF0F162E"/>
        <rFont val="Times New Roman"/>
        <family val="1"/>
      </rPr>
      <t>Profit before income tax</t>
    </r>
  </si>
  <si>
    <r>
      <rPr>
        <sz val="12"/>
        <color rgb="FF0F162E"/>
        <rFont val="Times New Roman"/>
        <family val="1"/>
      </rPr>
      <t>Income tax expense</t>
    </r>
  </si>
  <si>
    <r>
      <rPr>
        <b/>
        <sz val="12"/>
        <color rgb="FF0F162E"/>
        <rFont val="Times New Roman"/>
        <family val="1"/>
      </rPr>
      <t>Profit for the year from continuing operations</t>
    </r>
  </si>
  <si>
    <r>
      <rPr>
        <sz val="12"/>
        <color rgb="FF0F162E"/>
        <rFont val="Times New Roman"/>
        <family val="1"/>
      </rPr>
      <t>Basic earnings per share</t>
    </r>
  </si>
  <si>
    <r>
      <rPr>
        <sz val="12"/>
        <color rgb="FF0F162E"/>
        <rFont val="Times New Roman"/>
        <family val="1"/>
      </rPr>
      <t>Diluted earnings per share</t>
    </r>
  </si>
  <si>
    <r>
      <rPr>
        <b/>
        <sz val="12"/>
        <color rgb="FF0F162E"/>
        <rFont val="Times New Roman"/>
        <family val="1"/>
      </rPr>
      <t>Other comprehensive income</t>
    </r>
  </si>
  <si>
    <r>
      <rPr>
        <sz val="12"/>
        <color rgb="FF0F162E"/>
        <rFont val="Times New Roman"/>
        <family val="1"/>
      </rPr>
      <t>Items that may be reclassified to profit or loss in subsequent periods Exchange differences on translation of foreign operations</t>
    </r>
  </si>
  <si>
    <r>
      <rPr>
        <b/>
        <sz val="12"/>
        <color rgb="FF0F162E"/>
        <rFont val="Times New Roman"/>
        <family val="1"/>
      </rPr>
      <t>Other comprehensive income for the year, net of tax</t>
    </r>
  </si>
  <si>
    <r>
      <rPr>
        <b/>
        <sz val="12"/>
        <color rgb="FF0F162E"/>
        <rFont val="Times New Roman"/>
        <family val="1"/>
      </rPr>
      <t>Total comprehensive income for the year</t>
    </r>
  </si>
  <si>
    <r>
      <rPr>
        <b/>
        <sz val="12"/>
        <color theme="1"/>
        <rFont val="Times New Roman"/>
        <family val="1"/>
      </rPr>
      <t xml:space="preserve">Consolidated statement of financial position </t>
    </r>
    <r>
      <rPr>
        <b/>
        <sz val="10"/>
        <color theme="1"/>
        <rFont val="Times New Roman"/>
        <family val="1"/>
      </rPr>
      <t>as at 30 September 2018</t>
    </r>
  </si>
  <si>
    <r>
      <rPr>
        <b/>
        <sz val="7"/>
        <color rgb="FF0F162E"/>
        <rFont val="Arial Narrow"/>
        <family val="2"/>
      </rPr>
      <t xml:space="preserve">2018
</t>
    </r>
    <r>
      <rPr>
        <b/>
        <sz val="7"/>
        <color rgb="FF0F162E"/>
        <rFont val="Arial Narrow"/>
        <family val="2"/>
      </rPr>
      <t>$’000</t>
    </r>
  </si>
  <si>
    <r>
      <rPr>
        <b/>
        <sz val="7"/>
        <color rgb="FF0F162E"/>
        <rFont val="Arial Narrow"/>
        <family val="2"/>
      </rPr>
      <t xml:space="preserve">2017
</t>
    </r>
    <r>
      <rPr>
        <b/>
        <sz val="7"/>
        <color rgb="FF0F162E"/>
        <rFont val="Arial Narrow"/>
        <family val="2"/>
      </rPr>
      <t>$’000</t>
    </r>
  </si>
  <si>
    <r>
      <rPr>
        <b/>
        <sz val="7"/>
        <color rgb="FF0F162E"/>
        <rFont val="Arial Narrow"/>
        <family val="2"/>
      </rPr>
      <t>ASSETS</t>
    </r>
  </si>
  <si>
    <r>
      <rPr>
        <b/>
        <sz val="7"/>
        <color rgb="FF0F162E"/>
        <rFont val="Arial Narrow"/>
        <family val="2"/>
      </rPr>
      <t>Current assets</t>
    </r>
  </si>
  <si>
    <r>
      <rPr>
        <sz val="7"/>
        <color rgb="FF0F162E"/>
        <rFont val="Arial Black"/>
        <family val="2"/>
      </rPr>
      <t>Cash and cash equivalents</t>
    </r>
  </si>
  <si>
    <r>
      <rPr>
        <sz val="7"/>
        <color rgb="FF0F162E"/>
        <rFont val="Arial Black"/>
        <family val="2"/>
      </rPr>
      <t>Prepayments</t>
    </r>
  </si>
  <si>
    <r>
      <rPr>
        <sz val="7"/>
        <color rgb="FF0F162E"/>
        <rFont val="Arial Black"/>
        <family val="2"/>
      </rPr>
      <t>Trade and other receivables</t>
    </r>
  </si>
  <si>
    <r>
      <rPr>
        <sz val="7"/>
        <color rgb="FF0F162E"/>
        <rFont val="Arial Black"/>
        <family val="2"/>
      </rPr>
      <t>Earned and unbilled revenue</t>
    </r>
  </si>
  <si>
    <r>
      <rPr>
        <sz val="7"/>
        <color rgb="FF0F162E"/>
        <rFont val="Arial Black"/>
        <family val="2"/>
      </rPr>
      <t>Other current assets</t>
    </r>
  </si>
  <si>
    <r>
      <rPr>
        <sz val="7"/>
        <color rgb="FF0F162E"/>
        <rFont val="Arial Black"/>
        <family val="2"/>
      </rPr>
      <t>Current tax assets</t>
    </r>
  </si>
  <si>
    <r>
      <rPr>
        <b/>
        <sz val="7"/>
        <color rgb="FF0F162E"/>
        <rFont val="Arial Narrow"/>
        <family val="2"/>
      </rPr>
      <t>Total current assets</t>
    </r>
  </si>
  <si>
    <r>
      <rPr>
        <b/>
        <sz val="7"/>
        <color rgb="FF0F162E"/>
        <rFont val="Arial Narrow"/>
        <family val="2"/>
      </rPr>
      <t>Non-current assets</t>
    </r>
  </si>
  <si>
    <r>
      <rPr>
        <sz val="7"/>
        <color rgb="FF0F162E"/>
        <rFont val="Arial Black"/>
        <family val="2"/>
      </rPr>
      <t>Property, plant and equipment</t>
    </r>
  </si>
  <si>
    <r>
      <rPr>
        <sz val="7"/>
        <color rgb="FF0F162E"/>
        <rFont val="Arial Black"/>
        <family val="2"/>
      </rPr>
      <t>Intangible assets</t>
    </r>
  </si>
  <si>
    <r>
      <rPr>
        <sz val="7"/>
        <color rgb="FF0F162E"/>
        <rFont val="Arial Black"/>
        <family val="2"/>
      </rPr>
      <t>Deferred tax assets</t>
    </r>
  </si>
  <si>
    <r>
      <rPr>
        <b/>
        <sz val="7"/>
        <color rgb="FF0F162E"/>
        <rFont val="Arial Narrow"/>
        <family val="2"/>
      </rPr>
      <t>Total non-current assets</t>
    </r>
  </si>
  <si>
    <r>
      <rPr>
        <b/>
        <sz val="7"/>
        <color rgb="FF0F162E"/>
        <rFont val="Arial Narrow"/>
        <family val="2"/>
      </rPr>
      <t>Total assets</t>
    </r>
  </si>
  <si>
    <r>
      <rPr>
        <b/>
        <sz val="7"/>
        <color rgb="FF0F162E"/>
        <rFont val="Arial Narrow"/>
        <family val="2"/>
      </rPr>
      <t>LIABILITIES</t>
    </r>
  </si>
  <si>
    <r>
      <rPr>
        <b/>
        <sz val="7"/>
        <color rgb="FF0F162E"/>
        <rFont val="Arial Narrow"/>
        <family val="2"/>
      </rPr>
      <t>Current liabilities</t>
    </r>
  </si>
  <si>
    <r>
      <rPr>
        <sz val="7"/>
        <color rgb="FF0F162E"/>
        <rFont val="Arial Black"/>
        <family val="2"/>
      </rPr>
      <t>Trade and other payables</t>
    </r>
  </si>
  <si>
    <r>
      <rPr>
        <sz val="7"/>
        <color rgb="FF0F162E"/>
        <rFont val="Arial Black"/>
        <family val="2"/>
      </rPr>
      <t>Provisions</t>
    </r>
  </si>
  <si>
    <r>
      <rPr>
        <sz val="7"/>
        <color rgb="FF0F162E"/>
        <rFont val="Arial Black"/>
        <family val="2"/>
      </rPr>
      <t>Current tax liabilities</t>
    </r>
  </si>
  <si>
    <r>
      <rPr>
        <sz val="7"/>
        <color rgb="FF0F162E"/>
        <rFont val="Arial Black"/>
        <family val="2"/>
      </rPr>
      <t>Unearned revenue</t>
    </r>
  </si>
  <si>
    <r>
      <rPr>
        <sz val="7"/>
        <color rgb="FF0F162E"/>
        <rFont val="Arial Black"/>
        <family val="2"/>
      </rPr>
      <t>Borrowings</t>
    </r>
  </si>
  <si>
    <r>
      <rPr>
        <b/>
        <sz val="7"/>
        <color rgb="FF0F162E"/>
        <rFont val="Arial Narrow"/>
        <family val="2"/>
      </rPr>
      <t>Total current liabilities</t>
    </r>
  </si>
  <si>
    <r>
      <rPr>
        <b/>
        <sz val="7"/>
        <color rgb="FF0F162E"/>
        <rFont val="Arial Narrow"/>
        <family val="2"/>
      </rPr>
      <t>Non-Current liabilities</t>
    </r>
  </si>
  <si>
    <r>
      <rPr>
        <sz val="7"/>
        <color rgb="FF0F162E"/>
        <rFont val="Arial Black"/>
        <family val="2"/>
      </rPr>
      <t>Other non-current liabilities</t>
    </r>
  </si>
  <si>
    <r>
      <rPr>
        <b/>
        <sz val="7"/>
        <color rgb="FF0F162E"/>
        <rFont val="Arial Narrow"/>
        <family val="2"/>
      </rPr>
      <t>Total non-current liabilities</t>
    </r>
  </si>
  <si>
    <r>
      <rPr>
        <b/>
        <sz val="7"/>
        <color rgb="FF0F162E"/>
        <rFont val="Arial Narrow"/>
        <family val="2"/>
      </rPr>
      <t>Total liabilities</t>
    </r>
  </si>
  <si>
    <r>
      <rPr>
        <b/>
        <sz val="7"/>
        <color rgb="FF0F162E"/>
        <rFont val="Arial Narrow"/>
        <family val="2"/>
      </rPr>
      <t>Net assets</t>
    </r>
  </si>
  <si>
    <r>
      <rPr>
        <b/>
        <sz val="7"/>
        <color rgb="FF0F162E"/>
        <rFont val="Arial Narrow"/>
        <family val="2"/>
      </rPr>
      <t>EQUITY</t>
    </r>
  </si>
  <si>
    <r>
      <rPr>
        <sz val="7"/>
        <color rgb="FF0F162E"/>
        <rFont val="Arial Black"/>
        <family val="2"/>
      </rPr>
      <t>Contributed equity</t>
    </r>
  </si>
  <si>
    <r>
      <rPr>
        <sz val="7"/>
        <color rgb="FF0F162E"/>
        <rFont val="Arial Black"/>
        <family val="2"/>
      </rPr>
      <t>Other reserves</t>
    </r>
  </si>
  <si>
    <r>
      <rPr>
        <sz val="7"/>
        <color rgb="FF0F162E"/>
        <rFont val="Arial Black"/>
        <family val="2"/>
      </rPr>
      <t>Retained earnings</t>
    </r>
  </si>
  <si>
    <r>
      <rPr>
        <b/>
        <sz val="7"/>
        <color rgb="FF0F162E"/>
        <rFont val="Arial Narrow"/>
        <family val="2"/>
      </rPr>
      <t>Total equity</t>
    </r>
  </si>
  <si>
    <t>Consolidated statement of cash flows</t>
  </si>
  <si>
    <r>
      <rPr>
        <b/>
        <sz val="7"/>
        <color rgb="FF0F162E"/>
        <rFont val="Arial Narrow"/>
        <family val="2"/>
      </rPr>
      <t>Cash flows from operating activities</t>
    </r>
  </si>
  <si>
    <r>
      <rPr>
        <sz val="7"/>
        <color rgb="FF0F162E"/>
        <rFont val="Arial Black"/>
        <family val="2"/>
      </rPr>
      <t>Receipts from customers (inclusive of GST)</t>
    </r>
  </si>
  <si>
    <r>
      <rPr>
        <sz val="7"/>
        <color rgb="FF0F162E"/>
        <rFont val="Arial Black"/>
        <family val="2"/>
      </rPr>
      <t>Unused prepayments to suppliers</t>
    </r>
  </si>
  <si>
    <r>
      <rPr>
        <sz val="7"/>
        <color rgb="FF0F162E"/>
        <rFont val="Arial Black"/>
        <family val="2"/>
      </rPr>
      <t>Payments to suppliers and employees (inclusive of GST)</t>
    </r>
  </si>
  <si>
    <r>
      <rPr>
        <sz val="7"/>
        <color rgb="FF0F162E"/>
        <rFont val="Arial Black"/>
        <family val="2"/>
      </rPr>
      <t>Interest received</t>
    </r>
  </si>
  <si>
    <r>
      <rPr>
        <sz val="7"/>
        <color rgb="FF0F162E"/>
        <rFont val="Arial Black"/>
        <family val="2"/>
      </rPr>
      <t>Income taxes paid</t>
    </r>
  </si>
  <si>
    <r>
      <rPr>
        <sz val="7"/>
        <color rgb="FF0F162E"/>
        <rFont val="Arial Black"/>
        <family val="2"/>
      </rPr>
      <t>Other revenue</t>
    </r>
  </si>
  <si>
    <r>
      <rPr>
        <sz val="7"/>
        <color rgb="FF0F162E"/>
        <rFont val="Arial Black"/>
        <family val="2"/>
      </rPr>
      <t>Interest paid</t>
    </r>
  </si>
  <si>
    <r>
      <rPr>
        <b/>
        <sz val="7"/>
        <color rgb="FF0F162E"/>
        <rFont val="Arial Narrow"/>
        <family val="2"/>
      </rPr>
      <t>Net cash inflow / (outflow) from operating activities</t>
    </r>
  </si>
  <si>
    <r>
      <rPr>
        <b/>
        <sz val="7"/>
        <color rgb="FF0F162E"/>
        <rFont val="Arial Narrow"/>
        <family val="2"/>
      </rPr>
      <t>Cash flows from investing activities</t>
    </r>
  </si>
  <si>
    <r>
      <rPr>
        <sz val="7"/>
        <color rgb="FF0F162E"/>
        <rFont val="Arial Black"/>
        <family val="2"/>
      </rPr>
      <t>Payments for acquisition of subsidiary (net of cash acquired)</t>
    </r>
  </si>
  <si>
    <r>
      <rPr>
        <sz val="7"/>
        <color rgb="FF0F162E"/>
        <rFont val="Arial Black"/>
        <family val="2"/>
      </rPr>
      <t>Payments for property, plant and equipment</t>
    </r>
  </si>
  <si>
    <r>
      <rPr>
        <sz val="7"/>
        <color rgb="FF0F162E"/>
        <rFont val="Arial Black"/>
        <family val="2"/>
      </rPr>
      <t>Proceeds from sale of property, plant and equipment</t>
    </r>
  </si>
  <si>
    <r>
      <rPr>
        <b/>
        <sz val="7"/>
        <color rgb="FF0F162E"/>
        <rFont val="Arial Narrow"/>
        <family val="2"/>
      </rPr>
      <t>Net cash inflow / (outflow) from investing activities</t>
    </r>
  </si>
  <si>
    <r>
      <rPr>
        <b/>
        <sz val="7"/>
        <color rgb="FF0F162E"/>
        <rFont val="Arial Narrow"/>
        <family val="2"/>
      </rPr>
      <t>Cash flows from financing activities</t>
    </r>
  </si>
  <si>
    <r>
      <rPr>
        <sz val="7"/>
        <color rgb="FF0F162E"/>
        <rFont val="Arial Black"/>
        <family val="2"/>
      </rPr>
      <t>Proceeds from exercise of share options</t>
    </r>
  </si>
  <si>
    <r>
      <rPr>
        <sz val="7"/>
        <color rgb="FF0F162E"/>
        <rFont val="Arial Black"/>
        <family val="2"/>
      </rPr>
      <t>Repayment of finance lease</t>
    </r>
  </si>
  <si>
    <r>
      <rPr>
        <sz val="7"/>
        <color rgb="FF0F162E"/>
        <rFont val="Arial Black"/>
        <family val="2"/>
      </rPr>
      <t>Dividends paid to Company's shareholders</t>
    </r>
  </si>
  <si>
    <r>
      <rPr>
        <b/>
        <sz val="7"/>
        <color rgb="FF0F162E"/>
        <rFont val="Arial Narrow"/>
        <family val="2"/>
      </rPr>
      <t>Net cash inflow / (outflow) from financing activities</t>
    </r>
  </si>
  <si>
    <r>
      <rPr>
        <b/>
        <sz val="7"/>
        <color rgb="FF0F162E"/>
        <rFont val="Arial Narrow"/>
        <family val="2"/>
      </rPr>
      <t>Net increase / (decrease) in cash and cash equivalents</t>
    </r>
  </si>
  <si>
    <r>
      <rPr>
        <b/>
        <sz val="7"/>
        <color rgb="FF0F162E"/>
        <rFont val="Arial Narrow"/>
        <family val="2"/>
      </rPr>
      <t>Cash and cash equivalents at the beginning of the financial year</t>
    </r>
  </si>
  <si>
    <r>
      <rPr>
        <b/>
        <sz val="7"/>
        <color rgb="FF0F162E"/>
        <rFont val="Arial Narrow"/>
        <family val="2"/>
      </rPr>
      <t>Cash and cash equivalents at end of year</t>
    </r>
  </si>
  <si>
    <r>
      <rPr>
        <b/>
        <sz val="7"/>
        <color rgb="FF0F162E"/>
        <rFont val="Arial Narrow"/>
        <family val="2"/>
      </rPr>
      <t>Balance at 1 October 2017</t>
    </r>
  </si>
  <si>
    <r>
      <rPr>
        <b/>
        <sz val="7"/>
        <color rgb="FF0F162E"/>
        <rFont val="Arial Narrow"/>
        <family val="2"/>
      </rPr>
      <t>Balance at 30 September 2018</t>
    </r>
  </si>
  <si>
    <r>
      <rPr>
        <b/>
        <sz val="7"/>
        <color rgb="FF0F162E"/>
        <rFont val="Arial Narrow"/>
        <family val="2"/>
      </rPr>
      <t>Balance at 1 October 2016</t>
    </r>
  </si>
  <si>
    <r>
      <rPr>
        <b/>
        <sz val="7"/>
        <color rgb="FF0F162E"/>
        <rFont val="Arial Narrow"/>
        <family val="2"/>
      </rPr>
      <t>Balance at 30 September 2017</t>
    </r>
  </si>
  <si>
    <t>Financial Statements Consolidated income statement For the year ended 30 September 2019</t>
  </si>
  <si>
    <r>
      <rPr>
        <b/>
        <sz val="7"/>
        <color rgb="FF0F172E"/>
        <rFont val="Arial"/>
        <family val="2"/>
      </rPr>
      <t>Restated</t>
    </r>
    <r>
      <rPr>
        <b/>
        <vertAlign val="superscript"/>
        <sz val="4"/>
        <color rgb="FF0F172E"/>
        <rFont val="Arial"/>
        <family val="2"/>
      </rPr>
      <t>1</t>
    </r>
  </si>
  <si>
    <r>
      <rPr>
        <b/>
        <sz val="7"/>
        <color rgb="FF0F172E"/>
        <rFont val="Arial"/>
        <family val="2"/>
      </rPr>
      <t>Notes</t>
    </r>
  </si>
  <si>
    <t>$’000</t>
  </si>
  <si>
    <r>
      <rPr>
        <b/>
        <sz val="7"/>
        <color rgb="FF0F172E"/>
        <rFont val="Arial"/>
        <family val="2"/>
      </rPr>
      <t>$’000</t>
    </r>
  </si>
  <si>
    <r>
      <rPr>
        <b/>
        <sz val="7"/>
        <color rgb="FF0F172E"/>
        <rFont val="Arial"/>
        <family val="2"/>
      </rPr>
      <t>Revenue from contracts with customers</t>
    </r>
  </si>
  <si>
    <r>
      <rPr>
        <sz val="7"/>
        <color rgb="FF0F172E"/>
        <rFont val="Arial Black"/>
        <family val="2"/>
      </rPr>
      <t>Variable costs</t>
    </r>
  </si>
  <si>
    <r>
      <rPr>
        <sz val="7"/>
        <color rgb="FF0F172E"/>
        <rFont val="Arial Black"/>
        <family val="2"/>
      </rPr>
      <t>Variable customer cloud costs</t>
    </r>
  </si>
  <si>
    <r>
      <rPr>
        <b/>
        <sz val="7"/>
        <color rgb="FF0F172E"/>
        <rFont val="Arial"/>
        <family val="2"/>
      </rPr>
      <t>Total variable costs</t>
    </r>
  </si>
  <si>
    <r>
      <rPr>
        <sz val="7"/>
        <color rgb="FF0F172E"/>
        <rFont val="Arial Black"/>
        <family val="2"/>
      </rPr>
      <t>Occupancy costs</t>
    </r>
  </si>
  <si>
    <r>
      <rPr>
        <sz val="7"/>
        <color rgb="FF0F172E"/>
        <rFont val="Arial Black"/>
        <family val="2"/>
      </rPr>
      <t>Corporate costs</t>
    </r>
  </si>
  <si>
    <r>
      <rPr>
        <sz val="7"/>
        <color rgb="FF0F172E"/>
        <rFont val="Arial Black"/>
        <family val="2"/>
      </rPr>
      <t>Depreciation and amortisation</t>
    </r>
  </si>
  <si>
    <r>
      <rPr>
        <sz val="7"/>
        <color rgb="FF0F172E"/>
        <rFont val="Arial Black"/>
        <family val="2"/>
      </rPr>
      <t>Computer and communication costs</t>
    </r>
  </si>
  <si>
    <r>
      <rPr>
        <sz val="7"/>
        <color rgb="FF0F172E"/>
        <rFont val="Arial Black"/>
        <family val="2"/>
      </rPr>
      <t>Marketing costs</t>
    </r>
  </si>
  <si>
    <r>
      <rPr>
        <sz val="7"/>
        <color rgb="FF0F172E"/>
        <rFont val="Arial Black"/>
        <family val="2"/>
      </rPr>
      <t>Employee costs</t>
    </r>
  </si>
  <si>
    <r>
      <rPr>
        <sz val="7"/>
        <color rgb="FF0F172E"/>
        <rFont val="Arial Black"/>
        <family val="2"/>
      </rPr>
      <t>Share-based payments</t>
    </r>
  </si>
  <si>
    <r>
      <rPr>
        <sz val="7"/>
        <color rgb="FF0F172E"/>
        <rFont val="Arial Black"/>
        <family val="2"/>
      </rPr>
      <t>Finance expense</t>
    </r>
  </si>
  <si>
    <r>
      <rPr>
        <b/>
        <sz val="7"/>
        <color rgb="FF0F172E"/>
        <rFont val="Arial"/>
        <family val="2"/>
      </rPr>
      <t>Total operating costs</t>
    </r>
  </si>
  <si>
    <r>
      <rPr>
        <sz val="7"/>
        <color rgb="FF0F172E"/>
        <rFont val="Arial Black"/>
        <family val="2"/>
      </rPr>
      <t>Other income</t>
    </r>
  </si>
  <si>
    <r>
      <rPr>
        <sz val="7"/>
        <color rgb="FF0F172E"/>
        <rFont val="Arial Black"/>
        <family val="2"/>
      </rPr>
      <t>5(a)</t>
    </r>
  </si>
  <si>
    <r>
      <rPr>
        <b/>
        <sz val="7"/>
        <color rgb="FF0F172E"/>
        <rFont val="Arial"/>
        <family val="2"/>
      </rPr>
      <t>Profit before income tax</t>
    </r>
  </si>
  <si>
    <r>
      <rPr>
        <sz val="7"/>
        <color rgb="FF0F172E"/>
        <rFont val="Arial Black"/>
        <family val="2"/>
      </rPr>
      <t>Income tax expense</t>
    </r>
  </si>
  <si>
    <r>
      <rPr>
        <b/>
        <sz val="7"/>
        <color rgb="FF0F172E"/>
        <rFont val="Arial"/>
        <family val="2"/>
      </rPr>
      <t>Profit for the year</t>
    </r>
  </si>
  <si>
    <r>
      <rPr>
        <b/>
        <sz val="7"/>
        <color rgb="FF0F172E"/>
        <rFont val="Arial"/>
        <family val="2"/>
      </rPr>
      <t>Cents</t>
    </r>
  </si>
  <si>
    <r>
      <rPr>
        <sz val="7"/>
        <color rgb="FF0F172E"/>
        <rFont val="Arial Black"/>
        <family val="2"/>
      </rPr>
      <t>Basic earnings per share</t>
    </r>
  </si>
  <si>
    <r>
      <rPr>
        <sz val="7"/>
        <color rgb="FF0F172E"/>
        <rFont val="Arial Black"/>
        <family val="2"/>
      </rPr>
      <t>Diluted earnings per share</t>
    </r>
  </si>
  <si>
    <t>Consolidated statement of comprehensive income
For the year ended 30 September 2019</t>
  </si>
  <si>
    <r>
      <rPr>
        <b/>
        <sz val="7"/>
        <color rgb="FF0F172E"/>
        <rFont val="Arial"/>
        <family val="2"/>
      </rPr>
      <t xml:space="preserve">2019
</t>
    </r>
    <r>
      <rPr>
        <b/>
        <sz val="7"/>
        <color rgb="FF0F172E"/>
        <rFont val="Arial"/>
        <family val="2"/>
      </rPr>
      <t>$’000</t>
    </r>
  </si>
  <si>
    <r>
      <rPr>
        <b/>
        <sz val="7"/>
        <color rgb="FF0F172E"/>
        <rFont val="Arial"/>
        <family val="2"/>
      </rPr>
      <t xml:space="preserve">2018
</t>
    </r>
    <r>
      <rPr>
        <b/>
        <sz val="7"/>
        <color rgb="FF0F172E"/>
        <rFont val="Arial"/>
        <family val="2"/>
      </rPr>
      <t>$’000</t>
    </r>
  </si>
  <si>
    <r>
      <rPr>
        <b/>
        <sz val="7"/>
        <color rgb="FF0F172E"/>
        <rFont val="Arial"/>
        <family val="2"/>
      </rPr>
      <t>Other comprehensive income</t>
    </r>
  </si>
  <si>
    <r>
      <rPr>
        <sz val="7"/>
        <color rgb="FF0F172E"/>
        <rFont val="Arial Black"/>
        <family val="2"/>
      </rPr>
      <t xml:space="preserve">Items that may be reclassified to profit or loss
</t>
    </r>
    <r>
      <rPr>
        <sz val="7"/>
        <color rgb="FF0F172E"/>
        <rFont val="Arial Black"/>
        <family val="2"/>
      </rPr>
      <t>Exchange differences on translation of foreign operations</t>
    </r>
  </si>
  <si>
    <r>
      <rPr>
        <b/>
        <sz val="7"/>
        <color rgb="FF0F172E"/>
        <rFont val="Arial"/>
        <family val="2"/>
      </rPr>
      <t>Other comprehensive income for the year, net of tax</t>
    </r>
  </si>
  <si>
    <r>
      <rPr>
        <b/>
        <sz val="7"/>
        <color rgb="FF0F172E"/>
        <rFont val="Arial"/>
        <family val="2"/>
      </rPr>
      <t>Total comprehensive income for the year</t>
    </r>
  </si>
  <si>
    <t>Consolidated statement of financial position as at 30 September 2019</t>
  </si>
  <si>
    <r>
      <rPr>
        <b/>
        <sz val="7"/>
        <color rgb="FF0F172E"/>
        <rFont val="Arial"/>
        <family val="2"/>
      </rPr>
      <t>ASSETS</t>
    </r>
  </si>
  <si>
    <r>
      <rPr>
        <b/>
        <sz val="7"/>
        <color rgb="FF0F172E"/>
        <rFont val="Arial"/>
        <family val="2"/>
      </rPr>
      <t>Current assets</t>
    </r>
  </si>
  <si>
    <r>
      <rPr>
        <sz val="7"/>
        <color rgb="FF0F172E"/>
        <rFont val="Arial Black"/>
        <family val="2"/>
      </rPr>
      <t>Cash and cash equivalents</t>
    </r>
  </si>
  <si>
    <r>
      <rPr>
        <sz val="7"/>
        <color rgb="FF0F172E"/>
        <rFont val="Arial Black"/>
        <family val="2"/>
      </rPr>
      <t>Prepayments</t>
    </r>
  </si>
  <si>
    <r>
      <rPr>
        <sz val="7"/>
        <color rgb="FF0F172E"/>
        <rFont val="Arial Black"/>
        <family val="2"/>
      </rPr>
      <t>Trade and other receivables</t>
    </r>
  </si>
  <si>
    <r>
      <rPr>
        <sz val="7"/>
        <color rgb="FF0F172E"/>
        <rFont val="Arial Black"/>
        <family val="2"/>
      </rPr>
      <t>Contract assets</t>
    </r>
  </si>
  <si>
    <r>
      <rPr>
        <sz val="7"/>
        <color rgb="FF0F172E"/>
        <rFont val="Arial Black"/>
        <family val="2"/>
      </rPr>
      <t>Other current assets</t>
    </r>
  </si>
  <si>
    <r>
      <rPr>
        <sz val="7"/>
        <color rgb="FF0F172E"/>
        <rFont val="Arial Black"/>
        <family val="2"/>
      </rPr>
      <t>Current tax assets</t>
    </r>
  </si>
  <si>
    <r>
      <rPr>
        <sz val="7"/>
        <color rgb="FF0F172E"/>
        <rFont val="Arial Black"/>
        <family val="2"/>
      </rPr>
      <t>Contract acquisition costs</t>
    </r>
  </si>
  <si>
    <r>
      <rPr>
        <b/>
        <sz val="7"/>
        <color rgb="FF0F172E"/>
        <rFont val="Arial"/>
        <family val="2"/>
      </rPr>
      <t>Total current assets</t>
    </r>
  </si>
  <si>
    <r>
      <rPr>
        <b/>
        <sz val="7"/>
        <color rgb="FF0F172E"/>
        <rFont val="Arial"/>
        <family val="2"/>
      </rPr>
      <t>Non-current assets</t>
    </r>
  </si>
  <si>
    <r>
      <rPr>
        <sz val="7"/>
        <color rgb="FF0F172E"/>
        <rFont val="Arial Black"/>
        <family val="2"/>
      </rPr>
      <t>Property, plant and equipment</t>
    </r>
  </si>
  <si>
    <r>
      <rPr>
        <sz val="7"/>
        <color rgb="FF0F172E"/>
        <rFont val="Arial Black"/>
        <family val="2"/>
      </rPr>
      <t>Intangible assets</t>
    </r>
  </si>
  <si>
    <r>
      <rPr>
        <sz val="7"/>
        <color rgb="FF0F172E"/>
        <rFont val="Arial Black"/>
        <family val="2"/>
      </rPr>
      <t>Capitalised development</t>
    </r>
  </si>
  <si>
    <r>
      <rPr>
        <sz val="7"/>
        <color rgb="FF0F172E"/>
        <rFont val="Arial Black"/>
        <family val="2"/>
      </rPr>
      <t>-</t>
    </r>
  </si>
  <si>
    <r>
      <rPr>
        <sz val="7"/>
        <color rgb="FF0F172E"/>
        <rFont val="Arial Black"/>
        <family val="2"/>
      </rPr>
      <t>Deferred tax assets</t>
    </r>
  </si>
  <si>
    <r>
      <rPr>
        <b/>
        <sz val="7"/>
        <color rgb="FF0F172E"/>
        <rFont val="Arial"/>
        <family val="2"/>
      </rPr>
      <t>Total non-current assets</t>
    </r>
  </si>
  <si>
    <r>
      <rPr>
        <b/>
        <sz val="7"/>
        <color rgb="FF0F172E"/>
        <rFont val="Arial"/>
        <family val="2"/>
      </rPr>
      <t>Total assets</t>
    </r>
  </si>
  <si>
    <r>
      <rPr>
        <b/>
        <sz val="7"/>
        <color rgb="FF0F172E"/>
        <rFont val="Arial"/>
        <family val="2"/>
      </rPr>
      <t>LIABILITIES</t>
    </r>
  </si>
  <si>
    <r>
      <rPr>
        <b/>
        <sz val="7"/>
        <color rgb="FF0F172E"/>
        <rFont val="Arial"/>
        <family val="2"/>
      </rPr>
      <t>Current liabilities</t>
    </r>
  </si>
  <si>
    <r>
      <rPr>
        <sz val="7"/>
        <color rgb="FF0F172E"/>
        <rFont val="Arial Black"/>
        <family val="2"/>
      </rPr>
      <t>Trade and other payables</t>
    </r>
  </si>
  <si>
    <r>
      <rPr>
        <sz val="7"/>
        <color rgb="FF0F172E"/>
        <rFont val="Arial Black"/>
        <family val="2"/>
      </rPr>
      <t>Provisions</t>
    </r>
  </si>
  <si>
    <r>
      <rPr>
        <sz val="7"/>
        <color rgb="FF0F172E"/>
        <rFont val="Arial Black"/>
        <family val="2"/>
      </rPr>
      <t>Prepaid subscription revenue</t>
    </r>
  </si>
  <si>
    <r>
      <rPr>
        <sz val="7"/>
        <color rgb="FF0F172E"/>
        <rFont val="Arial Black"/>
        <family val="2"/>
      </rPr>
      <t>Borrowings</t>
    </r>
  </si>
  <si>
    <r>
      <rPr>
        <b/>
        <sz val="7"/>
        <color rgb="FF0F172E"/>
        <rFont val="Arial"/>
        <family val="2"/>
      </rPr>
      <t>Total current liabilities</t>
    </r>
  </si>
  <si>
    <r>
      <rPr>
        <b/>
        <sz val="7"/>
        <color rgb="FF0F172E"/>
        <rFont val="Arial"/>
        <family val="2"/>
      </rPr>
      <t>Non-current liabilities</t>
    </r>
  </si>
  <si>
    <r>
      <rPr>
        <sz val="7"/>
        <color rgb="FF0F172E"/>
        <rFont val="Arial Black"/>
        <family val="2"/>
      </rPr>
      <t>Other non-current liabilities</t>
    </r>
  </si>
  <si>
    <r>
      <rPr>
        <b/>
        <sz val="7"/>
        <color rgb="FF0F172E"/>
        <rFont val="Arial"/>
        <family val="2"/>
      </rPr>
      <t>Total non-current liabilities</t>
    </r>
  </si>
  <si>
    <r>
      <rPr>
        <b/>
        <sz val="7"/>
        <color rgb="FF0F172E"/>
        <rFont val="Arial"/>
        <family val="2"/>
      </rPr>
      <t>Total liabilities</t>
    </r>
  </si>
  <si>
    <r>
      <rPr>
        <b/>
        <sz val="7"/>
        <color rgb="FF0F172E"/>
        <rFont val="Arial"/>
        <family val="2"/>
      </rPr>
      <t>Net assets</t>
    </r>
  </si>
  <si>
    <r>
      <rPr>
        <b/>
        <sz val="7"/>
        <color rgb="FF0F172E"/>
        <rFont val="Arial"/>
        <family val="2"/>
      </rPr>
      <t>EQUITY</t>
    </r>
  </si>
  <si>
    <r>
      <rPr>
        <sz val="7"/>
        <color rgb="FF0F172E"/>
        <rFont val="Arial Black"/>
        <family val="2"/>
      </rPr>
      <t>Contributed equity</t>
    </r>
  </si>
  <si>
    <r>
      <rPr>
        <sz val="7"/>
        <color rgb="FF0F172E"/>
        <rFont val="Arial Black"/>
        <family val="2"/>
      </rPr>
      <t>Other reserves</t>
    </r>
  </si>
  <si>
    <r>
      <rPr>
        <sz val="7"/>
        <color rgb="FF0F172E"/>
        <rFont val="Arial Black"/>
        <family val="2"/>
      </rPr>
      <t>Retained earnings</t>
    </r>
  </si>
  <si>
    <r>
      <rPr>
        <b/>
        <sz val="7"/>
        <color rgb="FF0F172E"/>
        <rFont val="Arial"/>
        <family val="2"/>
      </rPr>
      <t>Total equity</t>
    </r>
  </si>
  <si>
    <r>
      <rPr>
        <b/>
        <sz val="13"/>
        <color rgb="FF00B5D0"/>
        <rFont val="Arial"/>
        <family val="2"/>
      </rPr>
      <t>Consolidated statement of cash flows For</t>
    </r>
    <r>
      <rPr>
        <b/>
        <sz val="8"/>
        <color rgb="FF0F172E"/>
        <rFont val="Arial"/>
        <family val="2"/>
      </rPr>
      <t xml:space="preserve"> the year ended 30 September 2019</t>
    </r>
  </si>
  <si>
    <r>
      <rPr>
        <b/>
        <sz val="7"/>
        <color rgb="FF0F172E"/>
        <rFont val="Arial"/>
        <family val="2"/>
      </rPr>
      <t>Cash flows from operating activities</t>
    </r>
  </si>
  <si>
    <r>
      <rPr>
        <sz val="7"/>
        <color rgb="FF0F172E"/>
        <rFont val="Arial Black"/>
        <family val="2"/>
      </rPr>
      <t>Receipts from customers (inclusive of GST)</t>
    </r>
  </si>
  <si>
    <r>
      <rPr>
        <sz val="7"/>
        <color rgb="FF0F172E"/>
        <rFont val="Arial Black"/>
        <family val="2"/>
      </rPr>
      <t>Unused prepayments to suppliers</t>
    </r>
  </si>
  <si>
    <r>
      <rPr>
        <sz val="7"/>
        <color rgb="FF0F172E"/>
        <rFont val="Arial Black"/>
        <family val="2"/>
      </rPr>
      <t>Payments to suppliers and employees (inclusive of GST)</t>
    </r>
  </si>
  <si>
    <r>
      <rPr>
        <sz val="7"/>
        <color rgb="FF0F172E"/>
        <rFont val="Arial Black"/>
        <family val="2"/>
      </rPr>
      <t>Interest received</t>
    </r>
  </si>
  <si>
    <r>
      <rPr>
        <sz val="7"/>
        <color rgb="FF0F172E"/>
        <rFont val="Arial Black"/>
        <family val="2"/>
      </rPr>
      <t>Income taxes paid</t>
    </r>
  </si>
  <si>
    <r>
      <rPr>
        <sz val="7"/>
        <color rgb="FF0F172E"/>
        <rFont val="Arial Black"/>
        <family val="2"/>
      </rPr>
      <t>Interest paid</t>
    </r>
  </si>
  <si>
    <r>
      <rPr>
        <b/>
        <sz val="7"/>
        <color rgb="FF0F172E"/>
        <rFont val="Arial"/>
        <family val="2"/>
      </rPr>
      <t>Net cash inflow / (outflow) from operating activities</t>
    </r>
  </si>
  <si>
    <r>
      <rPr>
        <b/>
        <sz val="7"/>
        <color rgb="FF0F172E"/>
        <rFont val="Arial"/>
        <family val="2"/>
      </rPr>
      <t>Cash flows from investing activities</t>
    </r>
  </si>
  <si>
    <r>
      <rPr>
        <sz val="7"/>
        <color rgb="FF0F172E"/>
        <rFont val="Arial Black"/>
        <family val="2"/>
      </rPr>
      <t>Payments of contingent consideration</t>
    </r>
  </si>
  <si>
    <r>
      <rPr>
        <sz val="7"/>
        <color rgb="FF0F172E"/>
        <rFont val="Arial Black"/>
        <family val="2"/>
      </rPr>
      <t>Payments for property, plant and equipment</t>
    </r>
  </si>
  <si>
    <r>
      <rPr>
        <sz val="7"/>
        <color rgb="FF0F172E"/>
        <rFont val="Arial Black"/>
        <family val="2"/>
      </rPr>
      <t>Payments for intangible assets</t>
    </r>
  </si>
  <si>
    <r>
      <rPr>
        <sz val="7"/>
        <color rgb="FF0F172E"/>
        <rFont val="Arial Black"/>
        <family val="2"/>
      </rPr>
      <t>Proceeds from sale of property, plant and equipment</t>
    </r>
  </si>
  <si>
    <r>
      <rPr>
        <b/>
        <sz val="7"/>
        <color rgb="FF0F172E"/>
        <rFont val="Arial"/>
        <family val="2"/>
      </rPr>
      <t>Net cash inflow / (outflow) from investing activities</t>
    </r>
  </si>
  <si>
    <r>
      <rPr>
        <b/>
        <sz val="7"/>
        <color rgb="FF0F172E"/>
        <rFont val="Arial"/>
        <family val="2"/>
      </rPr>
      <t>Cash flows from financing activities</t>
    </r>
  </si>
  <si>
    <r>
      <rPr>
        <sz val="7"/>
        <color rgb="FF0F172E"/>
        <rFont val="Arial Black"/>
        <family val="2"/>
      </rPr>
      <t>Proceeds from exercise of share options</t>
    </r>
  </si>
  <si>
    <r>
      <rPr>
        <sz val="7"/>
        <color rgb="FF0F172E"/>
        <rFont val="Arial Black"/>
        <family val="2"/>
      </rPr>
      <t>Repayment of finance lease</t>
    </r>
  </si>
  <si>
    <r>
      <rPr>
        <sz val="7"/>
        <color rgb="FF0F172E"/>
        <rFont val="Arial Black"/>
        <family val="2"/>
      </rPr>
      <t>Dividends paid to company's shareholders</t>
    </r>
  </si>
  <si>
    <r>
      <rPr>
        <b/>
        <sz val="7"/>
        <color rgb="FF0F172E"/>
        <rFont val="Arial"/>
        <family val="2"/>
      </rPr>
      <t>Net cash inflow / (outflow) from financing activities</t>
    </r>
  </si>
  <si>
    <r>
      <rPr>
        <b/>
        <sz val="7"/>
        <color rgb="FF0F172E"/>
        <rFont val="Arial"/>
        <family val="2"/>
      </rPr>
      <t>Net increase / (decrease) in cash and cash equivalents</t>
    </r>
  </si>
  <si>
    <r>
      <rPr>
        <sz val="7"/>
        <color rgb="FF0F172E"/>
        <rFont val="Arial Black"/>
        <family val="2"/>
      </rPr>
      <t>Cash and cash equivalents at the beginning of the financial year</t>
    </r>
  </si>
  <si>
    <r>
      <rPr>
        <b/>
        <sz val="7"/>
        <color rgb="FF0F172E"/>
        <rFont val="Arial"/>
        <family val="2"/>
      </rPr>
      <t>Cash and cash equivalents at end of year</t>
    </r>
  </si>
  <si>
    <t>Balance at 1 October 2018</t>
  </si>
  <si>
    <t>Transfer to dividend reserve</t>
  </si>
  <si>
    <t>Balance at 30 September 2019</t>
  </si>
  <si>
    <t>Balance at 1 October 2017</t>
  </si>
  <si>
    <t>Change in accounting policy (AASB15)1</t>
  </si>
  <si>
    <t>Restated Equity balance as at October 2017</t>
  </si>
  <si>
    <t>Notes:</t>
  </si>
  <si>
    <t>1Refer to note 1(a)(ii) for details regarding the restatements for changes in accounting policies on adoption of AASB 15.</t>
  </si>
  <si>
    <t>3 Statement Model</t>
  </si>
  <si>
    <t>Enterprise Value:</t>
  </si>
  <si>
    <t>HISTORICAL RESULTS</t>
  </si>
  <si>
    <t>FORECAST RESULTS</t>
  </si>
  <si>
    <t>ENERGY ONE Limited</t>
  </si>
  <si>
    <t>$/Share:</t>
  </si>
  <si>
    <t>ASSUMPTIONS</t>
  </si>
  <si>
    <t>Income Statement</t>
  </si>
  <si>
    <t>Income tax expense (as a % of EBT)</t>
  </si>
  <si>
    <t>Dividend payout ratio (as a % of net profit)</t>
  </si>
  <si>
    <t>Basic shares outstanding (growth rate %)</t>
  </si>
  <si>
    <t>Diluted shares outstanding (difference to basic in %)</t>
  </si>
  <si>
    <t>Balance Sheet</t>
  </si>
  <si>
    <t>Trade and other receivables</t>
  </si>
  <si>
    <t>Additions - at cost</t>
  </si>
  <si>
    <t>Additions - acquisition</t>
  </si>
  <si>
    <t>Disposals</t>
  </si>
  <si>
    <t>Lease right-of-use asset</t>
  </si>
  <si>
    <t>Software development</t>
  </si>
  <si>
    <t>Intangible assets</t>
  </si>
  <si>
    <t>Trade and other payables</t>
  </si>
  <si>
    <t>Borrowings</t>
  </si>
  <si>
    <t>Provisions</t>
  </si>
  <si>
    <t>Equity:</t>
  </si>
  <si>
    <t>Contributed equity</t>
  </si>
  <si>
    <t>Issue of shares</t>
  </si>
  <si>
    <t>INCOME STATEMENT</t>
  </si>
  <si>
    <t>Other income</t>
  </si>
  <si>
    <t>EBITDA (excluding share based payments)</t>
  </si>
  <si>
    <t>EBITDA Margin</t>
  </si>
  <si>
    <t>EBIT</t>
  </si>
  <si>
    <t>EBIT Margin</t>
  </si>
  <si>
    <t>Income tax expense</t>
  </si>
  <si>
    <t>Net profit margin</t>
  </si>
  <si>
    <t>Net profit growth</t>
  </si>
  <si>
    <t>Basic shares outstanding</t>
  </si>
  <si>
    <t>Diluted shares outstanding</t>
  </si>
  <si>
    <t>Indicative share price</t>
  </si>
  <si>
    <t>BALANCE SHEET</t>
  </si>
  <si>
    <t>Current Assets</t>
  </si>
  <si>
    <t>Cash and cash equivalents</t>
  </si>
  <si>
    <t>Other current assets</t>
  </si>
  <si>
    <t>Current Liabilities</t>
  </si>
  <si>
    <t>Equity</t>
  </si>
  <si>
    <t>Reserves</t>
  </si>
  <si>
    <t>CASH FLOW STATEMENT</t>
  </si>
  <si>
    <t>Profit from ordinary activities after income tax</t>
  </si>
  <si>
    <t>Depreciation and amortisation</t>
  </si>
  <si>
    <t>Proceeds on sale of assets</t>
  </si>
  <si>
    <t>Employee option and share rights expense</t>
  </si>
  <si>
    <t>Share based payments ‐ exercised in the period</t>
  </si>
  <si>
    <t>Foreign exchange reserves</t>
  </si>
  <si>
    <t>Changes in assets and liabilities, net of the effects of purchase and disposal of subsidiaries :</t>
  </si>
  <si>
    <t>Payments for software development costs</t>
  </si>
  <si>
    <t>SUPPORTING SCHEDULES</t>
  </si>
  <si>
    <t>Property, Plant &amp; Equipment</t>
  </si>
  <si>
    <t>Opening balance</t>
  </si>
  <si>
    <t>Closing balance</t>
  </si>
  <si>
    <t>Cost</t>
  </si>
  <si>
    <t>Accumulated Amortization</t>
  </si>
  <si>
    <t>Amortization</t>
  </si>
  <si>
    <t>Current lease liability</t>
  </si>
  <si>
    <t>Non-current lease liability</t>
  </si>
  <si>
    <t xml:space="preserve">Interest expense </t>
  </si>
  <si>
    <t>Interest rate (implicit on lease liabilities)</t>
  </si>
  <si>
    <t>Additions</t>
  </si>
  <si>
    <t>Goodwill:</t>
  </si>
  <si>
    <t>Intangible asset balance</t>
  </si>
  <si>
    <t>Shares vested (from share based payments)</t>
  </si>
  <si>
    <t>Share base payments</t>
  </si>
  <si>
    <t>Shares vested</t>
  </si>
  <si>
    <t>VALUATION</t>
  </si>
  <si>
    <t>Free Cash Flow to the Firm (FCFF):</t>
  </si>
  <si>
    <t>Operating Profit (EBIT)</t>
  </si>
  <si>
    <t>Unlevered Taxes</t>
  </si>
  <si>
    <t>Net Operating Profit After-Tax (NOPAT)</t>
  </si>
  <si>
    <t>Plus Depreciation &amp; Amortization</t>
  </si>
  <si>
    <t>Plus Other Non-Cash Charges</t>
  </si>
  <si>
    <t>Minus Capex</t>
  </si>
  <si>
    <t>Plus Changes in NWC</t>
  </si>
  <si>
    <t>Free Cash Flow to the Firm (FCFF)</t>
  </si>
  <si>
    <t>EBITDA Consolidation</t>
  </si>
  <si>
    <t>EBITDA (including share based payments)</t>
  </si>
  <si>
    <t>Total Revenue</t>
  </si>
  <si>
    <t>Assumptions</t>
  </si>
  <si>
    <t>Tax Rate</t>
  </si>
  <si>
    <t>Discount Rate</t>
  </si>
  <si>
    <t>Perpetural Growth Rate</t>
  </si>
  <si>
    <t>EV/EBITDA Mulltiple</t>
  </si>
  <si>
    <t>Current Price</t>
  </si>
  <si>
    <t>Shares Outstanding</t>
  </si>
  <si>
    <t>Terminal Value &gt;&gt;&gt; Button/List</t>
  </si>
  <si>
    <t>EV/EBITDA</t>
  </si>
  <si>
    <t>Discounted Cash Flow</t>
  </si>
  <si>
    <t>Entry</t>
  </si>
  <si>
    <t>Terminal</t>
  </si>
  <si>
    <t>Terminal Value</t>
  </si>
  <si>
    <t>Date</t>
  </si>
  <si>
    <t>Year Fraction</t>
  </si>
  <si>
    <t>Gordon Growth</t>
  </si>
  <si>
    <t>IRR FCFF</t>
  </si>
  <si>
    <t>Intrinsic Value</t>
  </si>
  <si>
    <t>Rate of Return</t>
  </si>
  <si>
    <t>Enterprise Value</t>
  </si>
  <si>
    <t>Market Cap</t>
  </si>
  <si>
    <t>Plus Cash</t>
  </si>
  <si>
    <t>Plus Debt</t>
  </si>
  <si>
    <t>Target Price</t>
  </si>
  <si>
    <t>Less Debt</t>
  </si>
  <si>
    <t>Less Cash</t>
  </si>
  <si>
    <t>Target Price Upside</t>
  </si>
  <si>
    <t>IRR</t>
  </si>
  <si>
    <t>Equity Value/Per Share</t>
  </si>
  <si>
    <t>Revenue</t>
  </si>
  <si>
    <t>$/Share</t>
  </si>
  <si>
    <t>Sales revenue</t>
  </si>
  <si>
    <t>Software licence fees</t>
  </si>
  <si>
    <t>Implementation and consulting services</t>
  </si>
  <si>
    <t>Post sales customer support</t>
  </si>
  <si>
    <t>Project services</t>
  </si>
  <si>
    <t>Cloud service fees</t>
  </si>
  <si>
    <t>Rents and sub-lease rentals</t>
  </si>
  <si>
    <t>Interest received - cash</t>
  </si>
  <si>
    <t>Product modifications</t>
  </si>
  <si>
    <t>Other</t>
  </si>
  <si>
    <t>Total other income</t>
  </si>
  <si>
    <t>2017
$’000</t>
  </si>
  <si>
    <t>2018
$’000</t>
  </si>
  <si>
    <t>2019
$’000</t>
  </si>
  <si>
    <t>2020
$’000</t>
  </si>
  <si>
    <t>Forecast Results</t>
  </si>
  <si>
    <t>2021E</t>
  </si>
  <si>
    <t>2022E</t>
  </si>
  <si>
    <t>2023E</t>
  </si>
  <si>
    <t>2024E</t>
  </si>
  <si>
    <t>2025E</t>
  </si>
  <si>
    <t xml:space="preserve">Total Revenue </t>
  </si>
  <si>
    <t>Depreciation:</t>
  </si>
  <si>
    <t>Total amortisation</t>
  </si>
  <si>
    <t xml:space="preserve">Total Depreciation and Amortization </t>
  </si>
  <si>
    <t xml:space="preserve"> Plant and equipment</t>
  </si>
  <si>
    <t>Leased office furniture &amp; equipment</t>
  </si>
  <si>
    <t>Net Profit After Tax (NPAT)</t>
  </si>
  <si>
    <t>Diluted earnings per share (Cents)</t>
  </si>
  <si>
    <t>Basic earnings per share (Cents)</t>
  </si>
  <si>
    <t xml:space="preserve">Options </t>
  </si>
  <si>
    <t>Total non-current assets</t>
  </si>
  <si>
    <t>Total current assets</t>
  </si>
  <si>
    <r>
      <rPr>
        <b/>
        <sz val="9"/>
        <color rgb="FF363542"/>
        <rFont val="Calibri"/>
        <family val="2"/>
      </rPr>
      <t>Total assets</t>
    </r>
  </si>
  <si>
    <t>Total current liabilities</t>
  </si>
  <si>
    <t>Total liabilities</t>
  </si>
  <si>
    <r>
      <rPr>
        <b/>
        <sz val="9"/>
        <color rgb="FF363542"/>
        <rFont val="Calibri"/>
        <family val="2"/>
      </rPr>
      <t>Net assets</t>
    </r>
  </si>
  <si>
    <t xml:space="preserve">Balance Sheet Check </t>
  </si>
  <si>
    <t>Net cash inflow/ (outflow) from operating activities</t>
  </si>
  <si>
    <t>Net cash inflow / (outflow) from investing activities</t>
  </si>
  <si>
    <t>Net cash inflow / (outflow) from financing activities</t>
  </si>
  <si>
    <t>Cash and cash equivalents at end of year</t>
  </si>
  <si>
    <t>Opening net book amount</t>
  </si>
  <si>
    <t>Depreciation charge</t>
  </si>
  <si>
    <t>Exchange differences</t>
  </si>
  <si>
    <t xml:space="preserve">Additions </t>
  </si>
  <si>
    <t>Make good movement</t>
  </si>
  <si>
    <t>Transfers</t>
  </si>
  <si>
    <t>Acquisition of Subsidiary</t>
  </si>
  <si>
    <t>Amortization:</t>
  </si>
  <si>
    <t>Closing net book amount</t>
  </si>
  <si>
    <t>Intellectual property/Source code</t>
  </si>
  <si>
    <t>TechnologyOne Limited</t>
  </si>
  <si>
    <t>Customer Contracts:</t>
  </si>
  <si>
    <t>Additions - acquisions</t>
  </si>
  <si>
    <t>Amortisation charge</t>
  </si>
  <si>
    <t>Total Sales Revenue</t>
  </si>
  <si>
    <t>Amortization of Intellectual property/Source code</t>
  </si>
  <si>
    <t>Amortization - Balancing value</t>
  </si>
  <si>
    <t xml:space="preserve"> Depreciation of AASB 16 right-of-use assets</t>
  </si>
  <si>
    <t>Total depreciation</t>
  </si>
  <si>
    <t>Saas Fees</t>
  </si>
  <si>
    <t>On premise Initial License fees</t>
  </si>
  <si>
    <t>On premise Annual License fees</t>
  </si>
  <si>
    <t>Consulting fees</t>
  </si>
  <si>
    <t>Contract acquisition costs</t>
  </si>
  <si>
    <t>Current tax assets</t>
  </si>
  <si>
    <t>Contract assets</t>
  </si>
  <si>
    <t>Capitalised development</t>
  </si>
  <si>
    <t>Right-of-use assets</t>
  </si>
  <si>
    <t>Prepaid subscription revenue</t>
  </si>
  <si>
    <t>Lease liability</t>
  </si>
  <si>
    <r>
      <rPr>
        <b/>
        <sz val="9"/>
        <color rgb="FF363542"/>
        <rFont val="Calibri"/>
        <family val="2"/>
      </rPr>
      <t>Total non-current liabilities</t>
    </r>
  </si>
  <si>
    <r>
      <rPr>
        <b/>
        <sz val="9"/>
        <color rgb="FF363542"/>
        <rFont val="Calibri"/>
        <family val="2"/>
      </rPr>
      <t>Total equity</t>
    </r>
  </si>
  <si>
    <t>Depreciation &amp; amortisation</t>
  </si>
  <si>
    <t>Sales revenue growth</t>
  </si>
  <si>
    <t>Other income (% of Sales revenue)</t>
  </si>
  <si>
    <t>Variable costs (% of Total revenue)</t>
  </si>
  <si>
    <t>Variable customer cloud costs (% of Total revenue)</t>
  </si>
  <si>
    <t>Corporate costs (% of Total revenue)</t>
  </si>
  <si>
    <t xml:space="preserve">Occupancy costs </t>
  </si>
  <si>
    <t>Computer &amp; communication costs  (% of Total revenue)</t>
  </si>
  <si>
    <t>Marketing costs  (% of Total revenue)</t>
  </si>
  <si>
    <t>Employee costs  (% of Total revenue)</t>
  </si>
  <si>
    <t>Share-based  payments  (% of Total revenue)</t>
  </si>
  <si>
    <t>Finance expense  (% of Total revenue)</t>
  </si>
  <si>
    <t>Scenario Analysis</t>
  </si>
  <si>
    <t>Case selection:</t>
  </si>
  <si>
    <t>Description</t>
  </si>
  <si>
    <t>No.</t>
  </si>
  <si>
    <t>Live case</t>
  </si>
  <si>
    <t>Bull</t>
  </si>
  <si>
    <t>Bear</t>
  </si>
  <si>
    <t>LIVE CASE</t>
  </si>
  <si>
    <t>ORIGINAL ASSUMPTIONS</t>
  </si>
  <si>
    <t>BULL CASE</t>
  </si>
  <si>
    <t>BEAR CASE</t>
  </si>
  <si>
    <t>Prepayments</t>
  </si>
  <si>
    <t>Earned and unbilled revenue</t>
  </si>
  <si>
    <t>Deferred tax assets</t>
  </si>
  <si>
    <t>Current tax liabilities</t>
  </si>
  <si>
    <t>Unearned revenue</t>
  </si>
  <si>
    <t>Other non-current liabilities</t>
  </si>
  <si>
    <t>Current assets:</t>
  </si>
  <si>
    <t>Non-current assets:</t>
  </si>
  <si>
    <t>Current liabilities:</t>
  </si>
  <si>
    <t>Non-current liabilities:</t>
  </si>
  <si>
    <t>Prepayments (as % of Total sales revenue)</t>
  </si>
  <si>
    <t>Trade and other receivables (as % of Total sales revenue)</t>
  </si>
  <si>
    <t>Non-current assets</t>
  </si>
  <si>
    <t>Lease liability (as % of Total lease liability)</t>
  </si>
  <si>
    <t>Lease liability  (as % of Total lease liability)</t>
  </si>
  <si>
    <t>-</t>
  </si>
  <si>
    <t>Impairment</t>
  </si>
  <si>
    <t>Exchange difference</t>
  </si>
  <si>
    <t>Contract acquisition costs:</t>
  </si>
  <si>
    <t>Transfers to software - in use</t>
  </si>
  <si>
    <t>Software under development:</t>
  </si>
  <si>
    <t>Software in use:</t>
  </si>
  <si>
    <t>Capitalised Development</t>
  </si>
  <si>
    <t>Contract acquisition costs balance</t>
  </si>
  <si>
    <t>Depreciation as % of Opening Balance</t>
  </si>
  <si>
    <t>Assets</t>
  </si>
  <si>
    <t>Non-current Liabilities</t>
  </si>
  <si>
    <t>Amortisation charge as % of average of beginning and ending balance</t>
  </si>
  <si>
    <t>Amortisation charge as % of opening balance</t>
  </si>
  <si>
    <t>Div reserve</t>
  </si>
  <si>
    <t>FX translation</t>
  </si>
  <si>
    <t>WACC Analysis</t>
  </si>
  <si>
    <t>Energy One Limited</t>
  </si>
  <si>
    <t>BETA CALCULATION</t>
  </si>
  <si>
    <t>Tax Rate (5-Year Average)</t>
  </si>
  <si>
    <t>Ticker</t>
  </si>
  <si>
    <t>Name</t>
  </si>
  <si>
    <t>5yr Average Tax Rate</t>
  </si>
  <si>
    <t>Levered Beta</t>
  </si>
  <si>
    <t>Total Debt</t>
  </si>
  <si>
    <t>Mkt. Val. Equity</t>
  </si>
  <si>
    <t>Pref Equity</t>
  </si>
  <si>
    <t>Debt/Equity</t>
  </si>
  <si>
    <t>Pref/Equity</t>
  </si>
  <si>
    <t>Unlevered Beta</t>
  </si>
  <si>
    <t>Size Premium</t>
  </si>
  <si>
    <t>Cost of Debt:</t>
  </si>
  <si>
    <t>Average</t>
  </si>
  <si>
    <t>Average Coupon of last 5 issued Bonds</t>
  </si>
  <si>
    <t>Average Unlevered Beta for Comps</t>
  </si>
  <si>
    <t>Comparable Corporate Yield Curve Rate</t>
  </si>
  <si>
    <t>WACC</t>
  </si>
  <si>
    <t>Energy One Capital Structure Information</t>
  </si>
  <si>
    <t>Market Risk Premium (Rm - Rf)</t>
  </si>
  <si>
    <t>Risk-Free Rate</t>
  </si>
  <si>
    <t>Cost of Equity</t>
  </si>
  <si>
    <t>Cost of Equity Portion</t>
  </si>
  <si>
    <t>Fin Model Cost of Debt</t>
  </si>
  <si>
    <t>5-yr Average Tax Rate</t>
  </si>
  <si>
    <t>After-Tax Cost of Debt</t>
  </si>
  <si>
    <t>Cost of Debt Portion</t>
  </si>
  <si>
    <t>Cost of Preferred</t>
  </si>
  <si>
    <t>Cost of Preferred Portion</t>
  </si>
  <si>
    <t>ASX: TNE D/(D+P+E)</t>
  </si>
  <si>
    <t>ASX: TNE D/E</t>
  </si>
  <si>
    <t>ASX: TNE P/E</t>
  </si>
  <si>
    <t>ASX: TNE Cost of Preferred</t>
  </si>
  <si>
    <t>ASX: TNE E/(D+P+E)</t>
  </si>
  <si>
    <t>ASX: TNE P/(D+P+E)</t>
  </si>
  <si>
    <t>ASX: TNE Bottom-Up Beta</t>
  </si>
  <si>
    <t>ASX: TNE Levered Beta</t>
  </si>
  <si>
    <t>Payments of contingent consideration</t>
  </si>
  <si>
    <t>Payments for intangible assets</t>
  </si>
  <si>
    <t>Trade and other payables  (as % of Total revenue)</t>
  </si>
  <si>
    <t>Prepaid subscription revenue  (as % of Total revenue)</t>
  </si>
  <si>
    <t>Unearned revenue  (as % of Total revenue)</t>
  </si>
  <si>
    <t>Contract acquisition costs (as % of Total acquisition cost)</t>
  </si>
  <si>
    <t>Provisions (as % of employee cost)</t>
  </si>
  <si>
    <t>Comparables Analysis</t>
  </si>
  <si>
    <t>(in Millions except per share data)</t>
  </si>
  <si>
    <t>Market Inputs</t>
  </si>
  <si>
    <t>Company name</t>
  </si>
  <si>
    <t>Share data 000's</t>
  </si>
  <si>
    <t>Basic share outstanding</t>
  </si>
  <si>
    <t>Financials</t>
  </si>
  <si>
    <t>Pretax income</t>
  </si>
  <si>
    <t>Net income</t>
  </si>
  <si>
    <t>Diluted EPS</t>
  </si>
  <si>
    <t>Other data</t>
  </si>
  <si>
    <t>EBITDA</t>
  </si>
  <si>
    <t>P/E</t>
  </si>
  <si>
    <t>Exercise of options</t>
  </si>
  <si>
    <t>TTM</t>
  </si>
  <si>
    <t>MEAN</t>
  </si>
  <si>
    <t>MEDIAN</t>
  </si>
  <si>
    <t>WISETECH GLOBAL LTD</t>
  </si>
  <si>
    <t>WTC.AX</t>
  </si>
  <si>
    <t>ALTIUM LTD</t>
  </si>
  <si>
    <t>ALU.AX</t>
  </si>
  <si>
    <t>APPEN LTD</t>
  </si>
  <si>
    <t>APX.AX</t>
  </si>
  <si>
    <t>Gross Profit</t>
  </si>
  <si>
    <t>D&amp;A</t>
  </si>
  <si>
    <t>Altium Ltd</t>
  </si>
  <si>
    <t xml:space="preserve">WiseTech Global Ltd </t>
  </si>
  <si>
    <t>Appen Ltd</t>
  </si>
  <si>
    <t>31-Dec-2019 </t>
  </si>
  <si>
    <t>30-Jun-2020 </t>
  </si>
  <si>
    <t>Less: Cost of Revenue</t>
  </si>
  <si>
    <t>Less: SG&amp;A expense</t>
  </si>
  <si>
    <t>Less: R&amp;D expense</t>
  </si>
  <si>
    <t>Less: Unusual Expense (Income)</t>
  </si>
  <si>
    <t>Less: Other Operating Expenses</t>
  </si>
  <si>
    <t>Less: Provision for income taxes</t>
  </si>
  <si>
    <t>Less: Interest Expense</t>
  </si>
  <si>
    <t>Plus: Other non-operating income (expense)</t>
  </si>
  <si>
    <t>Plus: Interest/Invest Income (expense)</t>
  </si>
  <si>
    <t>Less: D&amp;A</t>
  </si>
  <si>
    <t>TTM Standardised in Thousands of Australian Dollars</t>
  </si>
  <si>
    <t>Plus: Interest/Investment Income (expense) - Operating</t>
  </si>
  <si>
    <t xml:space="preserve">TTM </t>
  </si>
  <si>
    <t>EPS</t>
  </si>
  <si>
    <t>TNE.AX</t>
  </si>
  <si>
    <t>Balance sheet data</t>
  </si>
  <si>
    <t>ST Debt (including current portion of LT debt)</t>
  </si>
  <si>
    <t>LT Debt</t>
  </si>
  <si>
    <t xml:space="preserve">Noncontrolling interests </t>
  </si>
  <si>
    <t>Preferred stock</t>
  </si>
  <si>
    <t>Gross debt</t>
  </si>
  <si>
    <t>Less: Cash &amp; cash equivalents</t>
  </si>
  <si>
    <t>Net debt</t>
  </si>
  <si>
    <t>Multiples</t>
  </si>
  <si>
    <t>MARKET VALUATION</t>
  </si>
  <si>
    <t>Share price</t>
  </si>
  <si>
    <t>Date of latest filing</t>
  </si>
  <si>
    <t>Date of latest fiscal year end</t>
  </si>
  <si>
    <t>31-Dec-2020 </t>
  </si>
  <si>
    <t>Equity Value * 1000</t>
  </si>
  <si>
    <t>AverageTax rate calculation</t>
  </si>
  <si>
    <t>Net Income Before Taxes</t>
  </si>
  <si>
    <t>Provision for Income Taxes</t>
  </si>
  <si>
    <t>5y average</t>
  </si>
  <si>
    <t>Tax rate %</t>
  </si>
  <si>
    <t>3y average</t>
  </si>
  <si>
    <t>TNE MIN</t>
  </si>
  <si>
    <t>TNE MAX</t>
  </si>
  <si>
    <t>TNE Cash &amp; Equivalents</t>
  </si>
  <si>
    <t>TNE Debt</t>
  </si>
  <si>
    <t>TNE Minority Interest</t>
  </si>
  <si>
    <t>TNE Equity Value</t>
  </si>
  <si>
    <t>TNE Target Price (Enterprise Value Ratios)</t>
  </si>
  <si>
    <t>TNE Target Price (MIN)</t>
  </si>
  <si>
    <t>TNE Target Price (MAX)</t>
  </si>
  <si>
    <t>Plus: Increase (decrease)</t>
  </si>
  <si>
    <t>Div reserve increase (decrease)</t>
  </si>
  <si>
    <t>Proceeds from exercise of share options</t>
  </si>
  <si>
    <t>Repayment of finance lease</t>
  </si>
  <si>
    <t>Dividends paid to Company's shareholders</t>
  </si>
  <si>
    <t xml:space="preserve">      (Increase)/decrease in trade and other receivables</t>
  </si>
  <si>
    <t xml:space="preserve">      (Increase)/decrease in other assets</t>
  </si>
  <si>
    <t xml:space="preserve">      (Increase)/decrease in deferred tax assets</t>
  </si>
  <si>
    <t xml:space="preserve">      Increase/(decrease) in trade and other payables</t>
  </si>
  <si>
    <t xml:space="preserve">      Increase/(decrease) in lease liabilities</t>
  </si>
  <si>
    <t xml:space="preserve">      Increase/(decrease) in income tax payable</t>
  </si>
  <si>
    <t xml:space="preserve">      Increase/(decrease) in provisions</t>
  </si>
  <si>
    <t xml:space="preserve">      Increase/(decrease) in deferred income                                                                                                      </t>
  </si>
  <si>
    <t xml:space="preserve">Other current assets </t>
  </si>
  <si>
    <t xml:space="preserve">      (Increase)/decrease in prepayments</t>
  </si>
  <si>
    <t>Proceeds from sale of property, plant and equipment</t>
  </si>
  <si>
    <t xml:space="preserve">      Increase/(decrease) in prepaid subscription revenue</t>
  </si>
  <si>
    <t>Financial Data</t>
  </si>
  <si>
    <t>Cash Flow and Cash Balance</t>
  </si>
  <si>
    <t>Valuation</t>
  </si>
  <si>
    <t>Market</t>
  </si>
  <si>
    <t>DCF-Consensus</t>
  </si>
  <si>
    <t>Comps-High</t>
  </si>
  <si>
    <t>Comps-Low</t>
  </si>
  <si>
    <t>Share no.</t>
  </si>
  <si>
    <t>Minority interest</t>
  </si>
  <si>
    <t>Net profit</t>
  </si>
  <si>
    <t>Current Balance Sheet (2020)</t>
  </si>
  <si>
    <t>Forecast Net Profit vs Profit Margin</t>
  </si>
  <si>
    <t>Forecast EBITDA vs EBITDA Margin</t>
  </si>
  <si>
    <t>Original assumption</t>
  </si>
  <si>
    <t>• Profit Before Tax of $37.3m, up 44%</t>
  </si>
  <si>
    <t>• SaaS Annual Recurring Revenue (ARR)1 of $155.8m, up 41%</t>
  </si>
  <si>
    <t>• Revenue from our SaaS and Continuing Business of $140.6m, up 7%</t>
  </si>
  <si>
    <t>• Total Revenue of $144.3m, up 5%</t>
  </si>
  <si>
    <t>• Expenses of $107.4m, down 5%</t>
  </si>
  <si>
    <t>• Cash and Cash Equivalents of $100.1m, up 20% from 31 March 2020</t>
  </si>
  <si>
    <t>• Cash Flow Generation2 of ($2.9m) as expected, and will be strong over the full year</t>
  </si>
  <si>
    <t>• Dividend of 3.82cps, up 10%</t>
  </si>
  <si>
    <t>• R&amp;D expenditure (before capitalisation) of $34.6m, up 14%, which is 24% of revenue</t>
  </si>
  <si>
    <t>Consolidated statement of comprehensive income
For the year ended 30 September 2020</t>
  </si>
  <si>
    <t>Tax Rate:0.23676</t>
  </si>
  <si>
    <r>
      <rPr>
        <b/>
        <sz val="8"/>
        <color rgb="FF0F172E"/>
        <rFont val="Arial"/>
        <family val="2"/>
      </rPr>
      <t>Restated</t>
    </r>
    <r>
      <rPr>
        <b/>
        <vertAlign val="superscript"/>
        <sz val="8"/>
        <color rgb="FF0F172E"/>
        <rFont val="Arial"/>
        <family val="2"/>
      </rPr>
      <t>1</t>
    </r>
  </si>
  <si>
    <r>
      <rPr>
        <b/>
        <sz val="8"/>
        <color rgb="FF0F172E"/>
        <rFont val="Arial"/>
        <family val="2"/>
      </rPr>
      <t>$’000</t>
    </r>
  </si>
  <si>
    <r>
      <rPr>
        <b/>
        <sz val="8"/>
        <color rgb="FF0F172E"/>
        <rFont val="Arial"/>
        <family val="2"/>
      </rPr>
      <t>Cents</t>
    </r>
  </si>
  <si>
    <r>
      <rPr>
        <b/>
        <sz val="8"/>
        <color rgb="FF0F172E"/>
        <rFont val="Arial"/>
        <family val="2"/>
      </rPr>
      <t>2019
$’000</t>
    </r>
  </si>
  <si>
    <t>Consolidated Statement of changesin equity as at 30 September 2020</t>
  </si>
  <si>
    <t>Balance at 1 October 2019</t>
  </si>
  <si>
    <t>AASB 16 opening adjustment</t>
  </si>
  <si>
    <t>1(a)</t>
  </si>
  <si>
    <t>Adjusted opening balance</t>
  </si>
  <si>
    <t>Exchange differences on translation of foreign operations</t>
  </si>
  <si>
    <t>Total comprehensive income for the period</t>
  </si>
  <si>
    <t>Balance at 30 September 2020</t>
  </si>
  <si>
    <r>
      <rPr>
        <sz val="7"/>
        <color rgb="FF0F162E"/>
        <rFont val="Arial"/>
        <family val="2"/>
      </rPr>
      <t>Profit for the period</t>
    </r>
  </si>
  <si>
    <r>
      <rPr>
        <sz val="7"/>
        <color rgb="FF0F162E"/>
        <rFont val="Arial"/>
        <family val="2"/>
      </rPr>
      <t>Dividends paid</t>
    </r>
  </si>
  <si>
    <r>
      <rPr>
        <sz val="7"/>
        <color rgb="FF0F162E"/>
        <rFont val="Arial"/>
        <family val="2"/>
      </rPr>
      <t>Exercise of share options</t>
    </r>
  </si>
  <si>
    <r>
      <rPr>
        <sz val="7"/>
        <color rgb="FF0F162E"/>
        <rFont val="Arial"/>
        <family val="2"/>
      </rPr>
      <t>Share based payments</t>
    </r>
  </si>
  <si>
    <r>
      <rPr>
        <sz val="7"/>
        <color rgb="FF0F162E"/>
        <rFont val="Arial"/>
        <family val="2"/>
      </rPr>
      <t>Tax impact of share trust</t>
    </r>
  </si>
  <si>
    <t>H1 FY 2021</t>
  </si>
  <si>
    <t>up 48%</t>
  </si>
  <si>
    <t>up 44%</t>
  </si>
  <si>
    <t>up 5%</t>
  </si>
  <si>
    <t>Down 5%</t>
  </si>
  <si>
    <t>up 20% from 31 March 2020</t>
  </si>
  <si>
    <r>
      <rPr>
        <b/>
        <sz val="13"/>
        <color rgb="FF00B5D0"/>
        <rFont val="Arial"/>
        <family val="2"/>
      </rPr>
      <t>Consolidated statement of cash flows For</t>
    </r>
    <r>
      <rPr>
        <b/>
        <sz val="8"/>
        <color rgb="FF0F172E"/>
        <rFont val="Arial"/>
        <family val="2"/>
      </rPr>
      <t xml:space="preserve"> the year ended 30 September 2020</t>
    </r>
  </si>
  <si>
    <t>Financial Statements Consolidated income statement For the year ended 30 September 2020</t>
  </si>
  <si>
    <t>Consolidated statement of financial position as at 30 September 2020</t>
  </si>
  <si>
    <t>• Profit After Tax of $28.2m, up 48%</t>
  </si>
  <si>
    <t>Consolidated statement of financial position as at 30 September H1 2021</t>
  </si>
  <si>
    <r>
      <rPr>
        <b/>
        <sz val="13"/>
        <color rgb="FF00B5D0"/>
        <rFont val="Arial"/>
        <family val="2"/>
      </rPr>
      <t>Consolidated statement of cash flows For</t>
    </r>
    <r>
      <rPr>
        <b/>
        <sz val="8"/>
        <color rgb="FF0F172E"/>
        <rFont val="Arial"/>
        <family val="2"/>
      </rPr>
      <t xml:space="preserve"> H1  2021</t>
    </r>
  </si>
  <si>
    <t>SAP SE</t>
  </si>
  <si>
    <t xml:space="preserve">Energy One </t>
  </si>
  <si>
    <t xml:space="preserve">NEXTDC Limited </t>
  </si>
  <si>
    <t>NXT.AX</t>
  </si>
  <si>
    <t>TEAM</t>
  </si>
  <si>
    <t>EOL.AX</t>
  </si>
  <si>
    <t>Share price on current date</t>
  </si>
  <si>
    <t>Exchange rate on date</t>
  </si>
  <si>
    <t>Share price on AUD</t>
  </si>
  <si>
    <t>Share price date</t>
  </si>
  <si>
    <t>07/16/2021</t>
  </si>
  <si>
    <t>Links:</t>
  </si>
  <si>
    <t>https://au.finance.yahoo.com/quote/WTC.AX/financials?p=WTC.AX</t>
  </si>
  <si>
    <t>https://au.finance.yahoo.com/quote/ALU.AX/financials?p=ALU.AX</t>
  </si>
  <si>
    <t>https://au.finance.yahoo.com/quote/APX.AX/financials?p=APX.AX</t>
  </si>
  <si>
    <t>https://au.finance.yahoo.com/quote/SAP/financials?p=SAP</t>
  </si>
  <si>
    <t>https://au.finance.yahoo.com/quote/NXT.AX/profile?p=NXT.AX</t>
  </si>
  <si>
    <t>https://au.finance.yahoo.com/quote/EOL.AX/financials?p=EOL.AX</t>
  </si>
  <si>
    <t>Code:</t>
  </si>
  <si>
    <t>29-Jun-2020 </t>
  </si>
  <si>
    <t>LATEST QUARTERS AFTER FISCAL YEAR</t>
  </si>
  <si>
    <t>Revenues</t>
  </si>
  <si>
    <t>Less: COGS</t>
  </si>
  <si>
    <t>Gross profit</t>
  </si>
  <si>
    <t>Less: SG&amp;A</t>
  </si>
  <si>
    <t>Less: Other expenses</t>
  </si>
  <si>
    <t>Less: Interest expense</t>
  </si>
  <si>
    <t>Plus: Non-operating income</t>
  </si>
  <si>
    <t>Less: Non-operating expense</t>
  </si>
  <si>
    <t>Less: Taxes/(benefit)</t>
  </si>
  <si>
    <t>Depreciation &amp; Amortization</t>
  </si>
  <si>
    <t>LAST TWELVE MONTHS</t>
  </si>
  <si>
    <t>LTM Ending date:</t>
  </si>
  <si>
    <t>Revenues - LTM</t>
  </si>
  <si>
    <t>EBITDA - LTM</t>
  </si>
  <si>
    <t>EBIT - LTM</t>
  </si>
  <si>
    <t>EPS - LTM</t>
  </si>
  <si>
    <t>LAST FISCAL YEAR</t>
  </si>
  <si>
    <t>Year ending date:</t>
  </si>
  <si>
    <t>Last twelve months (LTM)</t>
  </si>
  <si>
    <t>EV/Revenue</t>
  </si>
  <si>
    <t>EV/EBIT</t>
  </si>
  <si>
    <t>Share price (As of 16/07/2021)</t>
  </si>
  <si>
    <t>Market capitalization USD</t>
  </si>
  <si>
    <t>Market capitalization AUD</t>
  </si>
  <si>
    <t>LAST TWELVE MONTHS(,000)</t>
  </si>
  <si>
    <t>2015
$’000</t>
  </si>
  <si>
    <t>2016
$’000</t>
  </si>
  <si>
    <t xml:space="preserve">Dividend Decleared </t>
  </si>
  <si>
    <t>Cash flows from financing activities:</t>
  </si>
  <si>
    <t>Cash flows from investing activities:</t>
  </si>
  <si>
    <t>Cash flows from operating activities:</t>
  </si>
  <si>
    <t>Avg Tax:</t>
  </si>
  <si>
    <t>https://finbox.com/NASDAQGS:TEAM/explorer/beta</t>
  </si>
  <si>
    <t>Atlassian Beta (5 Year) Benchmarks</t>
  </si>
  <si>
    <t>Beta (5 Year)</t>
  </si>
  <si>
    <t>NASDAQGS:TEAM</t>
  </si>
  <si>
    <t>Dropbox, Inc.</t>
  </si>
  <si>
    <t>NASDAQGS:DBX</t>
  </si>
  <si>
    <t>ServiceNow, Inc.</t>
  </si>
  <si>
    <t>NYSE:NOW</t>
  </si>
  <si>
    <t>VMware, Inc</t>
  </si>
  <si>
    <t>NYSE:VMW</t>
  </si>
  <si>
    <t>SolarWinds Corporation</t>
  </si>
  <si>
    <t>NYSE:SWI</t>
  </si>
  <si>
    <t>Information Technology</t>
  </si>
  <si>
    <t>SECTOR:IT.AU</t>
  </si>
  <si>
    <t>CrowdStrike Holdings, Inc.</t>
  </si>
  <si>
    <t>NASDAQGS:CRWD</t>
  </si>
  <si>
    <t>Zendesk, Inc.</t>
  </si>
  <si>
    <t>NYSE:ZEN</t>
  </si>
  <si>
    <t>Splunk Inc.</t>
  </si>
  <si>
    <t>NASDAQGS:SPLK</t>
  </si>
  <si>
    <t>Anaplan, Inc.</t>
  </si>
  <si>
    <t>NYSE:PLAN</t>
  </si>
  <si>
    <t>https://www.zacks.com/stock/chart/TEAM/fundamental/beta</t>
  </si>
  <si>
    <t>Financial Model Calc:</t>
  </si>
  <si>
    <t>http://www.worldgovernmentbonds.com/bond-historical-data/australia/10-years/#:~:text=The%20Australia%2010%20Years%20Government,%3A15%20GMT%2B0).</t>
  </si>
  <si>
    <t>Firm value</t>
  </si>
  <si>
    <t>Equity vale</t>
  </si>
  <si>
    <t>FCFE</t>
  </si>
  <si>
    <t>Market Value 2020</t>
  </si>
  <si>
    <t>EBITDA Growth Rate:</t>
  </si>
  <si>
    <t>Sensitivity Analyses:</t>
  </si>
  <si>
    <t>Weighted Average Cost of Capital (WACC):</t>
  </si>
  <si>
    <t>Terminal EV / EBITDA Multiple (Terminal Value Calculated Using the Multiples Method):</t>
  </si>
  <si>
    <t>Present Unlevered FCFF</t>
  </si>
  <si>
    <t>Internal Rate of Return (IRR)</t>
  </si>
  <si>
    <t>Market Enterprise Value</t>
  </si>
  <si>
    <t>Exit Mulltiple</t>
  </si>
  <si>
    <t>Intrinsic value per share ($)</t>
  </si>
  <si>
    <t>Employee Expense</t>
  </si>
  <si>
    <t>Change</t>
  </si>
  <si>
    <t>Assumption</t>
  </si>
  <si>
    <t>-10% Δ</t>
  </si>
  <si>
    <t>+10% Δ</t>
  </si>
  <si>
    <t>Rank</t>
  </si>
  <si>
    <t>ABS</t>
  </si>
  <si>
    <t>Output</t>
  </si>
  <si>
    <t>Driver</t>
  </si>
  <si>
    <t>Pos</t>
  </si>
  <si>
    <t>Neg</t>
  </si>
  <si>
    <t>Income statement:</t>
  </si>
  <si>
    <t xml:space="preserve">Revenue Growth </t>
  </si>
  <si>
    <t xml:space="preserve">EBITDA </t>
  </si>
  <si>
    <t xml:space="preserve">EBITDA Margin </t>
  </si>
  <si>
    <t>Net profit Margin</t>
  </si>
  <si>
    <t xml:space="preserve">Earnings Growth </t>
  </si>
  <si>
    <t>Earnings Growth (YoY)</t>
  </si>
  <si>
    <t xml:space="preserve">Total Assets </t>
  </si>
  <si>
    <t>Total Equity</t>
  </si>
  <si>
    <t>Total Liabilities</t>
  </si>
  <si>
    <t>Operating Cash Flows</t>
  </si>
  <si>
    <t>Investing Cash Flows</t>
  </si>
  <si>
    <t>Financing Cash Flows</t>
  </si>
  <si>
    <t>Cash Balance</t>
  </si>
  <si>
    <t>Balance Sheet:</t>
  </si>
  <si>
    <t>Cash Flow Statement:</t>
  </si>
  <si>
    <t>Notes: Link A Textbox To Specific Cell In Excel</t>
  </si>
  <si>
    <r>
      <t>Step 2: While text box is selected put your cursor in the formula bar, type in </t>
    </r>
    <r>
      <rPr>
        <b/>
        <sz val="12"/>
        <color theme="0"/>
        <rFont val="Arial"/>
        <family val="2"/>
      </rPr>
      <t>=</t>
    </r>
    <r>
      <rPr>
        <sz val="12"/>
        <color theme="0"/>
        <rFont val="Arial"/>
        <family val="2"/>
      </rPr>
      <t> symbol and then click on the cell you want to link to, and finally press the </t>
    </r>
    <r>
      <rPr>
        <b/>
        <sz val="12"/>
        <color theme="0"/>
        <rFont val="Arial"/>
        <family val="2"/>
      </rPr>
      <t>Enter</t>
    </r>
    <r>
      <rPr>
        <sz val="12"/>
        <color theme="0"/>
        <rFont val="Arial"/>
        <family val="2"/>
      </rPr>
      <t> key. See screenshot</t>
    </r>
  </si>
  <si>
    <t>Series Function: Alt +F1</t>
  </si>
  <si>
    <r>
      <t>Step 1: Click the </t>
    </r>
    <r>
      <rPr>
        <sz val="12"/>
        <color theme="0"/>
        <rFont val="Arial"/>
        <family val="2"/>
      </rPr>
      <t>Text Box button under Insert tab, and insert a textbox in your worksheet</t>
    </r>
  </si>
  <si>
    <t>DCF -Bull</t>
  </si>
  <si>
    <t>DCF -Bear</t>
  </si>
  <si>
    <t>Year</t>
  </si>
  <si>
    <t>`</t>
  </si>
  <si>
    <t>Tax Rate:23.676%</t>
  </si>
  <si>
    <t xml:space="preserve">Risk-Free Rate of Return (Rf) - 5 y=Years Govt Bond Yield </t>
  </si>
  <si>
    <t>ASX: 5-Yr Return on Market, Information Technology Index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</si>
</sst>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0_);\(0\)"/>
    <numFmt numFmtId="166" formatCode="_-* #,##0_-;\(#,##0\)_-;_-* &quot;-&quot;_-;_-@_-"/>
    <numFmt numFmtId="167" formatCode="&quot;$&quot;#,##0.00"/>
    <numFmt numFmtId="168" formatCode="0&quot;E&quot;"/>
    <numFmt numFmtId="169" formatCode="#,##0;\(#,##0\);&quot;-&quot;"/>
    <numFmt numFmtId="170" formatCode="0.0%"/>
    <numFmt numFmtId="171" formatCode="0.00\x"/>
    <numFmt numFmtId="172" formatCode="_-* #,##0.00_-;\(#,##0.00\)_-;_-* &quot;-&quot;_-;_-@_-"/>
    <numFmt numFmtId="173" formatCode="0.000%"/>
    <numFmt numFmtId="174" formatCode="_(* #,##0_);_(* \(#,##0\);_(* &quot;-&quot;??_);_(@_)"/>
    <numFmt numFmtId="175" formatCode="#,##0_);\(#,##0\);&quot;-&quot;"/>
    <numFmt numFmtId="176" formatCode="#,##0_);\(#,##0\)"/>
    <numFmt numFmtId="177" formatCode="0.00&quot;x&quot;"/>
    <numFmt numFmtId="178" formatCode="_(* #,##0.0000_);_(* \(#,##0.0000\);_(* &quot;-&quot;??_);_(@_)"/>
    <numFmt numFmtId="179" formatCode="0.000"/>
    <numFmt numFmtId="180" formatCode="&quot;$&quot;#,##0.000"/>
    <numFmt numFmtId="181" formatCode="#,##0.0000000"/>
    <numFmt numFmtId="182" formatCode="#,##0.0000000;\-#,##0.0000000"/>
    <numFmt numFmtId="183" formatCode="0.00000000"/>
    <numFmt numFmtId="184" formatCode="0.000000000000"/>
    <numFmt numFmtId="185" formatCode="\ ;;;"/>
    <numFmt numFmtId="186" formatCode="0.0&quot;x&quot;"/>
    <numFmt numFmtId="187" formatCode=";;;"/>
    <numFmt numFmtId="188" formatCode="&quot;+&quot;0.0%;&quot;-&quot;0.0%;0.0%"/>
    <numFmt numFmtId="189" formatCode="_-* #,##0_-;\-* #,##0_-;_-* &quot;-&quot;??_-;_-@_-"/>
  </numFmts>
  <fonts count="128" x14ac:knownFonts="1">
    <font>
      <sz val="10"/>
      <color rgb="FF000000"/>
      <name val="Times New Roman"/>
      <charset val="204"/>
    </font>
    <font>
      <sz val="10"/>
      <name val="Calibri"/>
      <family val="2"/>
    </font>
    <font>
      <sz val="9"/>
      <name val="Calibri"/>
      <family val="2"/>
    </font>
    <font>
      <sz val="9"/>
      <color rgb="FF44414D"/>
      <name val="Calibri"/>
      <family val="2"/>
    </font>
    <font>
      <i/>
      <sz val="8"/>
      <name val="Calibri"/>
      <family val="2"/>
    </font>
    <font>
      <sz val="13"/>
      <color rgb="FF34B4E8"/>
      <name val="Calibri"/>
      <family val="2"/>
    </font>
    <font>
      <b/>
      <sz val="10"/>
      <color rgb="FF363543"/>
      <name val="Arial Narrow"/>
      <family val="2"/>
    </font>
    <font>
      <sz val="10"/>
      <color rgb="FF363542"/>
      <name val="Calibri"/>
      <family val="2"/>
    </font>
    <font>
      <sz val="9"/>
      <color rgb="FF363542"/>
      <name val="Calibri"/>
      <family val="2"/>
    </font>
    <font>
      <sz val="10"/>
      <color rgb="FF000000"/>
      <name val="Times New Roman"/>
      <family val="1"/>
    </font>
    <font>
      <sz val="9"/>
      <name val="Calibri"/>
      <family val="2"/>
    </font>
    <font>
      <sz val="9"/>
      <color theme="1"/>
      <name val="Calibri"/>
      <family val="2"/>
    </font>
    <font>
      <sz val="13"/>
      <color theme="1"/>
      <name val="Calibri"/>
      <family val="2"/>
    </font>
    <font>
      <b/>
      <sz val="10"/>
      <color theme="1"/>
      <name val="Arial Narrow"/>
      <family val="2"/>
    </font>
    <font>
      <b/>
      <sz val="9"/>
      <name val="Calibri"/>
      <family val="2"/>
    </font>
    <font>
      <b/>
      <sz val="9"/>
      <color rgb="FF363542"/>
      <name val="Calibri"/>
      <family val="2"/>
    </font>
    <font>
      <b/>
      <sz val="9"/>
      <color rgb="FF44414D"/>
      <name val="Calibri"/>
      <family val="2"/>
    </font>
    <font>
      <sz val="8"/>
      <color rgb="FF000000"/>
      <name val="Times New Roman"/>
      <family val="1"/>
    </font>
    <font>
      <sz val="8"/>
      <color rgb="FF0F162E"/>
      <name val="Arial Narrow"/>
      <family val="2"/>
    </font>
    <font>
      <b/>
      <sz val="7"/>
      <color rgb="FF0F162E"/>
      <name val="Arial Narrow"/>
      <family val="2"/>
    </font>
    <font>
      <b/>
      <sz val="7"/>
      <name val="Arial Narrow"/>
      <family val="2"/>
    </font>
    <font>
      <sz val="7"/>
      <name val="Arial Black"/>
      <family val="2"/>
    </font>
    <font>
      <sz val="7"/>
      <color rgb="FF0F162E"/>
      <name val="Arial Black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7"/>
      <color theme="1"/>
      <name val="Calibri"/>
      <family val="2"/>
    </font>
    <font>
      <sz val="10"/>
      <color theme="1"/>
      <name val="Times New Roman"/>
      <family val="1"/>
    </font>
    <font>
      <b/>
      <sz val="7"/>
      <name val="Calibri"/>
      <family val="2"/>
    </font>
    <font>
      <b/>
      <sz val="7"/>
      <color rgb="FF3D3E4A"/>
      <name val="Calibri"/>
      <family val="2"/>
    </font>
    <font>
      <sz val="7"/>
      <name val="Arial Black"/>
      <family val="2"/>
    </font>
    <font>
      <sz val="7"/>
      <color rgb="FF3D3E4A"/>
      <name val="Arial Black"/>
      <family val="2"/>
    </font>
    <font>
      <b/>
      <sz val="7"/>
      <color rgb="FF35B4E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F162E"/>
      <name val="Times New Roman"/>
      <family val="1"/>
    </font>
    <font>
      <b/>
      <sz val="8"/>
      <color rgb="FF0F162E"/>
      <name val="Times New Roman"/>
      <family val="1"/>
    </font>
    <font>
      <b/>
      <sz val="12"/>
      <color rgb="FF0F162E"/>
      <name val="Times New Roman"/>
      <family val="1"/>
    </font>
    <font>
      <sz val="12"/>
      <name val="Times New Roman"/>
      <family val="1"/>
    </font>
    <font>
      <sz val="12"/>
      <color rgb="FF0F162E"/>
      <name val="Times New Roman"/>
      <family val="1"/>
    </font>
    <font>
      <b/>
      <sz val="12"/>
      <name val="Times New Roman"/>
      <family val="1"/>
    </font>
    <font>
      <sz val="8"/>
      <name val="Arial Black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7"/>
      <name val="Arial Narrow"/>
      <family val="2"/>
    </font>
    <font>
      <i/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7"/>
      <color rgb="FF0F172E"/>
      <name val="Arial"/>
      <family val="2"/>
    </font>
    <font>
      <b/>
      <vertAlign val="superscript"/>
      <sz val="4"/>
      <color rgb="FF0F172E"/>
      <name val="Arial"/>
      <family val="2"/>
    </font>
    <font>
      <b/>
      <sz val="7"/>
      <name val="Arial"/>
      <family val="2"/>
    </font>
    <font>
      <sz val="7"/>
      <color rgb="FF0F172E"/>
      <name val="Arial Black"/>
      <family val="2"/>
    </font>
    <font>
      <b/>
      <sz val="10"/>
      <color theme="1"/>
      <name val="Gill Sans MT"/>
      <family val="2"/>
    </font>
    <font>
      <sz val="6"/>
      <color rgb="FF454556"/>
      <name val="Arial Black"/>
      <family val="2"/>
    </font>
    <font>
      <b/>
      <sz val="10"/>
      <color rgb="FF000000"/>
      <name val="Arial"/>
      <family val="2"/>
    </font>
    <font>
      <b/>
      <sz val="13"/>
      <color rgb="FF00B5D0"/>
      <name val="Arial"/>
      <family val="2"/>
    </font>
    <font>
      <b/>
      <sz val="8"/>
      <color rgb="FF0F172E"/>
      <name val="Arial"/>
      <family val="2"/>
    </font>
    <font>
      <b/>
      <sz val="14"/>
      <color theme="4" tint="-0.499984740745262"/>
      <name val="Arial Narrow"/>
      <family val="2"/>
    </font>
    <font>
      <b/>
      <sz val="11"/>
      <color theme="4" tint="-0.499984740745262"/>
      <name val="Arial Narrow"/>
      <family val="2"/>
    </font>
    <font>
      <sz val="11"/>
      <color theme="4" tint="-0.499984740745262"/>
      <name val="Arial Narrow"/>
      <family val="2"/>
    </font>
    <font>
      <sz val="11"/>
      <color theme="1"/>
      <name val="Arial Narrow"/>
      <family val="2"/>
    </font>
    <font>
      <b/>
      <sz val="16"/>
      <color theme="4" tint="-0.499984740745262"/>
      <name val="Arial Narrow"/>
      <family val="2"/>
    </font>
    <font>
      <b/>
      <sz val="16"/>
      <color theme="4" tint="0.39997558519241921"/>
      <name val="Arial Narrow"/>
      <family val="2"/>
    </font>
    <font>
      <b/>
      <sz val="16"/>
      <color theme="4" tint="0.59999389629810485"/>
      <name val="Arial Narrow"/>
      <family val="2"/>
    </font>
    <font>
      <b/>
      <sz val="11"/>
      <color theme="1"/>
      <name val="Arial Narrow"/>
      <family val="2"/>
    </font>
    <font>
      <sz val="11"/>
      <color rgb="FF00B05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color rgb="FF0000FF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b/>
      <sz val="9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363542"/>
      <name val="Times New Roman"/>
      <family val="1"/>
    </font>
    <font>
      <b/>
      <sz val="10"/>
      <color rgb="FF44414D"/>
      <name val="Times New Roman"/>
      <family val="1"/>
    </font>
    <font>
      <sz val="11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FF"/>
      <name val="Calibri"/>
      <family val="2"/>
      <scheme val="minor"/>
    </font>
    <font>
      <sz val="10"/>
      <color rgb="FF0000FF"/>
      <name val="Times New Roman"/>
      <family val="1"/>
    </font>
    <font>
      <sz val="10"/>
      <color rgb="FF00B050"/>
      <name val="Times New Roman"/>
      <family val="1"/>
    </font>
    <font>
      <sz val="10"/>
      <name val="Times New Roman"/>
      <family val="1"/>
    </font>
    <font>
      <i/>
      <sz val="11"/>
      <color rgb="FF000000"/>
      <name val="Arial Narrow"/>
      <family val="2"/>
    </font>
    <font>
      <sz val="11"/>
      <color rgb="FF0070C0"/>
      <name val="Arial Narrow"/>
      <family val="2"/>
    </font>
    <font>
      <sz val="10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0"/>
      <name val="Times New Roman"/>
      <family val="1"/>
    </font>
    <font>
      <sz val="7"/>
      <color rgb="FF0E1036"/>
      <name val="Arial Unicode MS"/>
      <family val="2"/>
    </font>
    <font>
      <sz val="7"/>
      <name val="Arial Unicode MS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b/>
      <vertAlign val="superscript"/>
      <sz val="8"/>
      <color rgb="FF0F172E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color rgb="FF0F172E"/>
      <name val="Arial"/>
      <family val="2"/>
    </font>
    <font>
      <b/>
      <sz val="7"/>
      <color rgb="FF0F162E"/>
      <name val="Arial"/>
      <family val="2"/>
    </font>
    <font>
      <sz val="7"/>
      <color rgb="FF0F162E"/>
      <name val="Arial"/>
      <family val="2"/>
    </font>
    <font>
      <sz val="10"/>
      <color rgb="FF000000"/>
      <name val="Arial"/>
      <family val="2"/>
    </font>
    <font>
      <i/>
      <sz val="11"/>
      <color theme="1"/>
      <name val="Arial Narrow"/>
      <family val="2"/>
    </font>
    <font>
      <b/>
      <sz val="12"/>
      <color theme="1"/>
      <name val="Arial Narrow"/>
      <family val="2"/>
    </font>
    <font>
      <sz val="9"/>
      <color rgb="FF181818"/>
      <name val="Arial"/>
      <family val="2"/>
    </font>
    <font>
      <u/>
      <sz val="10"/>
      <color rgb="FF0070C0"/>
      <name val="Times New Roman"/>
      <family val="1"/>
    </font>
    <font>
      <sz val="10"/>
      <color rgb="FF000000"/>
      <name val="Times New Roman"/>
      <family val="1"/>
    </font>
    <font>
      <sz val="12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11"/>
      <color theme="0"/>
      <name val="Arial Narrow"/>
      <family val="2"/>
    </font>
    <font>
      <sz val="12"/>
      <color theme="0"/>
      <name val="Calibri"/>
      <family val="2"/>
      <scheme val="minor"/>
    </font>
    <font>
      <sz val="12"/>
      <color theme="1"/>
      <name val="Arial Narrow"/>
      <family val="2"/>
    </font>
    <font>
      <sz val="12"/>
      <color rgb="FF0000FF"/>
      <name val="Arial Narrow"/>
      <family val="2"/>
    </font>
    <font>
      <sz val="12"/>
      <name val="Arial Narrow"/>
      <family val="2"/>
    </font>
    <font>
      <b/>
      <sz val="12"/>
      <color theme="4" tint="-0.499984740745262"/>
      <name val="Arial Narrow"/>
      <family val="2"/>
    </font>
    <font>
      <sz val="10"/>
      <color rgb="FF00B050"/>
      <name val="Arial Narrow"/>
      <family val="2"/>
    </font>
    <font>
      <sz val="10"/>
      <color theme="0"/>
      <name val="Times New Roman"/>
      <family val="1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0"/>
      <color rgb="FF0070C0"/>
      <name val="Times New Roman"/>
      <family val="1"/>
    </font>
    <font>
      <sz val="12"/>
      <color theme="0"/>
      <name val="Times New Roman"/>
      <family val="1"/>
    </font>
    <font>
      <sz val="10"/>
      <color rgb="FFFF0000"/>
      <name val="Times New Roman"/>
      <family val="1"/>
    </font>
    <font>
      <b/>
      <sz val="14"/>
      <name val="Arial Narrow"/>
      <family val="2"/>
    </font>
    <font>
      <b/>
      <sz val="14"/>
      <color rgb="FF0F162E"/>
      <name val="Arial Narrow"/>
      <family val="2"/>
    </font>
    <font>
      <b/>
      <sz val="9"/>
      <name val="Arial Narrow"/>
      <family val="2"/>
    </font>
    <font>
      <b/>
      <sz val="9"/>
      <color theme="1"/>
      <name val="Arial Narrow"/>
      <family val="2"/>
    </font>
    <font>
      <b/>
      <sz val="16"/>
      <color theme="1"/>
      <name val="Arial Narrow"/>
      <family val="2"/>
    </font>
    <font>
      <b/>
      <sz val="14"/>
      <color theme="0"/>
      <name val="Arial Narrow"/>
      <family val="2"/>
    </font>
  </fonts>
  <fills count="18">
    <fill>
      <patternFill patternType="none"/>
    </fill>
    <fill>
      <patternFill patternType="gray125"/>
    </fill>
    <fill>
      <patternFill patternType="solid">
        <fgColor rgb="FFD8EBF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6EBF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6EBF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</fills>
  <borders count="112">
    <border>
      <left/>
      <right/>
      <top/>
      <bottom/>
      <diagonal/>
    </border>
    <border>
      <left/>
      <right/>
      <top/>
      <bottom style="thin">
        <color rgb="FF44414D"/>
      </bottom>
      <diagonal/>
    </border>
    <border>
      <left/>
      <right/>
      <top style="thin">
        <color rgb="FF44414D"/>
      </top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44414D"/>
      </top>
      <bottom style="thin">
        <color rgb="FFFFFFFF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rgb="FF44414D"/>
      </bottom>
      <diagonal/>
    </border>
    <border>
      <left/>
      <right style="medium">
        <color auto="1"/>
      </right>
      <top style="medium">
        <color auto="1"/>
      </top>
      <bottom style="thin">
        <color rgb="FF44414D"/>
      </bottom>
      <diagonal/>
    </border>
    <border>
      <left style="medium">
        <color auto="1"/>
      </left>
      <right/>
      <top style="thin">
        <color rgb="FF44414D"/>
      </top>
      <bottom style="thin">
        <color rgb="FFFFFFFF"/>
      </bottom>
      <diagonal/>
    </border>
    <border>
      <left/>
      <right style="medium">
        <color auto="1"/>
      </right>
      <top style="thin">
        <color rgb="FF44414D"/>
      </top>
      <bottom style="thin">
        <color rgb="FFFFFFFF"/>
      </bottom>
      <diagonal/>
    </border>
    <border>
      <left style="medium">
        <color auto="1"/>
      </left>
      <right/>
      <top style="thin">
        <color rgb="FFFFFFFF"/>
      </top>
      <bottom/>
      <diagonal/>
    </border>
    <border>
      <left/>
      <right style="medium">
        <color auto="1"/>
      </right>
      <top style="thin">
        <color rgb="FFFFFFFF"/>
      </top>
      <bottom/>
      <diagonal/>
    </border>
    <border>
      <left style="medium">
        <color auto="1"/>
      </left>
      <right/>
      <top/>
      <bottom style="thin">
        <color rgb="FFFFFFFF"/>
      </bottom>
      <diagonal/>
    </border>
    <border>
      <left/>
      <right style="medium">
        <color auto="1"/>
      </right>
      <top/>
      <bottom style="thin">
        <color rgb="FFFFFFFF"/>
      </bottom>
      <diagonal/>
    </border>
    <border>
      <left style="medium">
        <color auto="1"/>
      </left>
      <right/>
      <top style="thin">
        <color rgb="FF44414D"/>
      </top>
      <bottom/>
      <diagonal/>
    </border>
    <border>
      <left/>
      <right style="medium">
        <color rgb="FF44414D"/>
      </right>
      <top style="thin">
        <color rgb="FF44414D"/>
      </top>
      <bottom/>
      <diagonal/>
    </border>
    <border>
      <left/>
      <right style="medium">
        <color rgb="FF44414D"/>
      </right>
      <top/>
      <bottom/>
      <diagonal/>
    </border>
    <border>
      <left/>
      <right/>
      <top/>
      <bottom style="medium">
        <color rgb="FF44414D"/>
      </bottom>
      <diagonal/>
    </border>
    <border>
      <left/>
      <right style="medium">
        <color rgb="FF44414D"/>
      </right>
      <top/>
      <bottom style="medium">
        <color rgb="FF44414D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thin">
        <color rgb="FFFFFFFF"/>
      </bottom>
      <diagonal/>
    </border>
    <border>
      <left/>
      <right style="medium">
        <color rgb="FFFFFFFF"/>
      </right>
      <top/>
      <bottom style="thin">
        <color rgb="FFFFFFFF"/>
      </bottom>
      <diagonal/>
    </border>
    <border>
      <left style="medium">
        <color rgb="FFFFFFFF"/>
      </left>
      <right/>
      <top style="thin">
        <color rgb="FFFFFFFF"/>
      </top>
      <bottom/>
      <diagonal/>
    </border>
    <border>
      <left/>
      <right style="medium">
        <color rgb="FFFFFFFF"/>
      </right>
      <top style="thin">
        <color rgb="FFFFFFFF"/>
      </top>
      <bottom/>
      <diagonal/>
    </border>
    <border>
      <left style="medium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medium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auto="1"/>
      </left>
      <right/>
      <top style="medium">
        <color auto="1"/>
      </top>
      <bottom style="thin">
        <color rgb="FF40B6E8"/>
      </bottom>
      <diagonal/>
    </border>
    <border>
      <left/>
      <right/>
      <top style="medium">
        <color auto="1"/>
      </top>
      <bottom style="thin">
        <color rgb="FF40B6E8"/>
      </bottom>
      <diagonal/>
    </border>
    <border>
      <left/>
      <right style="medium">
        <color auto="1"/>
      </right>
      <top style="medium">
        <color auto="1"/>
      </top>
      <bottom style="thin">
        <color rgb="FF40B6E8"/>
      </bottom>
      <diagonal/>
    </border>
    <border>
      <left style="medium">
        <color auto="1"/>
      </left>
      <right/>
      <top style="thin">
        <color rgb="FF40B6E8"/>
      </top>
      <bottom/>
      <diagonal/>
    </border>
    <border>
      <left/>
      <right/>
      <top style="thin">
        <color rgb="FF40B6E8"/>
      </top>
      <bottom/>
      <diagonal/>
    </border>
    <border>
      <left/>
      <right style="medium">
        <color auto="1"/>
      </right>
      <top style="thin">
        <color rgb="FF40B6E8"/>
      </top>
      <bottom/>
      <diagonal/>
    </border>
    <border>
      <left style="medium">
        <color auto="1"/>
      </left>
      <right/>
      <top/>
      <bottom style="thin">
        <color rgb="FF40B6E8"/>
      </bottom>
      <diagonal/>
    </border>
    <border>
      <left/>
      <right/>
      <top/>
      <bottom style="thin">
        <color rgb="FF40B6E8"/>
      </bottom>
      <diagonal/>
    </border>
    <border>
      <left/>
      <right style="medium">
        <color auto="1"/>
      </right>
      <top/>
      <bottom style="thin">
        <color rgb="FF40B6E8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rgb="FF21B6D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medium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medium">
        <color rgb="FFE5EBF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rgb="FFFFFFFF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medium">
        <color rgb="FF44414D"/>
      </bottom>
      <diagonal/>
    </border>
    <border>
      <left/>
      <right style="thin">
        <color indexed="64"/>
      </right>
      <top/>
      <bottom style="thin">
        <color rgb="FFFFFFFF"/>
      </bottom>
      <diagonal/>
    </border>
    <border>
      <left style="medium">
        <color rgb="FFFFFFFF"/>
      </left>
      <right style="thin">
        <color indexed="64"/>
      </right>
      <top/>
      <bottom style="thin">
        <color rgb="FFFFFFFF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auto="1"/>
      </top>
      <bottom/>
      <diagonal/>
    </border>
    <border>
      <left style="thin">
        <color rgb="FFFFFFFF"/>
      </left>
      <right style="thick">
        <color indexed="64"/>
      </right>
      <top style="thin">
        <color rgb="FFFFFFFF"/>
      </top>
      <bottom style="thin">
        <color rgb="FFFFFFFF"/>
      </bottom>
      <diagonal/>
    </border>
    <border>
      <left/>
      <right style="thick">
        <color indexed="64"/>
      </right>
      <top/>
      <bottom style="medium">
        <color auto="1"/>
      </bottom>
      <diagonal/>
    </border>
    <border>
      <left/>
      <right style="thick">
        <color indexed="64"/>
      </right>
      <top/>
      <bottom style="medium">
        <color rgb="FF44414D"/>
      </bottom>
      <diagonal/>
    </border>
    <border>
      <left/>
      <right style="thick">
        <color indexed="64"/>
      </right>
      <top/>
      <bottom style="thin">
        <color rgb="FFFFFFFF"/>
      </bottom>
      <diagonal/>
    </border>
    <border>
      <left style="medium">
        <color rgb="FFFFFFFF"/>
      </left>
      <right style="thick">
        <color indexed="64"/>
      </right>
      <top/>
      <bottom style="thin">
        <color rgb="FFFFFFFF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rgb="FFE5EBF4"/>
      </top>
      <bottom style="medium">
        <color rgb="FFE5EBF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thin">
        <color rgb="FFFFFFFF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</borders>
  <cellStyleXfs count="6">
    <xf numFmtId="0" fontId="0" fillId="0" borderId="0"/>
    <xf numFmtId="164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9" fillId="0" borderId="0"/>
    <xf numFmtId="0" fontId="79" fillId="0" borderId="0"/>
    <xf numFmtId="44" fontId="100" fillId="0" borderId="0" applyFont="0" applyFill="0" applyBorder="0" applyAlignment="0" applyProtection="0"/>
  </cellStyleXfs>
  <cellXfs count="132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28"/>
    </xf>
    <xf numFmtId="0" fontId="0" fillId="0" borderId="1" xfId="0" applyBorder="1" applyAlignment="1">
      <alignment horizontal="left" vertical="top" wrapText="1" indent="5"/>
    </xf>
    <xf numFmtId="0" fontId="2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right" vertical="top" indent="4" shrinkToFit="1"/>
    </xf>
    <xf numFmtId="3" fontId="3" fillId="0" borderId="0" xfId="0" applyNumberFormat="1" applyFont="1" applyAlignment="1">
      <alignment horizontal="right" vertical="top" indent="4" shrinkToFit="1"/>
    </xf>
    <xf numFmtId="3" fontId="3" fillId="0" borderId="0" xfId="0" applyNumberFormat="1" applyFont="1" applyAlignment="1">
      <alignment horizontal="right" vertical="top" shrinkToFit="1"/>
    </xf>
    <xf numFmtId="1" fontId="3" fillId="0" borderId="0" xfId="0" applyNumberFormat="1" applyFont="1" applyAlignment="1">
      <alignment horizontal="right" vertical="top" shrinkToFit="1"/>
    </xf>
    <xf numFmtId="0" fontId="2" fillId="2" borderId="3" xfId="0" applyFont="1" applyFill="1" applyBorder="1" applyAlignment="1">
      <alignment horizontal="left" vertical="top" wrapText="1"/>
    </xf>
    <xf numFmtId="3" fontId="3" fillId="2" borderId="3" xfId="0" applyNumberFormat="1" applyFont="1" applyFill="1" applyBorder="1" applyAlignment="1">
      <alignment horizontal="right" vertical="top" indent="4" shrinkToFit="1"/>
    </xf>
    <xf numFmtId="3" fontId="3" fillId="2" borderId="3" xfId="0" applyNumberFormat="1" applyFont="1" applyFill="1" applyBorder="1" applyAlignment="1">
      <alignment horizontal="right" vertical="top" shrinkToFit="1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37" fontId="3" fillId="0" borderId="4" xfId="0" applyNumberFormat="1" applyFont="1" applyBorder="1" applyAlignment="1">
      <alignment horizontal="right" vertical="center" shrinkToFit="1"/>
    </xf>
    <xf numFmtId="37" fontId="3" fillId="0" borderId="0" xfId="0" applyNumberFormat="1" applyFont="1" applyAlignment="1">
      <alignment horizontal="right" vertical="top" indent="4" shrinkToFit="1"/>
    </xf>
    <xf numFmtId="37" fontId="3" fillId="0" borderId="0" xfId="0" applyNumberFormat="1" applyFont="1" applyAlignment="1">
      <alignment horizontal="right" vertical="top" shrinkToFit="1"/>
    </xf>
    <xf numFmtId="37" fontId="3" fillId="2" borderId="3" xfId="0" applyNumberFormat="1" applyFont="1" applyFill="1" applyBorder="1" applyAlignment="1">
      <alignment horizontal="right" vertical="top" indent="4" shrinkToFit="1"/>
    </xf>
    <xf numFmtId="37" fontId="3" fillId="2" borderId="3" xfId="0" applyNumberFormat="1" applyFont="1" applyFill="1" applyBorder="1" applyAlignment="1">
      <alignment horizontal="right" vertical="top" shrinkToFit="1"/>
    </xf>
    <xf numFmtId="165" fontId="3" fillId="0" borderId="0" xfId="0" applyNumberFormat="1" applyFont="1" applyAlignment="1">
      <alignment horizontal="right" vertical="top" indent="4" shrinkToFit="1"/>
    </xf>
    <xf numFmtId="165" fontId="3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 indent="23"/>
    </xf>
    <xf numFmtId="0" fontId="0" fillId="0" borderId="2" xfId="0" applyBorder="1" applyAlignment="1">
      <alignment horizontal="left" wrapText="1"/>
    </xf>
    <xf numFmtId="3" fontId="3" fillId="0" borderId="4" xfId="0" applyNumberFormat="1" applyFont="1" applyBorder="1" applyAlignment="1">
      <alignment horizontal="right" vertical="center" indent="4" shrinkToFit="1"/>
    </xf>
    <xf numFmtId="0" fontId="0" fillId="0" borderId="0" xfId="0" applyAlignment="1">
      <alignment horizontal="center" vertical="top" wrapText="1"/>
    </xf>
    <xf numFmtId="1" fontId="3" fillId="0" borderId="0" xfId="0" applyNumberFormat="1" applyFont="1" applyAlignment="1">
      <alignment horizontal="center" vertical="top" shrinkToFit="1"/>
    </xf>
    <xf numFmtId="0" fontId="0" fillId="0" borderId="4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1" fontId="3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center" vertical="top" wrapText="1"/>
    </xf>
    <xf numFmtId="0" fontId="9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37" fontId="3" fillId="0" borderId="0" xfId="0" applyNumberFormat="1" applyFont="1" applyAlignment="1">
      <alignment horizontal="center" vertical="center" shrinkToFit="1"/>
    </xf>
    <xf numFmtId="0" fontId="14" fillId="0" borderId="0" xfId="0" applyFont="1" applyAlignment="1">
      <alignment horizontal="left" vertical="top" wrapText="1"/>
    </xf>
    <xf numFmtId="37" fontId="3" fillId="0" borderId="4" xfId="0" applyNumberFormat="1" applyFont="1" applyBorder="1" applyAlignment="1">
      <alignment horizontal="center" vertical="center" shrinkToFit="1"/>
    </xf>
    <xf numFmtId="165" fontId="3" fillId="0" borderId="0" xfId="0" applyNumberFormat="1" applyFont="1" applyAlignment="1">
      <alignment horizontal="center" vertical="center" shrinkToFit="1"/>
    </xf>
    <xf numFmtId="3" fontId="3" fillId="0" borderId="4" xfId="0" applyNumberFormat="1" applyFont="1" applyBorder="1" applyAlignment="1">
      <alignment horizontal="center" vertical="center" shrinkToFit="1"/>
    </xf>
    <xf numFmtId="3" fontId="3" fillId="2" borderId="3" xfId="0" applyNumberFormat="1" applyFont="1" applyFill="1" applyBorder="1" applyAlignment="1">
      <alignment horizontal="center" vertical="center" shrinkToFit="1"/>
    </xf>
    <xf numFmtId="2" fontId="3" fillId="0" borderId="0" xfId="0" applyNumberFormat="1" applyFont="1" applyAlignment="1">
      <alignment horizontal="center" vertical="center" shrinkToFit="1"/>
    </xf>
    <xf numFmtId="1" fontId="3" fillId="0" borderId="0" xfId="0" applyNumberFormat="1" applyFont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 shrinkToFi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left" vertical="center"/>
    </xf>
    <xf numFmtId="3" fontId="16" fillId="0" borderId="2" xfId="0" applyNumberFormat="1" applyFont="1" applyBorder="1" applyAlignment="1">
      <alignment horizontal="center" vertical="center" shrinkToFit="1"/>
    </xf>
    <xf numFmtId="0" fontId="9" fillId="0" borderId="0" xfId="0" applyFont="1" applyAlignment="1">
      <alignment horizontal="left" vertical="top"/>
    </xf>
    <xf numFmtId="0" fontId="9" fillId="3" borderId="7" xfId="0" applyFont="1" applyFill="1" applyBorder="1" applyAlignment="1">
      <alignment horizontal="left" vertical="top" wrapText="1"/>
    </xf>
    <xf numFmtId="0" fontId="17" fillId="4" borderId="8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20" fillId="5" borderId="10" xfId="0" applyFont="1" applyFill="1" applyBorder="1" applyAlignment="1">
      <alignment horizontal="left" vertical="top" wrapText="1"/>
    </xf>
    <xf numFmtId="0" fontId="17" fillId="4" borderId="0" xfId="0" applyFont="1" applyFill="1" applyAlignment="1">
      <alignment horizontal="center" vertical="center" wrapText="1"/>
    </xf>
    <xf numFmtId="0" fontId="21" fillId="0" borderId="10" xfId="0" applyFont="1" applyBorder="1" applyAlignment="1">
      <alignment horizontal="left" vertical="top" wrapText="1"/>
    </xf>
    <xf numFmtId="0" fontId="21" fillId="0" borderId="10" xfId="0" applyFont="1" applyBorder="1" applyAlignment="1">
      <alignment horizontal="left" wrapText="1"/>
    </xf>
    <xf numFmtId="0" fontId="0" fillId="0" borderId="10" xfId="0" applyBorder="1" applyAlignment="1">
      <alignment horizontal="left" vertical="center" wrapText="1"/>
    </xf>
    <xf numFmtId="0" fontId="17" fillId="4" borderId="13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left" vertical="top" wrapText="1"/>
    </xf>
    <xf numFmtId="0" fontId="19" fillId="5" borderId="12" xfId="0" applyFont="1" applyFill="1" applyBorder="1" applyAlignment="1">
      <alignment horizontal="left" vertical="top" wrapText="1"/>
    </xf>
    <xf numFmtId="3" fontId="19" fillId="5" borderId="0" xfId="0" applyNumberFormat="1" applyFont="1" applyFill="1" applyAlignment="1">
      <alignment horizontal="center" vertical="center" shrinkToFit="1"/>
    </xf>
    <xf numFmtId="3" fontId="19" fillId="5" borderId="0" xfId="0" applyNumberFormat="1" applyFont="1" applyFill="1" applyAlignment="1">
      <alignment horizontal="left" vertical="center" shrinkToFit="1"/>
    </xf>
    <xf numFmtId="165" fontId="19" fillId="5" borderId="0" xfId="0" applyNumberFormat="1" applyFont="1" applyFill="1" applyAlignment="1">
      <alignment horizontal="left" vertical="center" shrinkToFit="1"/>
    </xf>
    <xf numFmtId="3" fontId="19" fillId="5" borderId="11" xfId="0" applyNumberFormat="1" applyFont="1" applyFill="1" applyBorder="1" applyAlignment="1">
      <alignment horizontal="left" vertical="center" shrinkToFit="1"/>
    </xf>
    <xf numFmtId="0" fontId="21" fillId="0" borderId="0" xfId="0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shrinkToFit="1"/>
    </xf>
    <xf numFmtId="3" fontId="22" fillId="0" borderId="0" xfId="0" applyNumberFormat="1" applyFont="1" applyAlignment="1">
      <alignment horizontal="center" vertical="center" shrinkToFit="1"/>
    </xf>
    <xf numFmtId="0" fontId="20" fillId="5" borderId="0" xfId="0" applyFont="1" applyFill="1" applyAlignment="1">
      <alignment horizontal="center" vertical="center" wrapText="1"/>
    </xf>
    <xf numFmtId="37" fontId="22" fillId="0" borderId="0" xfId="0" applyNumberFormat="1" applyFont="1" applyAlignment="1">
      <alignment horizontal="center" vertical="center" shrinkToFit="1"/>
    </xf>
    <xf numFmtId="165" fontId="19" fillId="5" borderId="0" xfId="0" applyNumberFormat="1" applyFont="1" applyFill="1" applyAlignment="1">
      <alignment horizontal="center" vertical="center" shrinkToFit="1"/>
    </xf>
    <xf numFmtId="165" fontId="22" fillId="0" borderId="0" xfId="0" applyNumberFormat="1" applyFont="1" applyAlignment="1">
      <alignment horizontal="center" vertical="center" shrinkToFit="1"/>
    </xf>
    <xf numFmtId="3" fontId="19" fillId="5" borderId="13" xfId="0" applyNumberFormat="1" applyFont="1" applyFill="1" applyBorder="1" applyAlignment="1">
      <alignment horizontal="center" vertical="center" shrinkToFit="1"/>
    </xf>
    <xf numFmtId="3" fontId="19" fillId="5" borderId="14" xfId="0" applyNumberFormat="1" applyFont="1" applyFill="1" applyBorder="1" applyAlignment="1">
      <alignment horizontal="center" vertical="center" shrinkToFit="1"/>
    </xf>
    <xf numFmtId="0" fontId="2" fillId="0" borderId="20" xfId="0" applyFont="1" applyBorder="1" applyAlignment="1">
      <alignment horizontal="left" vertical="center" wrapText="1"/>
    </xf>
    <xf numFmtId="37" fontId="3" fillId="0" borderId="21" xfId="0" applyNumberFormat="1" applyFont="1" applyBorder="1" applyAlignment="1">
      <alignment horizontal="right" vertical="center" shrinkToFit="1"/>
    </xf>
    <xf numFmtId="0" fontId="2" fillId="0" borderId="10" xfId="0" applyFont="1" applyBorder="1" applyAlignment="1">
      <alignment horizontal="left" vertical="top" wrapText="1"/>
    </xf>
    <xf numFmtId="37" fontId="3" fillId="0" borderId="11" xfId="0" applyNumberFormat="1" applyFont="1" applyBorder="1" applyAlignment="1">
      <alignment horizontal="right" vertical="center" shrinkToFit="1"/>
    </xf>
    <xf numFmtId="165" fontId="3" fillId="0" borderId="11" xfId="0" applyNumberFormat="1" applyFont="1" applyBorder="1" applyAlignment="1">
      <alignment horizontal="right" vertical="center" shrinkToFit="1"/>
    </xf>
    <xf numFmtId="3" fontId="3" fillId="0" borderId="21" xfId="0" applyNumberFormat="1" applyFont="1" applyBorder="1" applyAlignment="1">
      <alignment horizontal="right" vertical="center" shrinkToFit="1"/>
    </xf>
    <xf numFmtId="0" fontId="2" fillId="0" borderId="10" xfId="0" applyFont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37" fontId="3" fillId="0" borderId="11" xfId="0" applyNumberFormat="1" applyFont="1" applyBorder="1" applyAlignment="1">
      <alignment horizontal="center" vertical="center" shrinkToFit="1"/>
    </xf>
    <xf numFmtId="2" fontId="3" fillId="0" borderId="11" xfId="0" applyNumberFormat="1" applyFont="1" applyBorder="1" applyAlignment="1">
      <alignment horizontal="right" vertical="center" shrinkToFit="1"/>
    </xf>
    <xf numFmtId="0" fontId="0" fillId="0" borderId="11" xfId="0" applyBorder="1" applyAlignment="1">
      <alignment horizontal="left" vertical="center" wrapText="1"/>
    </xf>
    <xf numFmtId="37" fontId="11" fillId="6" borderId="15" xfId="0" applyNumberFormat="1" applyFont="1" applyFill="1" applyBorder="1" applyAlignment="1">
      <alignment horizontal="left" vertical="top" shrinkToFit="1"/>
    </xf>
    <xf numFmtId="0" fontId="0" fillId="6" borderId="16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horizontal="left" vertical="top" wrapText="1"/>
    </xf>
    <xf numFmtId="37" fontId="16" fillId="2" borderId="3" xfId="0" applyNumberFormat="1" applyFont="1" applyFill="1" applyBorder="1" applyAlignment="1">
      <alignment horizontal="center" vertical="center" shrinkToFit="1"/>
    </xf>
    <xf numFmtId="37" fontId="16" fillId="2" borderId="23" xfId="0" applyNumberFormat="1" applyFont="1" applyFill="1" applyBorder="1" applyAlignment="1">
      <alignment horizontal="right" vertical="center" shrinkToFit="1"/>
    </xf>
    <xf numFmtId="0" fontId="23" fillId="0" borderId="0" xfId="0" applyFont="1" applyAlignment="1">
      <alignment horizontal="left" vertical="top" wrapText="1" indent="28"/>
    </xf>
    <xf numFmtId="0" fontId="23" fillId="0" borderId="0" xfId="0" applyFont="1" applyAlignment="1">
      <alignment horizontal="left" vertical="top"/>
    </xf>
    <xf numFmtId="0" fontId="14" fillId="2" borderId="18" xfId="0" applyFont="1" applyFill="1" applyBorder="1" applyAlignment="1">
      <alignment horizontal="left" vertical="top" wrapText="1"/>
    </xf>
    <xf numFmtId="3" fontId="16" fillId="2" borderId="6" xfId="0" applyNumberFormat="1" applyFont="1" applyFill="1" applyBorder="1" applyAlignment="1">
      <alignment horizontal="center" vertical="center" shrinkToFit="1"/>
    </xf>
    <xf numFmtId="3" fontId="16" fillId="2" borderId="19" xfId="0" applyNumberFormat="1" applyFont="1" applyFill="1" applyBorder="1" applyAlignment="1">
      <alignment horizontal="right" vertical="center" shrinkToFit="1"/>
    </xf>
    <xf numFmtId="3" fontId="16" fillId="2" borderId="3" xfId="0" applyNumberFormat="1" applyFont="1" applyFill="1" applyBorder="1" applyAlignment="1">
      <alignment horizontal="center" vertical="center" shrinkToFit="1"/>
    </xf>
    <xf numFmtId="3" fontId="16" fillId="2" borderId="23" xfId="0" applyNumberFormat="1" applyFont="1" applyFill="1" applyBorder="1" applyAlignment="1">
      <alignment horizontal="right" vertical="center" shrinkToFit="1"/>
    </xf>
    <xf numFmtId="0" fontId="14" fillId="0" borderId="24" xfId="0" applyFont="1" applyBorder="1" applyAlignment="1">
      <alignment horizontal="left" vertical="top" wrapText="1"/>
    </xf>
    <xf numFmtId="3" fontId="16" fillId="0" borderId="25" xfId="0" applyNumberFormat="1" applyFont="1" applyBorder="1" applyAlignment="1">
      <alignment horizontal="center" vertical="center" shrinkToFit="1"/>
    </xf>
    <xf numFmtId="0" fontId="0" fillId="0" borderId="26" xfId="0" applyBorder="1" applyAlignment="1">
      <alignment horizontal="center" vertical="center" wrapText="1"/>
    </xf>
    <xf numFmtId="1" fontId="3" fillId="0" borderId="26" xfId="0" applyNumberFormat="1" applyFont="1" applyBorder="1" applyAlignment="1">
      <alignment horizontal="center" vertical="center" shrinkToFit="1"/>
    </xf>
    <xf numFmtId="0" fontId="2" fillId="2" borderId="27" xfId="0" applyFont="1" applyFill="1" applyBorder="1" applyAlignment="1">
      <alignment horizontal="left" vertical="top" wrapText="1"/>
    </xf>
    <xf numFmtId="3" fontId="3" fillId="2" borderId="27" xfId="0" applyNumberFormat="1" applyFont="1" applyFill="1" applyBorder="1" applyAlignment="1">
      <alignment horizontal="center" vertical="center" shrinkToFit="1"/>
    </xf>
    <xf numFmtId="3" fontId="3" fillId="2" borderId="28" xfId="0" applyNumberFormat="1" applyFont="1" applyFill="1" applyBorder="1" applyAlignment="1">
      <alignment horizontal="center" vertical="center" shrinkToFit="1"/>
    </xf>
    <xf numFmtId="0" fontId="2" fillId="0" borderId="29" xfId="0" applyFont="1" applyBorder="1" applyAlignment="1">
      <alignment horizontal="left" vertical="top" wrapText="1"/>
    </xf>
    <xf numFmtId="0" fontId="0" fillId="0" borderId="30" xfId="0" applyBorder="1" applyAlignment="1">
      <alignment horizontal="left" vertical="center" wrapText="1"/>
    </xf>
    <xf numFmtId="3" fontId="3" fillId="0" borderId="30" xfId="0" applyNumberFormat="1" applyFont="1" applyBorder="1" applyAlignment="1">
      <alignment horizontal="right" vertical="center" shrinkToFit="1"/>
    </xf>
    <xf numFmtId="1" fontId="3" fillId="0" borderId="30" xfId="0" applyNumberFormat="1" applyFont="1" applyBorder="1" applyAlignment="1">
      <alignment horizontal="right" vertical="center" shrinkToFit="1"/>
    </xf>
    <xf numFmtId="0" fontId="2" fillId="2" borderId="31" xfId="0" applyFont="1" applyFill="1" applyBorder="1" applyAlignment="1">
      <alignment horizontal="left" vertical="top" wrapText="1"/>
    </xf>
    <xf numFmtId="3" fontId="3" fillId="2" borderId="32" xfId="0" applyNumberFormat="1" applyFont="1" applyFill="1" applyBorder="1" applyAlignment="1">
      <alignment horizontal="right" vertical="center" shrinkToFit="1"/>
    </xf>
    <xf numFmtId="0" fontId="0" fillId="0" borderId="34" xfId="0" applyBorder="1" applyAlignment="1">
      <alignment horizontal="left" vertical="center" wrapText="1"/>
    </xf>
    <xf numFmtId="0" fontId="2" fillId="0" borderId="33" xfId="0" applyFont="1" applyBorder="1" applyAlignment="1">
      <alignment horizontal="left" vertical="top" wrapText="1"/>
    </xf>
    <xf numFmtId="3" fontId="3" fillId="0" borderId="34" xfId="0" applyNumberFormat="1" applyFont="1" applyBorder="1" applyAlignment="1">
      <alignment horizontal="right" vertical="center" shrinkToFit="1"/>
    </xf>
    <xf numFmtId="0" fontId="14" fillId="0" borderId="29" xfId="0" applyFont="1" applyBorder="1" applyAlignment="1">
      <alignment horizontal="left" vertical="top" wrapText="1"/>
    </xf>
    <xf numFmtId="0" fontId="2" fillId="2" borderId="35" xfId="0" applyFont="1" applyFill="1" applyBorder="1" applyAlignment="1">
      <alignment horizontal="left" vertical="top" wrapText="1"/>
    </xf>
    <xf numFmtId="3" fontId="3" fillId="2" borderId="36" xfId="0" applyNumberFormat="1" applyFont="1" applyFill="1" applyBorder="1" applyAlignment="1">
      <alignment horizontal="right" vertical="center" shrinkToFit="1"/>
    </xf>
    <xf numFmtId="0" fontId="14" fillId="0" borderId="33" xfId="0" applyFont="1" applyBorder="1" applyAlignment="1">
      <alignment horizontal="left" vertical="center" wrapText="1"/>
    </xf>
    <xf numFmtId="0" fontId="2" fillId="2" borderId="37" xfId="0" applyFont="1" applyFill="1" applyBorder="1" applyAlignment="1">
      <alignment horizontal="left" vertical="top" wrapText="1"/>
    </xf>
    <xf numFmtId="3" fontId="3" fillId="2" borderId="38" xfId="0" applyNumberFormat="1" applyFont="1" applyFill="1" applyBorder="1" applyAlignment="1">
      <alignment horizontal="center" vertical="center" shrinkToFit="1"/>
    </xf>
    <xf numFmtId="3" fontId="3" fillId="2" borderId="39" xfId="0" applyNumberFormat="1" applyFont="1" applyFill="1" applyBorder="1" applyAlignment="1">
      <alignment horizontal="right" vertical="center" shrinkToFit="1"/>
    </xf>
    <xf numFmtId="0" fontId="0" fillId="0" borderId="40" xfId="0" applyBorder="1" applyAlignment="1">
      <alignment horizontal="left" vertical="center" wrapText="1"/>
    </xf>
    <xf numFmtId="0" fontId="25" fillId="0" borderId="41" xfId="0" applyFont="1" applyBorder="1" applyAlignment="1">
      <alignment horizontal="right" vertical="top" wrapText="1" indent="4"/>
    </xf>
    <xf numFmtId="0" fontId="26" fillId="0" borderId="41" xfId="0" applyFont="1" applyBorder="1" applyAlignment="1">
      <alignment horizontal="center" vertical="top" wrapText="1"/>
    </xf>
    <xf numFmtId="0" fontId="26" fillId="0" borderId="42" xfId="0" applyFont="1" applyBorder="1" applyAlignment="1">
      <alignment horizontal="right" vertical="top" wrapText="1"/>
    </xf>
    <xf numFmtId="0" fontId="27" fillId="2" borderId="43" xfId="0" applyFont="1" applyFill="1" applyBorder="1" applyAlignment="1">
      <alignment horizontal="left" vertical="top" wrapText="1"/>
    </xf>
    <xf numFmtId="1" fontId="28" fillId="2" borderId="44" xfId="0" applyNumberFormat="1" applyFont="1" applyFill="1" applyBorder="1" applyAlignment="1">
      <alignment horizontal="right" vertical="top" indent="4" shrinkToFit="1"/>
    </xf>
    <xf numFmtId="3" fontId="28" fillId="2" borderId="44" xfId="0" applyNumberFormat="1" applyFont="1" applyFill="1" applyBorder="1" applyAlignment="1">
      <alignment horizontal="right" vertical="top" indent="4" shrinkToFit="1"/>
    </xf>
    <xf numFmtId="3" fontId="28" fillId="2" borderId="45" xfId="0" applyNumberFormat="1" applyFont="1" applyFill="1" applyBorder="1" applyAlignment="1">
      <alignment horizontal="right" vertical="top" shrinkToFit="1"/>
    </xf>
    <xf numFmtId="0" fontId="29" fillId="0" borderId="10" xfId="0" applyFont="1" applyBorder="1" applyAlignment="1">
      <alignment horizontal="left" wrapText="1"/>
    </xf>
    <xf numFmtId="37" fontId="30" fillId="0" borderId="0" xfId="0" applyNumberFormat="1" applyFont="1" applyAlignment="1">
      <alignment horizontal="right" indent="4" shrinkToFit="1"/>
    </xf>
    <xf numFmtId="37" fontId="30" fillId="0" borderId="11" xfId="0" applyNumberFormat="1" applyFont="1" applyBorder="1" applyAlignment="1">
      <alignment horizontal="right" shrinkToFit="1"/>
    </xf>
    <xf numFmtId="0" fontId="29" fillId="0" borderId="10" xfId="0" applyFont="1" applyBorder="1" applyAlignment="1">
      <alignment horizontal="left" vertical="top" wrapText="1"/>
    </xf>
    <xf numFmtId="37" fontId="30" fillId="0" borderId="0" xfId="0" applyNumberFormat="1" applyFont="1" applyAlignment="1">
      <alignment horizontal="right" vertical="top" indent="4" shrinkToFit="1"/>
    </xf>
    <xf numFmtId="37" fontId="30" fillId="0" borderId="11" xfId="0" applyNumberFormat="1" applyFont="1" applyBorder="1" applyAlignment="1">
      <alignment horizontal="right" vertical="top" shrinkToFit="1"/>
    </xf>
    <xf numFmtId="0" fontId="27" fillId="2" borderId="10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37" fontId="28" fillId="2" borderId="0" xfId="0" applyNumberFormat="1" applyFont="1" applyFill="1" applyAlignment="1">
      <alignment horizontal="right" vertical="top" indent="4" shrinkToFit="1"/>
    </xf>
    <xf numFmtId="37" fontId="28" fillId="2" borderId="11" xfId="0" applyNumberFormat="1" applyFont="1" applyFill="1" applyBorder="1" applyAlignment="1">
      <alignment horizontal="right" vertical="top" shrinkToFit="1"/>
    </xf>
    <xf numFmtId="1" fontId="30" fillId="0" borderId="0" xfId="0" applyNumberFormat="1" applyFont="1" applyAlignment="1">
      <alignment horizontal="right" vertical="top" indent="4" shrinkToFit="1"/>
    </xf>
    <xf numFmtId="165" fontId="30" fillId="0" borderId="0" xfId="0" applyNumberFormat="1" applyFont="1" applyAlignment="1">
      <alignment horizontal="right" vertical="top" indent="4" shrinkToFit="1"/>
    </xf>
    <xf numFmtId="165" fontId="30" fillId="0" borderId="11" xfId="0" applyNumberFormat="1" applyFont="1" applyBorder="1" applyAlignment="1">
      <alignment horizontal="right" vertical="top" shrinkToFit="1"/>
    </xf>
    <xf numFmtId="1" fontId="28" fillId="2" borderId="0" xfId="0" applyNumberFormat="1" applyFont="1" applyFill="1" applyAlignment="1">
      <alignment horizontal="right" vertical="top" indent="4" shrinkToFit="1"/>
    </xf>
    <xf numFmtId="3" fontId="28" fillId="2" borderId="0" xfId="0" applyNumberFormat="1" applyFont="1" applyFill="1" applyAlignment="1">
      <alignment horizontal="right" vertical="top" indent="4" shrinkToFit="1"/>
    </xf>
    <xf numFmtId="3" fontId="28" fillId="2" borderId="11" xfId="0" applyNumberFormat="1" applyFont="1" applyFill="1" applyBorder="1" applyAlignment="1">
      <alignment horizontal="right" vertical="top" shrinkToFit="1"/>
    </xf>
    <xf numFmtId="0" fontId="0" fillId="0" borderId="46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27" fillId="0" borderId="47" xfId="0" applyFont="1" applyBorder="1" applyAlignment="1">
      <alignment horizontal="right" wrapText="1" indent="4"/>
    </xf>
    <xf numFmtId="0" fontId="27" fillId="0" borderId="48" xfId="0" applyFont="1" applyBorder="1" applyAlignment="1">
      <alignment horizontal="right" wrapText="1"/>
    </xf>
    <xf numFmtId="0" fontId="29" fillId="0" borderId="43" xfId="0" applyFont="1" applyBorder="1" applyAlignment="1">
      <alignment horizontal="left" vertical="top" wrapText="1"/>
    </xf>
    <xf numFmtId="1" fontId="30" fillId="0" borderId="44" xfId="0" applyNumberFormat="1" applyFont="1" applyBorder="1" applyAlignment="1">
      <alignment horizontal="right" vertical="top" indent="4" shrinkToFit="1"/>
    </xf>
    <xf numFmtId="2" fontId="30" fillId="0" borderId="44" xfId="0" applyNumberFormat="1" applyFont="1" applyBorder="1" applyAlignment="1">
      <alignment horizontal="right" vertical="top" indent="4" shrinkToFit="1"/>
    </xf>
    <xf numFmtId="2" fontId="30" fillId="0" borderId="45" xfId="0" applyNumberFormat="1" applyFont="1" applyBorder="1" applyAlignment="1">
      <alignment horizontal="right" vertical="top" shrinkToFit="1"/>
    </xf>
    <xf numFmtId="2" fontId="30" fillId="0" borderId="0" xfId="0" applyNumberFormat="1" applyFont="1" applyAlignment="1">
      <alignment horizontal="right" vertical="top" indent="4" shrinkToFit="1"/>
    </xf>
    <xf numFmtId="2" fontId="30" fillId="0" borderId="11" xfId="0" applyNumberFormat="1" applyFont="1" applyBorder="1" applyAlignment="1">
      <alignment horizontal="right" vertical="top" shrinkToFi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47" xfId="0" applyBorder="1" applyAlignment="1">
      <alignment horizontal="center" vertical="top" wrapText="1"/>
    </xf>
    <xf numFmtId="0" fontId="0" fillId="0" borderId="48" xfId="0" applyBorder="1" applyAlignment="1">
      <alignment horizontal="center" vertical="top" wrapText="1"/>
    </xf>
    <xf numFmtId="3" fontId="28" fillId="2" borderId="44" xfId="0" applyNumberFormat="1" applyFont="1" applyFill="1" applyBorder="1" applyAlignment="1">
      <alignment horizontal="left" vertical="top" indent="4" shrinkToFit="1"/>
    </xf>
    <xf numFmtId="3" fontId="28" fillId="2" borderId="45" xfId="0" applyNumberFormat="1" applyFont="1" applyFill="1" applyBorder="1" applyAlignment="1">
      <alignment horizontal="left" vertical="top" shrinkToFit="1"/>
    </xf>
    <xf numFmtId="0" fontId="27" fillId="0" borderId="10" xfId="0" applyFont="1" applyBorder="1" applyAlignment="1">
      <alignment horizontal="left" vertical="top" wrapText="1"/>
    </xf>
    <xf numFmtId="37" fontId="30" fillId="0" borderId="0" xfId="0" applyNumberFormat="1" applyFont="1" applyAlignment="1">
      <alignment horizontal="right" vertical="top" shrinkToFit="1"/>
    </xf>
    <xf numFmtId="0" fontId="27" fillId="2" borderId="12" xfId="0" applyFont="1" applyFill="1" applyBorder="1" applyAlignment="1">
      <alignment horizontal="left" vertical="top" wrapText="1"/>
    </xf>
    <xf numFmtId="3" fontId="28" fillId="2" borderId="13" xfId="0" applyNumberFormat="1" applyFont="1" applyFill="1" applyBorder="1" applyAlignment="1">
      <alignment horizontal="right" vertical="top" indent="4" shrinkToFit="1"/>
    </xf>
    <xf numFmtId="3" fontId="28" fillId="2" borderId="14" xfId="0" applyNumberFormat="1" applyFont="1" applyFill="1" applyBorder="1" applyAlignment="1">
      <alignment horizontal="right" vertical="top" indent="4" shrinkToFit="1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27" fillId="0" borderId="0" xfId="0" applyFont="1" applyAlignment="1">
      <alignment horizontal="right" vertical="top" wrapText="1" indent="4"/>
    </xf>
    <xf numFmtId="0" fontId="0" fillId="0" borderId="11" xfId="0" applyBorder="1" applyAlignment="1">
      <alignment horizontal="right" vertical="top" wrapText="1"/>
    </xf>
    <xf numFmtId="3" fontId="30" fillId="0" borderId="0" xfId="0" applyNumberFormat="1" applyFont="1" applyAlignment="1">
      <alignment horizontal="right" vertical="top" indent="4" shrinkToFit="1"/>
    </xf>
    <xf numFmtId="3" fontId="30" fillId="0" borderId="11" xfId="0" applyNumberFormat="1" applyFont="1" applyBorder="1" applyAlignment="1">
      <alignment horizontal="right" vertical="top" shrinkToFit="1"/>
    </xf>
    <xf numFmtId="1" fontId="30" fillId="0" borderId="11" xfId="0" applyNumberFormat="1" applyFont="1" applyBorder="1" applyAlignment="1">
      <alignment horizontal="right" vertical="top" shrinkToFi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2" borderId="13" xfId="0" applyFill="1" applyBorder="1" applyAlignment="1">
      <alignment horizontal="left" vertical="center" wrapText="1"/>
    </xf>
    <xf numFmtId="3" fontId="28" fillId="2" borderId="14" xfId="0" applyNumberFormat="1" applyFont="1" applyFill="1" applyBorder="1" applyAlignment="1">
      <alignment horizontal="right" vertical="top" shrinkToFit="1"/>
    </xf>
    <xf numFmtId="0" fontId="0" fillId="0" borderId="46" xfId="0" applyBorder="1" applyAlignment="1">
      <alignment horizontal="left" vertical="center" wrapText="1"/>
    </xf>
    <xf numFmtId="0" fontId="25" fillId="0" borderId="47" xfId="0" applyFont="1" applyBorder="1" applyAlignment="1">
      <alignment horizontal="right" vertical="top" wrapText="1" indent="4"/>
    </xf>
    <xf numFmtId="0" fontId="26" fillId="0" borderId="47" xfId="0" applyFont="1" applyBorder="1" applyAlignment="1">
      <alignment horizontal="center" vertical="top" wrapText="1"/>
    </xf>
    <xf numFmtId="0" fontId="26" fillId="0" borderId="48" xfId="0" applyFont="1" applyBorder="1" applyAlignment="1">
      <alignment horizontal="right" vertical="top" wrapText="1"/>
    </xf>
    <xf numFmtId="0" fontId="27" fillId="0" borderId="43" xfId="0" applyFont="1" applyBorder="1" applyAlignment="1">
      <alignment horizontal="left" vertical="top" wrapText="1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27" fillId="0" borderId="10" xfId="0" applyFont="1" applyBorder="1" applyAlignment="1">
      <alignment horizontal="left" wrapText="1"/>
    </xf>
    <xf numFmtId="0" fontId="0" fillId="0" borderId="11" xfId="0" applyBorder="1" applyAlignment="1">
      <alignment horizontal="left" vertical="top" wrapText="1"/>
    </xf>
    <xf numFmtId="3" fontId="30" fillId="0" borderId="0" xfId="0" applyNumberFormat="1" applyFont="1" applyAlignment="1">
      <alignment horizontal="right" indent="4" shrinkToFit="1"/>
    </xf>
    <xf numFmtId="3" fontId="30" fillId="0" borderId="11" xfId="0" applyNumberFormat="1" applyFont="1" applyBorder="1" applyAlignment="1">
      <alignment horizontal="right" shrinkToFit="1"/>
    </xf>
    <xf numFmtId="1" fontId="28" fillId="2" borderId="13" xfId="0" applyNumberFormat="1" applyFont="1" applyFill="1" applyBorder="1" applyAlignment="1">
      <alignment horizontal="right" vertical="top" indent="4" shrinkToFit="1"/>
    </xf>
    <xf numFmtId="0" fontId="26" fillId="0" borderId="41" xfId="0" applyFont="1" applyBorder="1" applyAlignment="1">
      <alignment horizontal="right" vertical="top" wrapText="1" indent="2"/>
    </xf>
    <xf numFmtId="0" fontId="26" fillId="0" borderId="41" xfId="0" applyFont="1" applyBorder="1" applyAlignment="1">
      <alignment horizontal="right" vertical="top" wrapText="1"/>
    </xf>
    <xf numFmtId="0" fontId="26" fillId="0" borderId="42" xfId="0" applyFont="1" applyBorder="1" applyAlignment="1">
      <alignment horizontal="left" vertical="top" wrapText="1" indent="2"/>
    </xf>
    <xf numFmtId="0" fontId="0" fillId="2" borderId="44" xfId="0" applyFill="1" applyBorder="1" applyAlignment="1">
      <alignment horizontal="left" vertical="center" wrapText="1"/>
    </xf>
    <xf numFmtId="3" fontId="28" fillId="2" borderId="44" xfId="0" applyNumberFormat="1" applyFont="1" applyFill="1" applyBorder="1" applyAlignment="1">
      <alignment horizontal="right" vertical="top" indent="2" shrinkToFit="1"/>
    </xf>
    <xf numFmtId="165" fontId="28" fillId="2" borderId="44" xfId="0" applyNumberFormat="1" applyFont="1" applyFill="1" applyBorder="1" applyAlignment="1">
      <alignment horizontal="right" vertical="top" indent="1" shrinkToFit="1"/>
    </xf>
    <xf numFmtId="0" fontId="29" fillId="0" borderId="0" xfId="0" applyFont="1" applyAlignment="1">
      <alignment horizontal="right" vertical="center" wrapText="1" indent="2"/>
    </xf>
    <xf numFmtId="165" fontId="30" fillId="0" borderId="0" xfId="0" applyNumberFormat="1" applyFont="1" applyAlignment="1">
      <alignment horizontal="right" vertical="center" indent="1" shrinkToFit="1"/>
    </xf>
    <xf numFmtId="165" fontId="30" fillId="0" borderId="11" xfId="0" applyNumberFormat="1" applyFont="1" applyBorder="1" applyAlignment="1">
      <alignment horizontal="right" vertical="center" shrinkToFit="1"/>
    </xf>
    <xf numFmtId="0" fontId="29" fillId="0" borderId="0" xfId="0" applyFont="1" applyAlignment="1">
      <alignment horizontal="right" vertical="top" wrapText="1" indent="2"/>
    </xf>
    <xf numFmtId="3" fontId="30" fillId="0" borderId="0" xfId="0" applyNumberFormat="1" applyFont="1" applyAlignment="1">
      <alignment horizontal="right" vertical="top" indent="2" shrinkToFit="1"/>
    </xf>
    <xf numFmtId="0" fontId="29" fillId="0" borderId="0" xfId="0" applyFont="1" applyAlignment="1">
      <alignment horizontal="right" vertical="top" wrapText="1" indent="1"/>
    </xf>
    <xf numFmtId="0" fontId="27" fillId="2" borderId="0" xfId="0" applyFont="1" applyFill="1" applyAlignment="1">
      <alignment horizontal="right" vertical="top" wrapText="1" indent="2"/>
    </xf>
    <xf numFmtId="3" fontId="28" fillId="2" borderId="0" xfId="0" applyNumberFormat="1" applyFont="1" applyFill="1" applyAlignment="1">
      <alignment horizontal="right" vertical="top" indent="2" shrinkToFit="1"/>
    </xf>
    <xf numFmtId="165" fontId="28" fillId="2" borderId="0" xfId="0" applyNumberFormat="1" applyFont="1" applyFill="1" applyAlignment="1">
      <alignment horizontal="right" vertical="top" indent="1" shrinkToFit="1"/>
    </xf>
    <xf numFmtId="1" fontId="30" fillId="0" borderId="0" xfId="0" applyNumberFormat="1" applyFont="1" applyAlignment="1">
      <alignment horizontal="right" indent="1" shrinkToFit="1"/>
    </xf>
    <xf numFmtId="0" fontId="29" fillId="0" borderId="0" xfId="0" applyFont="1" applyAlignment="1">
      <alignment horizontal="right" wrapText="1" indent="2"/>
    </xf>
    <xf numFmtId="37" fontId="30" fillId="0" borderId="0" xfId="0" applyNumberFormat="1" applyFont="1" applyAlignment="1">
      <alignment horizontal="right" indent="2" shrinkToFit="1"/>
    </xf>
    <xf numFmtId="0" fontId="29" fillId="0" borderId="0" xfId="0" applyFont="1" applyAlignment="1">
      <alignment horizontal="right" wrapText="1" indent="1"/>
    </xf>
    <xf numFmtId="37" fontId="30" fillId="0" borderId="0" xfId="0" applyNumberFormat="1" applyFont="1" applyAlignment="1">
      <alignment horizontal="right" vertical="top" indent="2" shrinkToFit="1"/>
    </xf>
    <xf numFmtId="0" fontId="29" fillId="0" borderId="11" xfId="0" applyFont="1" applyBorder="1" applyAlignment="1">
      <alignment horizontal="right" vertical="top" wrapText="1"/>
    </xf>
    <xf numFmtId="1" fontId="30" fillId="0" borderId="0" xfId="0" applyNumberFormat="1" applyFont="1" applyAlignment="1">
      <alignment horizontal="right" vertical="top" indent="1" shrinkToFit="1"/>
    </xf>
    <xf numFmtId="3" fontId="28" fillId="2" borderId="13" xfId="0" applyNumberFormat="1" applyFont="1" applyFill="1" applyBorder="1" applyAlignment="1">
      <alignment horizontal="right" vertical="top" indent="2" shrinkToFit="1"/>
    </xf>
    <xf numFmtId="165" fontId="28" fillId="2" borderId="13" xfId="0" applyNumberFormat="1" applyFont="1" applyFill="1" applyBorder="1" applyAlignment="1">
      <alignment horizontal="right" vertical="top" indent="1" shrinkToFit="1"/>
    </xf>
    <xf numFmtId="0" fontId="32" fillId="3" borderId="15" xfId="0" applyFont="1" applyFill="1" applyBorder="1" applyAlignment="1">
      <alignment horizontal="left" vertical="center"/>
    </xf>
    <xf numFmtId="0" fontId="32" fillId="3" borderId="49" xfId="0" applyFont="1" applyFill="1" applyBorder="1" applyAlignment="1">
      <alignment horizontal="center" vertical="center"/>
    </xf>
    <xf numFmtId="0" fontId="32" fillId="3" borderId="49" xfId="0" applyFont="1" applyFill="1" applyBorder="1" applyAlignment="1">
      <alignment vertical="center"/>
    </xf>
    <xf numFmtId="0" fontId="32" fillId="3" borderId="50" xfId="0" applyFont="1" applyFill="1" applyBorder="1" applyAlignment="1">
      <alignment vertical="center"/>
    </xf>
    <xf numFmtId="0" fontId="32" fillId="0" borderId="0" xfId="0" applyFont="1" applyAlignment="1">
      <alignment vertical="top"/>
    </xf>
    <xf numFmtId="0" fontId="32" fillId="0" borderId="0" xfId="0" applyFont="1" applyAlignment="1">
      <alignment horizontal="left" vertical="top"/>
    </xf>
    <xf numFmtId="0" fontId="33" fillId="0" borderId="10" xfId="0" applyFont="1" applyBorder="1" applyAlignment="1">
      <alignment horizontal="left" vertical="center" wrapText="1"/>
    </xf>
    <xf numFmtId="0" fontId="32" fillId="0" borderId="0" xfId="0" applyFont="1" applyAlignment="1">
      <alignment horizontal="center" vertical="center"/>
    </xf>
    <xf numFmtId="0" fontId="17" fillId="0" borderId="0" xfId="0" applyFont="1" applyAlignment="1">
      <alignment vertical="top" wrapText="1"/>
    </xf>
    <xf numFmtId="0" fontId="17" fillId="0" borderId="11" xfId="0" applyFont="1" applyBorder="1" applyAlignment="1">
      <alignment vertical="top" wrapText="1"/>
    </xf>
    <xf numFmtId="0" fontId="32" fillId="0" borderId="0" xfId="0" applyFont="1" applyAlignment="1">
      <alignment horizontal="center"/>
    </xf>
    <xf numFmtId="3" fontId="22" fillId="4" borderId="49" xfId="0" applyNumberFormat="1" applyFont="1" applyFill="1" applyBorder="1" applyAlignment="1">
      <alignment horizontal="center" vertical="top" shrinkToFit="1"/>
    </xf>
    <xf numFmtId="0" fontId="17" fillId="5" borderId="49" xfId="0" applyFont="1" applyFill="1" applyBorder="1" applyAlignment="1">
      <alignment vertical="center" wrapText="1"/>
    </xf>
    <xf numFmtId="0" fontId="17" fillId="5" borderId="50" xfId="0" applyFont="1" applyFill="1" applyBorder="1" applyAlignment="1">
      <alignment vertical="center" wrapText="1"/>
    </xf>
    <xf numFmtId="0" fontId="37" fillId="0" borderId="10" xfId="0" applyFont="1" applyBorder="1" applyAlignment="1">
      <alignment horizontal="left" vertical="center" wrapText="1"/>
    </xf>
    <xf numFmtId="3" fontId="22" fillId="4" borderId="0" xfId="0" applyNumberFormat="1" applyFont="1" applyFill="1" applyAlignment="1">
      <alignment horizontal="center" vertical="top" shrinkToFit="1"/>
    </xf>
    <xf numFmtId="3" fontId="22" fillId="0" borderId="0" xfId="0" applyNumberFormat="1" applyFont="1" applyAlignment="1">
      <alignment vertical="top" shrinkToFit="1"/>
    </xf>
    <xf numFmtId="3" fontId="22" fillId="0" borderId="11" xfId="0" applyNumberFormat="1" applyFont="1" applyBorder="1" applyAlignment="1">
      <alignment vertical="top" shrinkToFit="1"/>
    </xf>
    <xf numFmtId="0" fontId="39" fillId="5" borderId="10" xfId="0" applyFont="1" applyFill="1" applyBorder="1" applyAlignment="1">
      <alignment horizontal="left" vertical="center" wrapText="1"/>
    </xf>
    <xf numFmtId="0" fontId="17" fillId="5" borderId="0" xfId="0" applyFont="1" applyFill="1" applyAlignment="1">
      <alignment vertical="center" wrapText="1"/>
    </xf>
    <xf numFmtId="0" fontId="17" fillId="5" borderId="11" xfId="0" applyFont="1" applyFill="1" applyBorder="1" applyAlignment="1">
      <alignment vertical="center" wrapText="1"/>
    </xf>
    <xf numFmtId="0" fontId="32" fillId="0" borderId="10" xfId="0" applyFont="1" applyBorder="1" applyAlignment="1">
      <alignment horizontal="left" vertical="center" wrapText="1"/>
    </xf>
    <xf numFmtId="0" fontId="32" fillId="0" borderId="0" xfId="0" applyFont="1" applyAlignment="1">
      <alignment vertical="center" wrapText="1"/>
    </xf>
    <xf numFmtId="0" fontId="33" fillId="0" borderId="11" xfId="0" applyFont="1" applyBorder="1" applyAlignment="1">
      <alignment vertical="center" wrapText="1"/>
    </xf>
    <xf numFmtId="0" fontId="34" fillId="5" borderId="0" xfId="0" applyFont="1" applyFill="1" applyAlignment="1">
      <alignment vertical="center" shrinkToFit="1"/>
    </xf>
    <xf numFmtId="0" fontId="34" fillId="5" borderId="11" xfId="0" applyFont="1" applyFill="1" applyBorder="1" applyAlignment="1">
      <alignment vertical="center" shrinkToFit="1"/>
    </xf>
    <xf numFmtId="0" fontId="39" fillId="0" borderId="0" xfId="0" applyFont="1" applyAlignment="1">
      <alignment vertical="center" wrapText="1"/>
    </xf>
    <xf numFmtId="0" fontId="39" fillId="0" borderId="11" xfId="0" applyFont="1" applyBorder="1" applyAlignment="1">
      <alignment vertical="center" wrapText="1"/>
    </xf>
    <xf numFmtId="0" fontId="38" fillId="0" borderId="0" xfId="0" applyFont="1" applyAlignment="1">
      <alignment vertical="center" shrinkToFit="1"/>
    </xf>
    <xf numFmtId="0" fontId="36" fillId="0" borderId="11" xfId="0" applyFont="1" applyBorder="1" applyAlignment="1">
      <alignment vertical="center" shrinkToFit="1"/>
    </xf>
    <xf numFmtId="0" fontId="32" fillId="4" borderId="49" xfId="0" applyFont="1" applyFill="1" applyBorder="1" applyAlignment="1">
      <alignment horizontal="center" vertical="center"/>
    </xf>
    <xf numFmtId="0" fontId="40" fillId="0" borderId="0" xfId="0" applyFont="1" applyAlignment="1">
      <alignment horizontal="left" vertical="top" wrapText="1" indent="80"/>
    </xf>
    <xf numFmtId="0" fontId="41" fillId="3" borderId="49" xfId="0" applyFont="1" applyFill="1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1" xfId="0" applyBorder="1" applyAlignment="1">
      <alignment vertical="top" wrapText="1"/>
    </xf>
    <xf numFmtId="0" fontId="43" fillId="0" borderId="10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  <xf numFmtId="0" fontId="29" fillId="0" borderId="10" xfId="0" applyFont="1" applyBorder="1" applyAlignment="1">
      <alignment vertical="top" wrapText="1"/>
    </xf>
    <xf numFmtId="1" fontId="22" fillId="0" borderId="0" xfId="0" applyNumberFormat="1" applyFont="1" applyAlignment="1">
      <alignment vertical="top" shrinkToFit="1"/>
    </xf>
    <xf numFmtId="1" fontId="22" fillId="0" borderId="11" xfId="0" applyNumberFormat="1" applyFont="1" applyBorder="1" applyAlignment="1">
      <alignment vertical="top" shrinkToFit="1"/>
    </xf>
    <xf numFmtId="0" fontId="29" fillId="0" borderId="11" xfId="0" applyFont="1" applyBorder="1" applyAlignment="1">
      <alignment vertical="top" wrapText="1"/>
    </xf>
    <xf numFmtId="0" fontId="43" fillId="5" borderId="10" xfId="0" applyFont="1" applyFill="1" applyBorder="1" applyAlignment="1">
      <alignment vertical="top" wrapText="1"/>
    </xf>
    <xf numFmtId="3" fontId="19" fillId="5" borderId="0" xfId="0" applyNumberFormat="1" applyFont="1" applyFill="1" applyAlignment="1">
      <alignment vertical="top" shrinkToFit="1"/>
    </xf>
    <xf numFmtId="3" fontId="19" fillId="5" borderId="11" xfId="0" applyNumberFormat="1" applyFont="1" applyFill="1" applyBorder="1" applyAlignment="1">
      <alignment vertical="top" shrinkToFi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29" fillId="0" borderId="0" xfId="0" applyFont="1" applyAlignment="1">
      <alignment vertical="top" wrapText="1"/>
    </xf>
    <xf numFmtId="0" fontId="44" fillId="0" borderId="0" xfId="0" applyFont="1" applyAlignment="1">
      <alignment horizontal="left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1" xfId="0" applyBorder="1" applyAlignment="1">
      <alignment vertical="top"/>
    </xf>
    <xf numFmtId="0" fontId="43" fillId="0" borderId="10" xfId="0" applyFont="1" applyBorder="1" applyAlignment="1">
      <alignment horizontal="left" vertical="top" wrapText="1"/>
    </xf>
    <xf numFmtId="0" fontId="43" fillId="5" borderId="12" xfId="0" applyFont="1" applyFill="1" applyBorder="1" applyAlignment="1">
      <alignment horizontal="left" vertical="top" wrapText="1"/>
    </xf>
    <xf numFmtId="3" fontId="19" fillId="5" borderId="13" xfId="0" applyNumberFormat="1" applyFont="1" applyFill="1" applyBorder="1" applyAlignment="1">
      <alignment vertical="top" shrinkToFit="1"/>
    </xf>
    <xf numFmtId="3" fontId="19" fillId="5" borderId="14" xfId="0" applyNumberFormat="1" applyFont="1" applyFill="1" applyBorder="1" applyAlignment="1">
      <alignment vertical="top" shrinkToFit="1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vertical="center"/>
    </xf>
    <xf numFmtId="0" fontId="45" fillId="0" borderId="0" xfId="0" applyFont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horizontal="left" vertical="center" wrapText="1"/>
    </xf>
    <xf numFmtId="0" fontId="17" fillId="4" borderId="49" xfId="0" applyFont="1" applyFill="1" applyBorder="1" applyAlignment="1">
      <alignment horizontal="center" vertical="center" wrapText="1"/>
    </xf>
    <xf numFmtId="0" fontId="0" fillId="0" borderId="49" xfId="0" applyBorder="1" applyAlignment="1">
      <alignment vertical="top" wrapText="1"/>
    </xf>
    <xf numFmtId="0" fontId="0" fillId="0" borderId="50" xfId="0" applyBorder="1" applyAlignment="1">
      <alignment vertical="top" wrapText="1"/>
    </xf>
    <xf numFmtId="0" fontId="0" fillId="0" borderId="0" xfId="1" applyNumberFormat="1" applyFont="1" applyFill="1" applyBorder="1" applyAlignment="1">
      <alignment vertical="top" wrapText="1"/>
    </xf>
    <xf numFmtId="0" fontId="0" fillId="0" borderId="11" xfId="1" applyNumberFormat="1" applyFont="1" applyFill="1" applyBorder="1" applyAlignment="1">
      <alignment vertical="top" wrapText="1"/>
    </xf>
    <xf numFmtId="0" fontId="22" fillId="0" borderId="0" xfId="1" applyNumberFormat="1" applyFont="1" applyFill="1" applyBorder="1" applyAlignment="1">
      <alignment vertical="top" wrapText="1" shrinkToFit="1"/>
    </xf>
    <xf numFmtId="0" fontId="22" fillId="0" borderId="11" xfId="1" applyNumberFormat="1" applyFont="1" applyFill="1" applyBorder="1" applyAlignment="1">
      <alignment vertical="top" wrapText="1" shrinkToFit="1"/>
    </xf>
    <xf numFmtId="0" fontId="29" fillId="0" borderId="0" xfId="1" applyNumberFormat="1" applyFont="1" applyFill="1" applyBorder="1" applyAlignment="1">
      <alignment vertical="top" wrapText="1"/>
    </xf>
    <xf numFmtId="0" fontId="43" fillId="5" borderId="10" xfId="0" applyFont="1" applyFill="1" applyBorder="1" applyAlignment="1">
      <alignment horizontal="left" vertical="top" wrapText="1"/>
    </xf>
    <xf numFmtId="0" fontId="19" fillId="5" borderId="0" xfId="1" applyNumberFormat="1" applyFont="1" applyFill="1" applyBorder="1" applyAlignment="1">
      <alignment vertical="top" wrapText="1" shrinkToFit="1"/>
    </xf>
    <xf numFmtId="0" fontId="19" fillId="5" borderId="11" xfId="1" applyNumberFormat="1" applyFont="1" applyFill="1" applyBorder="1" applyAlignment="1">
      <alignment vertical="top" wrapText="1" shrinkToFit="1"/>
    </xf>
    <xf numFmtId="0" fontId="43" fillId="0" borderId="10" xfId="0" applyFont="1" applyBorder="1" applyAlignment="1">
      <alignment horizontal="left" wrapText="1"/>
    </xf>
    <xf numFmtId="0" fontId="19" fillId="5" borderId="13" xfId="0" applyFont="1" applyFill="1" applyBorder="1" applyAlignment="1">
      <alignment vertical="top" wrapText="1" shrinkToFit="1"/>
    </xf>
    <xf numFmtId="0" fontId="19" fillId="5" borderId="14" xfId="0" applyFont="1" applyFill="1" applyBorder="1" applyAlignment="1">
      <alignment vertical="top" wrapText="1" shrinkToFit="1"/>
    </xf>
    <xf numFmtId="0" fontId="0" fillId="0" borderId="50" xfId="0" applyBorder="1" applyAlignment="1">
      <alignment vertical="center"/>
    </xf>
    <xf numFmtId="0" fontId="0" fillId="3" borderId="8" xfId="0" applyFill="1" applyBorder="1" applyAlignment="1">
      <alignment wrapText="1"/>
    </xf>
    <xf numFmtId="3" fontId="19" fillId="5" borderId="0" xfId="0" applyNumberFormat="1" applyFont="1" applyFill="1" applyAlignment="1">
      <alignment horizontal="left" vertical="top" shrinkToFit="1"/>
    </xf>
    <xf numFmtId="165" fontId="19" fillId="5" borderId="0" xfId="0" applyNumberFormat="1" applyFont="1" applyFill="1" applyAlignment="1">
      <alignment horizontal="left" vertical="top" shrinkToFit="1"/>
    </xf>
    <xf numFmtId="3" fontId="19" fillId="5" borderId="11" xfId="0" applyNumberFormat="1" applyFont="1" applyFill="1" applyBorder="1" applyAlignment="1">
      <alignment horizontal="left" vertical="top" shrinkToFit="1"/>
    </xf>
    <xf numFmtId="0" fontId="29" fillId="0" borderId="0" xfId="0" applyFont="1" applyAlignment="1">
      <alignment horizontal="center" vertical="top" wrapText="1"/>
    </xf>
    <xf numFmtId="1" fontId="22" fillId="0" borderId="0" xfId="0" applyNumberFormat="1" applyFont="1" applyAlignment="1">
      <alignment horizontal="center" vertical="top" shrinkToFit="1"/>
    </xf>
    <xf numFmtId="1" fontId="22" fillId="0" borderId="11" xfId="0" applyNumberFormat="1" applyFont="1" applyBorder="1" applyAlignment="1">
      <alignment horizontal="center" vertical="top" shrinkToFit="1"/>
    </xf>
    <xf numFmtId="3" fontId="22" fillId="0" borderId="11" xfId="0" applyNumberFormat="1" applyFont="1" applyBorder="1" applyAlignment="1">
      <alignment horizontal="center" vertical="top" shrinkToFit="1"/>
    </xf>
    <xf numFmtId="0" fontId="43" fillId="5" borderId="0" xfId="0" applyFont="1" applyFill="1" applyAlignment="1">
      <alignment vertical="top" wrapText="1"/>
    </xf>
    <xf numFmtId="0" fontId="43" fillId="5" borderId="0" xfId="0" applyFont="1" applyFill="1" applyAlignment="1">
      <alignment horizontal="center" vertical="top" wrapText="1"/>
    </xf>
    <xf numFmtId="1" fontId="19" fillId="5" borderId="0" xfId="0" applyNumberFormat="1" applyFont="1" applyFill="1" applyAlignment="1">
      <alignment horizontal="center" vertical="top" shrinkToFit="1"/>
    </xf>
    <xf numFmtId="3" fontId="19" fillId="5" borderId="11" xfId="0" applyNumberFormat="1" applyFont="1" applyFill="1" applyBorder="1" applyAlignment="1">
      <alignment horizontal="center" vertical="top" shrinkToFit="1"/>
    </xf>
    <xf numFmtId="0" fontId="29" fillId="0" borderId="0" xfId="0" applyFont="1" applyAlignment="1">
      <alignment wrapText="1"/>
    </xf>
    <xf numFmtId="37" fontId="22" fillId="0" borderId="0" xfId="0" applyNumberFormat="1" applyFont="1" applyAlignment="1">
      <alignment horizontal="center" shrinkToFit="1"/>
    </xf>
    <xf numFmtId="0" fontId="29" fillId="0" borderId="0" xfId="0" applyFont="1" applyAlignment="1">
      <alignment horizontal="center" wrapText="1"/>
    </xf>
    <xf numFmtId="37" fontId="22" fillId="0" borderId="11" xfId="0" applyNumberFormat="1" applyFont="1" applyBorder="1" applyAlignment="1">
      <alignment horizontal="center" shrinkToFit="1"/>
    </xf>
    <xf numFmtId="37" fontId="22" fillId="0" borderId="0" xfId="0" applyNumberFormat="1" applyFont="1" applyAlignment="1">
      <alignment vertical="top" shrinkToFit="1"/>
    </xf>
    <xf numFmtId="3" fontId="22" fillId="0" borderId="0" xfId="0" applyNumberFormat="1" applyFont="1" applyAlignment="1">
      <alignment horizontal="center" vertical="top" shrinkToFit="1"/>
    </xf>
    <xf numFmtId="0" fontId="29" fillId="0" borderId="11" xfId="0" applyFont="1" applyBorder="1" applyAlignment="1">
      <alignment horizontal="center" vertical="top" wrapText="1"/>
    </xf>
    <xf numFmtId="37" fontId="22" fillId="0" borderId="0" xfId="0" applyNumberFormat="1" applyFont="1" applyAlignment="1">
      <alignment horizontal="center" vertical="top" shrinkToFit="1"/>
    </xf>
    <xf numFmtId="37" fontId="22" fillId="0" borderId="11" xfId="0" applyNumberFormat="1" applyFont="1" applyBorder="1" applyAlignment="1">
      <alignment horizontal="center" vertical="top" shrinkToFit="1"/>
    </xf>
    <xf numFmtId="3" fontId="19" fillId="5" borderId="0" xfId="0" applyNumberFormat="1" applyFont="1" applyFill="1" applyAlignment="1">
      <alignment horizontal="center" vertical="top" shrinkToFit="1"/>
    </xf>
    <xf numFmtId="165" fontId="19" fillId="5" borderId="0" xfId="0" applyNumberFormat="1" applyFont="1" applyFill="1" applyAlignment="1">
      <alignment horizontal="center" vertical="top" shrinkToFit="1"/>
    </xf>
    <xf numFmtId="0" fontId="0" fillId="0" borderId="11" xfId="0" applyBorder="1" applyAlignment="1">
      <alignment horizontal="center" vertical="center" wrapText="1"/>
    </xf>
    <xf numFmtId="165" fontId="22" fillId="0" borderId="0" xfId="0" applyNumberFormat="1" applyFont="1" applyAlignment="1">
      <alignment horizontal="center" vertical="top" shrinkToFit="1"/>
    </xf>
    <xf numFmtId="165" fontId="22" fillId="0" borderId="11" xfId="0" applyNumberFormat="1" applyFont="1" applyBorder="1" applyAlignment="1">
      <alignment horizontal="center" vertical="top" shrinkToFit="1"/>
    </xf>
    <xf numFmtId="3" fontId="19" fillId="5" borderId="13" xfId="0" applyNumberFormat="1" applyFont="1" applyFill="1" applyBorder="1" applyAlignment="1">
      <alignment horizontal="center" vertical="top" shrinkToFit="1"/>
    </xf>
    <xf numFmtId="165" fontId="19" fillId="5" borderId="13" xfId="0" applyNumberFormat="1" applyFont="1" applyFill="1" applyBorder="1" applyAlignment="1">
      <alignment horizontal="center" vertical="top" shrinkToFit="1"/>
    </xf>
    <xf numFmtId="3" fontId="19" fillId="5" borderId="14" xfId="0" applyNumberFormat="1" applyFont="1" applyFill="1" applyBorder="1" applyAlignment="1">
      <alignment horizontal="center" vertical="top" shrinkToFit="1"/>
    </xf>
    <xf numFmtId="0" fontId="17" fillId="0" borderId="0" xfId="0" applyFont="1" applyAlignment="1">
      <alignment horizontal="center" vertical="center"/>
    </xf>
    <xf numFmtId="0" fontId="44" fillId="0" borderId="0" xfId="0" applyFont="1" applyAlignment="1">
      <alignment vertical="top"/>
    </xf>
    <xf numFmtId="0" fontId="0" fillId="0" borderId="15" xfId="0" applyBorder="1" applyAlignment="1">
      <alignment wrapText="1"/>
    </xf>
    <xf numFmtId="0" fontId="0" fillId="0" borderId="49" xfId="0" applyBorder="1" applyAlignment="1">
      <alignment wrapText="1"/>
    </xf>
    <xf numFmtId="0" fontId="0" fillId="0" borderId="50" xfId="0" applyBorder="1" applyAlignment="1">
      <alignment horizontal="center" vertical="top" wrapText="1"/>
    </xf>
    <xf numFmtId="0" fontId="48" fillId="0" borderId="0" xfId="0" applyFont="1" applyAlignment="1">
      <alignment vertical="top" wrapText="1"/>
    </xf>
    <xf numFmtId="0" fontId="48" fillId="0" borderId="0" xfId="0" applyFont="1" applyAlignment="1">
      <alignment horizontal="center" vertical="top" wrapText="1"/>
    </xf>
    <xf numFmtId="1" fontId="46" fillId="0" borderId="11" xfId="0" applyNumberFormat="1" applyFont="1" applyBorder="1" applyAlignment="1">
      <alignment horizontal="center" vertical="top" shrinkToFit="1"/>
    </xf>
    <xf numFmtId="1" fontId="46" fillId="0" borderId="0" xfId="0" applyNumberFormat="1" applyFont="1" applyAlignment="1">
      <alignment vertical="top" shrinkToFit="1"/>
    </xf>
    <xf numFmtId="0" fontId="0" fillId="0" borderId="0" xfId="0" applyAlignment="1">
      <alignment horizontal="center" wrapText="1"/>
    </xf>
    <xf numFmtId="0" fontId="48" fillId="0" borderId="11" xfId="0" applyFont="1" applyBorder="1" applyAlignment="1">
      <alignment horizontal="center" vertical="top" wrapText="1"/>
    </xf>
    <xf numFmtId="0" fontId="0" fillId="0" borderId="51" xfId="0" applyBorder="1" applyAlignment="1">
      <alignment wrapText="1"/>
    </xf>
    <xf numFmtId="0" fontId="48" fillId="7" borderId="10" xfId="0" applyFont="1" applyFill="1" applyBorder="1" applyAlignment="1">
      <alignment vertical="top" wrapText="1"/>
    </xf>
    <xf numFmtId="1" fontId="46" fillId="7" borderId="0" xfId="0" applyNumberFormat="1" applyFont="1" applyFill="1" applyAlignment="1">
      <alignment horizontal="center" vertical="top" shrinkToFit="1"/>
    </xf>
    <xf numFmtId="3" fontId="46" fillId="7" borderId="0" xfId="0" applyNumberFormat="1" applyFont="1" applyFill="1" applyAlignment="1">
      <alignment horizontal="center" vertical="top" shrinkToFit="1"/>
    </xf>
    <xf numFmtId="3" fontId="46" fillId="7" borderId="11" xfId="0" applyNumberFormat="1" applyFont="1" applyFill="1" applyBorder="1" applyAlignment="1">
      <alignment horizontal="center" vertical="top" shrinkToFit="1"/>
    </xf>
    <xf numFmtId="0" fontId="29" fillId="0" borderId="10" xfId="0" applyFont="1" applyBorder="1" applyAlignment="1">
      <alignment wrapText="1"/>
    </xf>
    <xf numFmtId="37" fontId="49" fillId="0" borderId="0" xfId="0" applyNumberFormat="1" applyFont="1" applyAlignment="1">
      <alignment horizontal="center" shrinkToFit="1"/>
    </xf>
    <xf numFmtId="37" fontId="49" fillId="0" borderId="11" xfId="0" applyNumberFormat="1" applyFont="1" applyBorder="1" applyAlignment="1">
      <alignment horizontal="center" shrinkToFit="1"/>
    </xf>
    <xf numFmtId="37" fontId="49" fillId="0" borderId="0" xfId="0" applyNumberFormat="1" applyFont="1" applyAlignment="1">
      <alignment horizontal="center" vertical="top" shrinkToFit="1"/>
    </xf>
    <xf numFmtId="37" fontId="49" fillId="0" borderId="11" xfId="0" applyNumberFormat="1" applyFont="1" applyBorder="1" applyAlignment="1">
      <alignment horizontal="center" vertical="top" shrinkToFit="1"/>
    </xf>
    <xf numFmtId="0" fontId="0" fillId="7" borderId="0" xfId="0" applyFill="1" applyAlignment="1">
      <alignment horizontal="center" vertical="center" wrapText="1"/>
    </xf>
    <xf numFmtId="37" fontId="46" fillId="7" borderId="0" xfId="0" applyNumberFormat="1" applyFont="1" applyFill="1" applyAlignment="1">
      <alignment horizontal="center" vertical="top" shrinkToFit="1"/>
    </xf>
    <xf numFmtId="37" fontId="46" fillId="7" borderId="11" xfId="0" applyNumberFormat="1" applyFont="1" applyFill="1" applyBorder="1" applyAlignment="1">
      <alignment horizontal="center" vertical="top" shrinkToFit="1"/>
    </xf>
    <xf numFmtId="1" fontId="49" fillId="0" borderId="0" xfId="0" applyNumberFormat="1" applyFont="1" applyAlignment="1">
      <alignment horizontal="center" vertical="top" shrinkToFit="1"/>
    </xf>
    <xf numFmtId="165" fontId="49" fillId="0" borderId="0" xfId="0" applyNumberFormat="1" applyFont="1" applyAlignment="1">
      <alignment horizontal="center" vertical="top" shrinkToFit="1"/>
    </xf>
    <xf numFmtId="165" fontId="49" fillId="0" borderId="11" xfId="0" applyNumberFormat="1" applyFont="1" applyBorder="1" applyAlignment="1">
      <alignment horizontal="center" vertical="top" shrinkToFit="1"/>
    </xf>
    <xf numFmtId="3" fontId="46" fillId="0" borderId="0" xfId="0" applyNumberFormat="1" applyFont="1" applyAlignment="1">
      <alignment horizontal="center" vertical="top" shrinkToFit="1"/>
    </xf>
    <xf numFmtId="3" fontId="49" fillId="0" borderId="11" xfId="0" applyNumberFormat="1" applyFont="1" applyBorder="1" applyAlignment="1">
      <alignment horizontal="center" vertical="top" shrinkToFit="1"/>
    </xf>
    <xf numFmtId="0" fontId="0" fillId="0" borderId="10" xfId="0" applyBorder="1" applyAlignment="1">
      <alignment vertical="top" wrapText="1"/>
    </xf>
    <xf numFmtId="0" fontId="48" fillId="0" borderId="0" xfId="0" applyFont="1" applyAlignment="1">
      <alignment horizontal="center" wrapText="1"/>
    </xf>
    <xf numFmtId="0" fontId="48" fillId="0" borderId="11" xfId="0" applyFont="1" applyBorder="1" applyAlignment="1">
      <alignment horizontal="center" wrapText="1"/>
    </xf>
    <xf numFmtId="2" fontId="49" fillId="0" borderId="0" xfId="0" applyNumberFormat="1" applyFont="1" applyAlignment="1">
      <alignment horizontal="center" vertical="top" shrinkToFit="1"/>
    </xf>
    <xf numFmtId="2" fontId="49" fillId="0" borderId="11" xfId="0" applyNumberFormat="1" applyFont="1" applyBorder="1" applyAlignment="1">
      <alignment horizontal="center" vertical="top" shrinkToFit="1"/>
    </xf>
    <xf numFmtId="0" fontId="0" fillId="0" borderId="11" xfId="0" applyBorder="1" applyAlignment="1">
      <alignment horizontal="center" vertical="top" wrapText="1"/>
    </xf>
    <xf numFmtId="0" fontId="48" fillId="7" borderId="0" xfId="0" applyFont="1" applyFill="1" applyAlignment="1">
      <alignment vertical="top" wrapText="1"/>
    </xf>
    <xf numFmtId="3" fontId="46" fillId="7" borderId="0" xfId="0" applyNumberFormat="1" applyFont="1" applyFill="1" applyAlignment="1">
      <alignment vertical="top" shrinkToFit="1"/>
    </xf>
    <xf numFmtId="0" fontId="48" fillId="0" borderId="10" xfId="0" applyFont="1" applyBorder="1" applyAlignment="1">
      <alignment vertical="top" wrapText="1"/>
    </xf>
    <xf numFmtId="3" fontId="49" fillId="0" borderId="0" xfId="0" applyNumberFormat="1" applyFont="1" applyAlignment="1">
      <alignment vertical="center" shrinkToFit="1"/>
    </xf>
    <xf numFmtId="3" fontId="49" fillId="0" borderId="11" xfId="0" applyNumberFormat="1" applyFont="1" applyBorder="1" applyAlignment="1">
      <alignment horizontal="center" vertical="center" shrinkToFit="1"/>
    </xf>
    <xf numFmtId="3" fontId="46" fillId="0" borderId="0" xfId="0" applyNumberFormat="1" applyFont="1" applyAlignment="1">
      <alignment vertical="top" shrinkToFit="1"/>
    </xf>
    <xf numFmtId="3" fontId="46" fillId="0" borderId="11" xfId="0" applyNumberFormat="1" applyFont="1" applyBorder="1" applyAlignment="1">
      <alignment horizontal="center" vertical="top" shrinkToFit="1"/>
    </xf>
    <xf numFmtId="0" fontId="48" fillId="7" borderId="12" xfId="0" applyFont="1" applyFill="1" applyBorder="1" applyAlignment="1">
      <alignment vertical="top" wrapText="1"/>
    </xf>
    <xf numFmtId="0" fontId="48" fillId="7" borderId="13" xfId="0" applyFont="1" applyFill="1" applyBorder="1" applyAlignment="1">
      <alignment vertical="top" wrapText="1"/>
    </xf>
    <xf numFmtId="3" fontId="46" fillId="7" borderId="13" xfId="0" applyNumberFormat="1" applyFont="1" applyFill="1" applyBorder="1" applyAlignment="1">
      <alignment vertical="top" shrinkToFit="1"/>
    </xf>
    <xf numFmtId="3" fontId="46" fillId="7" borderId="14" xfId="0" applyNumberFormat="1" applyFont="1" applyFill="1" applyBorder="1" applyAlignment="1">
      <alignment horizontal="center" vertical="top" shrinkToFit="1"/>
    </xf>
    <xf numFmtId="0" fontId="40" fillId="0" borderId="0" xfId="0" applyFont="1" applyAlignment="1">
      <alignment vertical="top" wrapText="1"/>
    </xf>
    <xf numFmtId="0" fontId="40" fillId="0" borderId="0" xfId="0" applyFont="1" applyAlignment="1">
      <alignment horizontal="center" vertical="top" wrapText="1"/>
    </xf>
    <xf numFmtId="0" fontId="50" fillId="0" borderId="15" xfId="0" applyFont="1" applyBorder="1" applyAlignment="1">
      <alignment horizontal="left" vertical="top"/>
    </xf>
    <xf numFmtId="0" fontId="0" fillId="0" borderId="50" xfId="0" applyBorder="1" applyAlignment="1">
      <alignment horizontal="center" wrapText="1"/>
    </xf>
    <xf numFmtId="0" fontId="0" fillId="7" borderId="0" xfId="0" applyFill="1" applyAlignment="1">
      <alignment vertical="center" wrapText="1"/>
    </xf>
    <xf numFmtId="0" fontId="0" fillId="7" borderId="11" xfId="0" applyFill="1" applyBorder="1" applyAlignment="1">
      <alignment horizontal="center" vertical="center" wrapText="1"/>
    </xf>
    <xf numFmtId="1" fontId="49" fillId="0" borderId="0" xfId="0" applyNumberFormat="1" applyFont="1" applyAlignment="1">
      <alignment vertical="top" shrinkToFit="1"/>
    </xf>
    <xf numFmtId="3" fontId="49" fillId="0" borderId="0" xfId="0" applyNumberFormat="1" applyFont="1" applyAlignment="1">
      <alignment vertical="top" shrinkToFit="1"/>
    </xf>
    <xf numFmtId="1" fontId="49" fillId="0" borderId="11" xfId="0" applyNumberFormat="1" applyFont="1" applyBorder="1" applyAlignment="1">
      <alignment horizontal="center" vertical="top" shrinkToFit="1"/>
    </xf>
    <xf numFmtId="1" fontId="51" fillId="0" borderId="0" xfId="0" applyNumberFormat="1" applyFont="1" applyAlignment="1">
      <alignment vertical="top" shrinkToFit="1"/>
    </xf>
    <xf numFmtId="0" fontId="0" fillId="0" borderId="11" xfId="0" applyBorder="1" applyAlignment="1">
      <alignment horizontal="center" wrapText="1"/>
    </xf>
    <xf numFmtId="0" fontId="0" fillId="7" borderId="13" xfId="0" applyFill="1" applyBorder="1" applyAlignment="1">
      <alignment vertical="center" wrapText="1"/>
    </xf>
    <xf numFmtId="0" fontId="52" fillId="0" borderId="15" xfId="0" applyFont="1" applyBorder="1" applyAlignment="1">
      <alignment horizontal="left" vertical="top" wrapText="1"/>
    </xf>
    <xf numFmtId="0" fontId="0" fillId="0" borderId="49" xfId="0" applyBorder="1" applyAlignment="1">
      <alignment horizontal="left" vertical="top" wrapText="1"/>
    </xf>
    <xf numFmtId="37" fontId="49" fillId="0" borderId="0" xfId="0" applyNumberFormat="1" applyFont="1" applyAlignment="1">
      <alignment vertical="top" shrinkToFit="1"/>
    </xf>
    <xf numFmtId="165" fontId="49" fillId="0" borderId="0" xfId="0" applyNumberFormat="1" applyFont="1" applyAlignment="1">
      <alignment vertical="top" shrinkToFit="1"/>
    </xf>
    <xf numFmtId="37" fontId="46" fillId="7" borderId="0" xfId="0" applyNumberFormat="1" applyFont="1" applyFill="1" applyAlignment="1">
      <alignment vertical="top" shrinkToFit="1"/>
    </xf>
    <xf numFmtId="0" fontId="48" fillId="0" borderId="10" xfId="0" applyFont="1" applyBorder="1" applyAlignment="1">
      <alignment wrapText="1"/>
    </xf>
    <xf numFmtId="1" fontId="46" fillId="0" borderId="0" xfId="0" applyNumberFormat="1" applyFont="1" applyAlignment="1">
      <alignment shrinkToFit="1"/>
    </xf>
    <xf numFmtId="3" fontId="46" fillId="0" borderId="11" xfId="0" applyNumberFormat="1" applyFont="1" applyBorder="1" applyAlignment="1">
      <alignment horizontal="center" shrinkToFit="1"/>
    </xf>
    <xf numFmtId="1" fontId="46" fillId="7" borderId="13" xfId="0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center" vertical="top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horizontal="center" vertical="top" wrapText="1"/>
    </xf>
    <xf numFmtId="0" fontId="20" fillId="5" borderId="0" xfId="0" applyFont="1" applyFill="1" applyAlignment="1">
      <alignment vertical="top" wrapText="1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0" fontId="20" fillId="5" borderId="0" xfId="0" applyFont="1" applyFill="1" applyAlignment="1">
      <alignment horizontal="center" vertical="top" wrapText="1"/>
    </xf>
    <xf numFmtId="0" fontId="20" fillId="5" borderId="12" xfId="0" applyFont="1" applyFill="1" applyBorder="1" applyAlignment="1">
      <alignment horizontal="left" vertical="top" wrapText="1"/>
    </xf>
    <xf numFmtId="0" fontId="48" fillId="0" borderId="51" xfId="0" applyFont="1" applyBorder="1" applyAlignment="1">
      <alignment vertical="top" wrapText="1"/>
    </xf>
    <xf numFmtId="0" fontId="0" fillId="0" borderId="11" xfId="0" applyBorder="1" applyAlignment="1">
      <alignment horizontal="center" vertical="top"/>
    </xf>
    <xf numFmtId="0" fontId="20" fillId="5" borderId="11" xfId="0" applyFont="1" applyFill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55" fillId="8" borderId="0" xfId="0" applyFont="1" applyFill="1"/>
    <xf numFmtId="0" fontId="56" fillId="8" borderId="0" xfId="0" applyFont="1" applyFill="1"/>
    <xf numFmtId="166" fontId="56" fillId="9" borderId="52" xfId="0" applyNumberFormat="1" applyFont="1" applyFill="1" applyBorder="1"/>
    <xf numFmtId="0" fontId="56" fillId="8" borderId="0" xfId="0" applyFont="1" applyFill="1" applyAlignment="1">
      <alignment horizontal="centerContinuous"/>
    </xf>
    <xf numFmtId="0" fontId="57" fillId="8" borderId="0" xfId="0" applyFont="1" applyFill="1" applyAlignment="1">
      <alignment horizontal="centerContinuous"/>
    </xf>
    <xf numFmtId="0" fontId="0" fillId="0" borderId="0" xfId="0"/>
    <xf numFmtId="0" fontId="58" fillId="0" borderId="0" xfId="0" applyFont="1"/>
    <xf numFmtId="0" fontId="62" fillId="0" borderId="53" xfId="0" applyFont="1" applyBorder="1"/>
    <xf numFmtId="0" fontId="58" fillId="0" borderId="53" xfId="0" applyFont="1" applyBorder="1"/>
    <xf numFmtId="10" fontId="58" fillId="0" borderId="0" xfId="2" applyNumberFormat="1" applyFont="1"/>
    <xf numFmtId="10" fontId="58" fillId="0" borderId="54" xfId="2" applyNumberFormat="1" applyFont="1" applyBorder="1"/>
    <xf numFmtId="10" fontId="63" fillId="0" borderId="0" xfId="0" applyNumberFormat="1" applyFont="1"/>
    <xf numFmtId="169" fontId="58" fillId="0" borderId="0" xfId="0" applyNumberFormat="1" applyFont="1"/>
    <xf numFmtId="10" fontId="58" fillId="0" borderId="0" xfId="0" applyNumberFormat="1" applyFont="1"/>
    <xf numFmtId="0" fontId="64" fillId="0" borderId="53" xfId="0" applyFont="1" applyBorder="1"/>
    <xf numFmtId="0" fontId="64" fillId="0" borderId="0" xfId="0" applyFont="1"/>
    <xf numFmtId="0" fontId="62" fillId="0" borderId="0" xfId="0" applyFont="1"/>
    <xf numFmtId="0" fontId="64" fillId="0" borderId="54" xfId="0" applyFont="1" applyBorder="1"/>
    <xf numFmtId="0" fontId="58" fillId="0" borderId="0" xfId="0" applyFont="1" applyAlignment="1">
      <alignment horizontal="left" indent="2"/>
    </xf>
    <xf numFmtId="169" fontId="64" fillId="0" borderId="0" xfId="0" applyNumberFormat="1" applyFont="1"/>
    <xf numFmtId="10" fontId="64" fillId="0" borderId="0" xfId="2" applyNumberFormat="1" applyFont="1"/>
    <xf numFmtId="9" fontId="58" fillId="0" borderId="0" xfId="2" applyFont="1"/>
    <xf numFmtId="0" fontId="58" fillId="0" borderId="0" xfId="0" applyFont="1" applyAlignment="1">
      <alignment horizontal="left"/>
    </xf>
    <xf numFmtId="169" fontId="66" fillId="0" borderId="0" xfId="0" applyNumberFormat="1" applyFont="1"/>
    <xf numFmtId="167" fontId="0" fillId="0" borderId="0" xfId="0" applyNumberFormat="1"/>
    <xf numFmtId="0" fontId="58" fillId="0" borderId="56" xfId="0" applyFont="1" applyBorder="1"/>
    <xf numFmtId="169" fontId="64" fillId="0" borderId="54" xfId="0" applyNumberFormat="1" applyFont="1" applyBorder="1"/>
    <xf numFmtId="10" fontId="66" fillId="0" borderId="0" xfId="2" applyNumberFormat="1" applyFont="1"/>
    <xf numFmtId="0" fontId="58" fillId="0" borderId="54" xfId="0" applyFont="1" applyBorder="1"/>
    <xf numFmtId="0" fontId="58" fillId="0" borderId="0" xfId="0" applyFont="1" applyAlignment="1">
      <alignment horizontal="left" indent="1"/>
    </xf>
    <xf numFmtId="0" fontId="67" fillId="0" borderId="0" xfId="0" applyFont="1"/>
    <xf numFmtId="0" fontId="67" fillId="0" borderId="56" xfId="0" applyFont="1" applyBorder="1"/>
    <xf numFmtId="166" fontId="68" fillId="0" borderId="0" xfId="1" applyNumberFormat="1" applyFont="1" applyFill="1" applyBorder="1" applyProtection="1">
      <protection locked="0"/>
    </xf>
    <xf numFmtId="171" fontId="63" fillId="0" borderId="0" xfId="1" applyNumberFormat="1" applyFont="1" applyFill="1" applyBorder="1" applyAlignment="1" applyProtection="1">
      <alignment horizontal="right"/>
      <protection locked="0"/>
    </xf>
    <xf numFmtId="166" fontId="67" fillId="0" borderId="53" xfId="1" applyNumberFormat="1" applyFont="1" applyFill="1" applyBorder="1" applyProtection="1">
      <protection locked="0"/>
    </xf>
    <xf numFmtId="166" fontId="68" fillId="0" borderId="53" xfId="1" applyNumberFormat="1" applyFont="1" applyFill="1" applyBorder="1" applyProtection="1">
      <protection locked="0"/>
    </xf>
    <xf numFmtId="166" fontId="67" fillId="0" borderId="0" xfId="1" applyNumberFormat="1" applyFont="1" applyFill="1" applyBorder="1" applyProtection="1">
      <protection locked="0"/>
    </xf>
    <xf numFmtId="166" fontId="68" fillId="0" borderId="54" xfId="1" applyNumberFormat="1" applyFont="1" applyFill="1" applyBorder="1" applyProtection="1">
      <protection locked="0"/>
    </xf>
    <xf numFmtId="172" fontId="67" fillId="0" borderId="0" xfId="1" applyNumberFormat="1" applyFont="1" applyFill="1" applyBorder="1" applyProtection="1">
      <protection locked="0"/>
    </xf>
    <xf numFmtId="167" fontId="67" fillId="12" borderId="52" xfId="1" applyNumberFormat="1" applyFont="1" applyFill="1" applyBorder="1" applyAlignment="1" applyProtection="1">
      <alignment horizontal="center" vertical="center"/>
      <protection locked="0"/>
    </xf>
    <xf numFmtId="0" fontId="59" fillId="8" borderId="0" xfId="0" applyFont="1" applyFill="1" applyAlignment="1">
      <alignment horizontal="left" vertical="center"/>
    </xf>
    <xf numFmtId="0" fontId="56" fillId="8" borderId="0" xfId="0" applyFont="1" applyFill="1" applyAlignment="1">
      <alignment horizontal="left" vertical="center"/>
    </xf>
    <xf numFmtId="167" fontId="56" fillId="9" borderId="52" xfId="0" applyNumberFormat="1" applyFont="1" applyFill="1" applyBorder="1" applyAlignment="1">
      <alignment horizontal="left" vertical="center"/>
    </xf>
    <xf numFmtId="0" fontId="60" fillId="10" borderId="0" xfId="0" applyFont="1" applyFill="1" applyAlignment="1">
      <alignment horizontal="left" vertical="center"/>
    </xf>
    <xf numFmtId="0" fontId="14" fillId="9" borderId="2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vertical="top" wrapText="1" indent="5"/>
    </xf>
    <xf numFmtId="164" fontId="0" fillId="0" borderId="0" xfId="0" applyNumberFormat="1" applyAlignment="1">
      <alignment horizontal="left" vertical="top"/>
    </xf>
    <xf numFmtId="0" fontId="10" fillId="0" borderId="10" xfId="0" applyFont="1" applyBorder="1" applyAlignment="1">
      <alignment horizontal="left" vertical="top" wrapText="1"/>
    </xf>
    <xf numFmtId="0" fontId="15" fillId="2" borderId="22" xfId="0" applyFont="1" applyFill="1" applyBorder="1" applyAlignment="1">
      <alignment horizontal="left" vertical="top" wrapText="1"/>
    </xf>
    <xf numFmtId="0" fontId="15" fillId="9" borderId="22" xfId="0" applyFont="1" applyFill="1" applyBorder="1" applyAlignment="1">
      <alignment horizontal="left" vertical="top" wrapText="1"/>
    </xf>
    <xf numFmtId="37" fontId="3" fillId="0" borderId="15" xfId="0" applyNumberFormat="1" applyFont="1" applyBorder="1" applyAlignment="1">
      <alignment horizontal="center" vertical="center" shrinkToFit="1"/>
    </xf>
    <xf numFmtId="2" fontId="3" fillId="0" borderId="10" xfId="0" applyNumberFormat="1" applyFont="1" applyBorder="1" applyAlignment="1">
      <alignment horizontal="center" vertical="center" shrinkToFit="1"/>
    </xf>
    <xf numFmtId="2" fontId="3" fillId="0" borderId="12" xfId="0" applyNumberFormat="1" applyFont="1" applyBorder="1" applyAlignment="1">
      <alignment horizontal="center" vertical="center" shrinkToFit="1"/>
    </xf>
    <xf numFmtId="0" fontId="0" fillId="0" borderId="27" xfId="0" applyBorder="1" applyAlignment="1">
      <alignment horizontal="left" vertical="top"/>
    </xf>
    <xf numFmtId="37" fontId="3" fillId="0" borderId="49" xfId="0" applyNumberFormat="1" applyFont="1" applyBorder="1" applyAlignment="1">
      <alignment horizontal="center" vertical="center" shrinkToFit="1"/>
    </xf>
    <xf numFmtId="173" fontId="16" fillId="0" borderId="0" xfId="2" applyNumberFormat="1" applyFont="1" applyFill="1" applyBorder="1" applyAlignment="1">
      <alignment horizontal="center" vertical="center" shrinkToFit="1"/>
    </xf>
    <xf numFmtId="3" fontId="16" fillId="0" borderId="0" xfId="0" applyNumberFormat="1" applyFont="1" applyAlignment="1">
      <alignment horizontal="center" vertical="center" shrinkToFit="1"/>
    </xf>
    <xf numFmtId="0" fontId="9" fillId="0" borderId="15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2" fontId="3" fillId="0" borderId="13" xfId="0" applyNumberFormat="1" applyFont="1" applyBorder="1" applyAlignment="1">
      <alignment horizontal="center" vertical="center" shrinkToFit="1"/>
    </xf>
    <xf numFmtId="0" fontId="42" fillId="0" borderId="0" xfId="0" applyFont="1" applyAlignment="1">
      <alignment horizontal="left" vertical="top"/>
    </xf>
    <xf numFmtId="0" fontId="69" fillId="9" borderId="31" xfId="0" applyFont="1" applyFill="1" applyBorder="1" applyAlignment="1">
      <alignment horizontal="left" vertical="top" wrapText="1"/>
    </xf>
    <xf numFmtId="174" fontId="14" fillId="2" borderId="31" xfId="1" applyNumberFormat="1" applyFont="1" applyFill="1" applyBorder="1" applyAlignment="1">
      <alignment horizontal="left" vertical="top" wrapText="1"/>
    </xf>
    <xf numFmtId="174" fontId="0" fillId="0" borderId="0" xfId="0" applyNumberFormat="1" applyAlignment="1">
      <alignment horizontal="left" vertical="top"/>
    </xf>
    <xf numFmtId="0" fontId="69" fillId="2" borderId="3" xfId="0" applyFont="1" applyFill="1" applyBorder="1" applyAlignment="1">
      <alignment horizontal="left" vertical="top" wrapText="1"/>
    </xf>
    <xf numFmtId="3" fontId="69" fillId="2" borderId="3" xfId="0" applyNumberFormat="1" applyFont="1" applyFill="1" applyBorder="1" applyAlignment="1">
      <alignment horizontal="right" vertical="top" shrinkToFit="1"/>
    </xf>
    <xf numFmtId="37" fontId="69" fillId="2" borderId="3" xfId="0" applyNumberFormat="1" applyFont="1" applyFill="1" applyBorder="1" applyAlignment="1">
      <alignment horizontal="right" vertical="top" shrinkToFit="1"/>
    </xf>
    <xf numFmtId="0" fontId="2" fillId="0" borderId="29" xfId="0" applyFont="1" applyBorder="1" applyAlignment="1">
      <alignment horizontal="left" vertical="top" wrapText="1" indent="2"/>
    </xf>
    <xf numFmtId="0" fontId="2" fillId="0" borderId="33" xfId="0" applyFont="1" applyBorder="1" applyAlignment="1">
      <alignment horizontal="left" vertical="center" wrapText="1" indent="2"/>
    </xf>
    <xf numFmtId="0" fontId="2" fillId="0" borderId="20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top" wrapText="1" indent="2"/>
    </xf>
    <xf numFmtId="0" fontId="2" fillId="0" borderId="20" xfId="0" applyFont="1" applyBorder="1" applyAlignment="1">
      <alignment horizontal="left" vertical="top" wrapText="1" indent="2"/>
    </xf>
    <xf numFmtId="0" fontId="2" fillId="0" borderId="10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vertical="top" wrapText="1" indent="2"/>
    </xf>
    <xf numFmtId="0" fontId="0" fillId="0" borderId="0" xfId="0" applyAlignment="1">
      <alignment horizontal="left" vertical="top" indent="2"/>
    </xf>
    <xf numFmtId="164" fontId="14" fillId="2" borderId="57" xfId="1" applyFont="1" applyFill="1" applyBorder="1" applyAlignment="1">
      <alignment horizontal="left" wrapText="1"/>
    </xf>
    <xf numFmtId="0" fontId="23" fillId="9" borderId="0" xfId="0" applyFont="1" applyFill="1" applyAlignment="1">
      <alignment horizontal="left" vertical="top"/>
    </xf>
    <xf numFmtId="0" fontId="10" fillId="0" borderId="10" xfId="0" applyFont="1" applyBorder="1" applyAlignment="1">
      <alignment horizontal="left" vertical="top" wrapText="1" indent="2"/>
    </xf>
    <xf numFmtId="0" fontId="8" fillId="0" borderId="10" xfId="0" applyFont="1" applyBorder="1" applyAlignment="1">
      <alignment horizontal="left" vertical="top" wrapText="1" indent="2"/>
    </xf>
    <xf numFmtId="0" fontId="3" fillId="0" borderId="12" xfId="0" applyFont="1" applyBorder="1" applyAlignment="1">
      <alignment horizontal="left" vertical="top" wrapText="1" indent="2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0" borderId="54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174" fontId="9" fillId="0" borderId="0" xfId="1" applyNumberFormat="1" applyFont="1" applyFill="1" applyBorder="1" applyAlignment="1">
      <alignment horizontal="center" vertical="top"/>
    </xf>
    <xf numFmtId="174" fontId="0" fillId="0" borderId="0" xfId="1" applyNumberFormat="1" applyFont="1" applyFill="1" applyBorder="1" applyAlignment="1">
      <alignment horizontal="left" vertical="top"/>
    </xf>
    <xf numFmtId="174" fontId="0" fillId="0" borderId="0" xfId="1" applyNumberFormat="1" applyFont="1" applyFill="1" applyBorder="1" applyAlignment="1">
      <alignment horizontal="right" vertical="top"/>
    </xf>
    <xf numFmtId="0" fontId="15" fillId="2" borderId="18" xfId="0" applyFont="1" applyFill="1" applyBorder="1" applyAlignment="1">
      <alignment horizontal="left" wrapText="1"/>
    </xf>
    <xf numFmtId="0" fontId="0" fillId="6" borderId="49" xfId="0" applyFill="1" applyBorder="1" applyAlignment="1">
      <alignment horizontal="center" vertical="center" wrapText="1"/>
    </xf>
    <xf numFmtId="0" fontId="7" fillId="6" borderId="49" xfId="0" applyFont="1" applyFill="1" applyBorder="1" applyAlignment="1">
      <alignment horizontal="center" vertical="center" wrapText="1"/>
    </xf>
    <xf numFmtId="174" fontId="72" fillId="2" borderId="6" xfId="1" applyNumberFormat="1" applyFont="1" applyFill="1" applyBorder="1" applyAlignment="1">
      <alignment horizontal="right" vertical="center" shrinkToFit="1"/>
    </xf>
    <xf numFmtId="174" fontId="72" fillId="2" borderId="0" xfId="1" applyNumberFormat="1" applyFont="1" applyFill="1" applyBorder="1" applyAlignment="1">
      <alignment horizontal="right" vertical="center" shrinkToFit="1"/>
    </xf>
    <xf numFmtId="174" fontId="71" fillId="2" borderId="0" xfId="1" applyNumberFormat="1" applyFont="1" applyFill="1" applyBorder="1" applyAlignment="1">
      <alignment horizontal="right" wrapText="1"/>
    </xf>
    <xf numFmtId="3" fontId="73" fillId="0" borderId="62" xfId="0" applyNumberFormat="1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top" wrapText="1" indent="2"/>
    </xf>
    <xf numFmtId="174" fontId="14" fillId="2" borderId="0" xfId="1" applyNumberFormat="1" applyFont="1" applyFill="1" applyBorder="1" applyAlignment="1">
      <alignment horizontal="left" vertical="top" wrapText="1"/>
    </xf>
    <xf numFmtId="174" fontId="23" fillId="0" borderId="0" xfId="1" applyNumberFormat="1" applyFont="1" applyFill="1" applyBorder="1" applyAlignment="1">
      <alignment horizontal="left" vertical="top"/>
    </xf>
    <xf numFmtId="37" fontId="3" fillId="0" borderId="57" xfId="0" applyNumberFormat="1" applyFont="1" applyBorder="1" applyAlignment="1">
      <alignment horizontal="right" vertical="center" shrinkToFit="1"/>
    </xf>
    <xf numFmtId="37" fontId="3" fillId="0" borderId="59" xfId="0" applyNumberFormat="1" applyFont="1" applyBorder="1" applyAlignment="1">
      <alignment horizontal="right" vertical="center" shrinkToFit="1"/>
    </xf>
    <xf numFmtId="3" fontId="2" fillId="9" borderId="57" xfId="0" applyNumberFormat="1" applyFont="1" applyFill="1" applyBorder="1" applyAlignment="1">
      <alignment horizontal="right" vertical="center" wrapText="1"/>
    </xf>
    <xf numFmtId="3" fontId="2" fillId="9" borderId="59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164" fontId="0" fillId="0" borderId="0" xfId="1" applyFont="1" applyFill="1" applyBorder="1" applyAlignment="1">
      <alignment horizontal="right" vertical="center"/>
    </xf>
    <xf numFmtId="174" fontId="0" fillId="0" borderId="0" xfId="1" applyNumberFormat="1" applyFont="1" applyFill="1" applyBorder="1" applyAlignment="1">
      <alignment horizontal="right" vertical="center"/>
    </xf>
    <xf numFmtId="174" fontId="0" fillId="9" borderId="0" xfId="1" applyNumberFormat="1" applyFont="1" applyFill="1" applyBorder="1" applyAlignment="1">
      <alignment horizontal="right" vertical="center"/>
    </xf>
    <xf numFmtId="3" fontId="16" fillId="9" borderId="59" xfId="0" applyNumberFormat="1" applyFont="1" applyFill="1" applyBorder="1" applyAlignment="1">
      <alignment horizontal="right" vertical="center" shrinkToFit="1"/>
    </xf>
    <xf numFmtId="9" fontId="0" fillId="0" borderId="0" xfId="2" applyFont="1" applyFill="1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74" fontId="14" fillId="2" borderId="57" xfId="1" applyNumberFormat="1" applyFont="1" applyFill="1" applyBorder="1" applyAlignment="1">
      <alignment horizontal="center" wrapText="1"/>
    </xf>
    <xf numFmtId="174" fontId="14" fillId="2" borderId="59" xfId="1" applyNumberFormat="1" applyFont="1" applyFill="1" applyBorder="1" applyAlignment="1">
      <alignment horizontal="center" wrapText="1"/>
    </xf>
    <xf numFmtId="3" fontId="69" fillId="9" borderId="32" xfId="0" applyNumberFormat="1" applyFont="1" applyFill="1" applyBorder="1" applyAlignment="1">
      <alignment horizontal="right" vertical="center" shrinkToFit="1"/>
    </xf>
    <xf numFmtId="0" fontId="14" fillId="9" borderId="31" xfId="0" applyFont="1" applyFill="1" applyBorder="1" applyAlignment="1">
      <alignment horizontal="left" vertical="top" wrapText="1"/>
    </xf>
    <xf numFmtId="170" fontId="58" fillId="0" borderId="0" xfId="2" applyNumberFormat="1" applyFont="1"/>
    <xf numFmtId="174" fontId="58" fillId="0" borderId="0" xfId="0" applyNumberFormat="1" applyFont="1"/>
    <xf numFmtId="0" fontId="8" fillId="0" borderId="10" xfId="0" applyFont="1" applyBorder="1" applyAlignment="1">
      <alignment horizontal="left" vertical="center" wrapText="1"/>
    </xf>
    <xf numFmtId="168" fontId="61" fillId="11" borderId="0" xfId="0" applyNumberFormat="1" applyFont="1" applyFill="1"/>
    <xf numFmtId="169" fontId="56" fillId="9" borderId="52" xfId="0" applyNumberFormat="1" applyFont="1" applyFill="1" applyBorder="1"/>
    <xf numFmtId="167" fontId="56" fillId="9" borderId="52" xfId="0" applyNumberFormat="1" applyFont="1" applyFill="1" applyBorder="1"/>
    <xf numFmtId="0" fontId="70" fillId="0" borderId="0" xfId="0" applyFont="1"/>
    <xf numFmtId="0" fontId="70" fillId="0" borderId="53" xfId="0" applyFont="1" applyBorder="1"/>
    <xf numFmtId="0" fontId="70" fillId="3" borderId="52" xfId="0" applyFont="1" applyFill="1" applyBorder="1" applyAlignment="1">
      <alignment horizontal="center" vertical="center"/>
    </xf>
    <xf numFmtId="10" fontId="64" fillId="0" borderId="54" xfId="0" applyNumberFormat="1" applyFont="1" applyBorder="1"/>
    <xf numFmtId="10" fontId="64" fillId="0" borderId="0" xfId="0" applyNumberFormat="1" applyFont="1"/>
    <xf numFmtId="10" fontId="66" fillId="0" borderId="54" xfId="0" applyNumberFormat="1" applyFont="1" applyBorder="1"/>
    <xf numFmtId="10" fontId="66" fillId="0" borderId="0" xfId="0" applyNumberFormat="1" applyFont="1"/>
    <xf numFmtId="10" fontId="62" fillId="0" borderId="0" xfId="2" applyNumberFormat="1" applyFont="1"/>
    <xf numFmtId="0" fontId="23" fillId="0" borderId="0" xfId="0" applyFont="1"/>
    <xf numFmtId="174" fontId="64" fillId="0" borderId="0" xfId="1" applyNumberFormat="1" applyFont="1"/>
    <xf numFmtId="174" fontId="0" fillId="0" borderId="56" xfId="1" applyNumberFormat="1" applyFont="1" applyFill="1" applyBorder="1" applyAlignment="1">
      <alignment horizontal="right" vertical="top"/>
    </xf>
    <xf numFmtId="10" fontId="77" fillId="0" borderId="0" xfId="2" applyNumberFormat="1" applyFont="1"/>
    <xf numFmtId="174" fontId="77" fillId="0" borderId="0" xfId="1" applyNumberFormat="1" applyFont="1"/>
    <xf numFmtId="170" fontId="66" fillId="0" borderId="0" xfId="2" applyNumberFormat="1" applyFont="1"/>
    <xf numFmtId="169" fontId="66" fillId="0" borderId="0" xfId="0" applyNumberFormat="1" applyFont="1" applyAlignment="1">
      <alignment horizontal="right"/>
    </xf>
    <xf numFmtId="174" fontId="0" fillId="0" borderId="0" xfId="0" applyNumberFormat="1" applyAlignment="1">
      <alignment horizontal="right" vertical="top"/>
    </xf>
    <xf numFmtId="0" fontId="62" fillId="0" borderId="56" xfId="0" applyFont="1" applyBorder="1"/>
    <xf numFmtId="174" fontId="23" fillId="0" borderId="56" xfId="0" applyNumberFormat="1" applyFont="1" applyBorder="1" applyAlignment="1">
      <alignment horizontal="right" vertical="top"/>
    </xf>
    <xf numFmtId="0" fontId="62" fillId="0" borderId="0" xfId="0" applyFont="1" applyAlignment="1">
      <alignment horizontal="left" wrapText="1"/>
    </xf>
    <xf numFmtId="174" fontId="77" fillId="0" borderId="54" xfId="1" applyNumberFormat="1" applyFont="1" applyBorder="1"/>
    <xf numFmtId="174" fontId="26" fillId="0" borderId="0" xfId="1" applyNumberFormat="1" applyFont="1" applyFill="1" applyAlignment="1">
      <alignment horizontal="right" indent="1"/>
    </xf>
    <xf numFmtId="174" fontId="0" fillId="0" borderId="54" xfId="0" applyNumberFormat="1" applyBorder="1" applyAlignment="1">
      <alignment horizontal="left" vertical="top"/>
    </xf>
    <xf numFmtId="170" fontId="79" fillId="0" borderId="0" xfId="2" applyNumberFormat="1" applyFont="1"/>
    <xf numFmtId="170" fontId="0" fillId="0" borderId="0" xfId="0" applyNumberFormat="1" applyAlignment="1">
      <alignment horizontal="right"/>
    </xf>
    <xf numFmtId="174" fontId="0" fillId="0" borderId="0" xfId="0" applyNumberFormat="1" applyAlignment="1">
      <alignment horizontal="right"/>
    </xf>
    <xf numFmtId="174" fontId="79" fillId="0" borderId="0" xfId="1" applyNumberFormat="1" applyFont="1" applyAlignment="1">
      <alignment horizontal="right"/>
    </xf>
    <xf numFmtId="174" fontId="77" fillId="0" borderId="0" xfId="1" applyNumberFormat="1" applyFont="1" applyAlignment="1">
      <alignment horizontal="right"/>
    </xf>
    <xf numFmtId="174" fontId="0" fillId="0" borderId="54" xfId="0" applyNumberFormat="1" applyBorder="1" applyAlignment="1">
      <alignment horizontal="right"/>
    </xf>
    <xf numFmtId="0" fontId="0" fillId="0" borderId="0" xfId="0" applyAlignment="1">
      <alignment horizontal="right"/>
    </xf>
    <xf numFmtId="170" fontId="63" fillId="0" borderId="54" xfId="2" applyNumberFormat="1" applyFont="1" applyBorder="1"/>
    <xf numFmtId="174" fontId="0" fillId="0" borderId="0" xfId="1" applyNumberFormat="1" applyFont="1" applyFill="1" applyBorder="1" applyAlignment="1">
      <alignment horizontal="right"/>
    </xf>
    <xf numFmtId="3" fontId="73" fillId="0" borderId="62" xfId="0" applyNumberFormat="1" applyFont="1" applyBorder="1" applyAlignment="1">
      <alignment horizontal="right" wrapText="1"/>
    </xf>
    <xf numFmtId="164" fontId="66" fillId="0" borderId="0" xfId="1" applyFont="1"/>
    <xf numFmtId="170" fontId="26" fillId="0" borderId="0" xfId="2" applyNumberFormat="1" applyFont="1" applyFill="1" applyAlignment="1">
      <alignment horizontal="right" indent="1"/>
    </xf>
    <xf numFmtId="174" fontId="79" fillId="0" borderId="0" xfId="0" applyNumberFormat="1" applyFont="1" applyAlignment="1">
      <alignment horizontal="right"/>
    </xf>
    <xf numFmtId="0" fontId="58" fillId="0" borderId="0" xfId="2" applyNumberFormat="1" applyFont="1"/>
    <xf numFmtId="174" fontId="9" fillId="0" borderId="0" xfId="1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170" fontId="0" fillId="0" borderId="0" xfId="2" applyNumberFormat="1" applyFont="1" applyFill="1" applyBorder="1" applyAlignment="1">
      <alignment horizontal="right"/>
    </xf>
    <xf numFmtId="174" fontId="14" fillId="2" borderId="0" xfId="0" applyNumberFormat="1" applyFont="1" applyFill="1" applyAlignment="1">
      <alignment horizontal="left" vertical="top" wrapText="1"/>
    </xf>
    <xf numFmtId="174" fontId="9" fillId="0" borderId="0" xfId="0" applyNumberFormat="1" applyFont="1" applyAlignment="1">
      <alignment horizontal="left" vertical="top"/>
    </xf>
    <xf numFmtId="174" fontId="0" fillId="0" borderId="0" xfId="0" applyNumberFormat="1" applyAlignment="1">
      <alignment horizontal="right" vertical="center"/>
    </xf>
    <xf numFmtId="10" fontId="16" fillId="0" borderId="59" xfId="2" applyNumberFormat="1" applyFont="1" applyFill="1" applyBorder="1" applyAlignment="1">
      <alignment horizontal="right" vertical="center" shrinkToFit="1"/>
    </xf>
    <xf numFmtId="10" fontId="16" fillId="0" borderId="60" xfId="0" applyNumberFormat="1" applyFont="1" applyBorder="1" applyAlignment="1">
      <alignment horizontal="right" vertical="center" shrinkToFit="1"/>
    </xf>
    <xf numFmtId="10" fontId="16" fillId="0" borderId="60" xfId="2" applyNumberFormat="1" applyFont="1" applyFill="1" applyBorder="1" applyAlignment="1">
      <alignment horizontal="right" vertical="center" shrinkToFit="1"/>
    </xf>
    <xf numFmtId="10" fontId="16" fillId="0" borderId="0" xfId="2" applyNumberFormat="1" applyFont="1" applyFill="1" applyBorder="1" applyAlignment="1">
      <alignment horizontal="right" vertical="center" shrinkToFit="1"/>
    </xf>
    <xf numFmtId="174" fontId="66" fillId="0" borderId="0" xfId="1" applyNumberFormat="1" applyFont="1"/>
    <xf numFmtId="174" fontId="58" fillId="0" borderId="0" xfId="1" applyNumberFormat="1" applyFont="1"/>
    <xf numFmtId="174" fontId="58" fillId="0" borderId="0" xfId="1" applyNumberFormat="1" applyFont="1" applyAlignment="1">
      <alignment horizontal="right"/>
    </xf>
    <xf numFmtId="174" fontId="26" fillId="0" borderId="56" xfId="1" applyNumberFormat="1" applyFont="1" applyBorder="1" applyAlignment="1">
      <alignment horizontal="right"/>
    </xf>
    <xf numFmtId="37" fontId="0" fillId="0" borderId="0" xfId="0" applyNumberFormat="1" applyAlignment="1">
      <alignment horizontal="right"/>
    </xf>
    <xf numFmtId="0" fontId="62" fillId="0" borderId="0" xfId="0" applyFont="1" applyAlignment="1">
      <alignment wrapText="1"/>
    </xf>
    <xf numFmtId="10" fontId="64" fillId="0" borderId="0" xfId="0" applyNumberFormat="1" applyFont="1" applyAlignment="1">
      <alignment horizontal="right"/>
    </xf>
    <xf numFmtId="10" fontId="66" fillId="0" borderId="0" xfId="2" applyNumberFormat="1" applyFont="1" applyAlignment="1">
      <alignment horizontal="right"/>
    </xf>
    <xf numFmtId="174" fontId="67" fillId="0" borderId="56" xfId="1" applyNumberFormat="1" applyFont="1" applyBorder="1"/>
    <xf numFmtId="174" fontId="23" fillId="0" borderId="55" xfId="1" applyNumberFormat="1" applyFont="1" applyBorder="1"/>
    <xf numFmtId="174" fontId="23" fillId="0" borderId="56" xfId="1" applyNumberFormat="1" applyFont="1" applyBorder="1"/>
    <xf numFmtId="37" fontId="69" fillId="2" borderId="0" xfId="0" applyNumberFormat="1" applyFont="1" applyFill="1" applyAlignment="1">
      <alignment horizontal="right" vertical="top" shrinkToFit="1"/>
    </xf>
    <xf numFmtId="167" fontId="16" fillId="0" borderId="0" xfId="1" applyNumberFormat="1" applyFont="1" applyFill="1" applyBorder="1" applyAlignment="1">
      <alignment horizontal="center" vertical="center" shrinkToFit="1"/>
    </xf>
    <xf numFmtId="37" fontId="66" fillId="0" borderId="0" xfId="0" applyNumberFormat="1" applyFont="1" applyAlignment="1">
      <alignment vertical="center"/>
    </xf>
    <xf numFmtId="0" fontId="0" fillId="0" borderId="53" xfId="0" applyBorder="1"/>
    <xf numFmtId="0" fontId="68" fillId="0" borderId="0" xfId="0" applyFont="1"/>
    <xf numFmtId="166" fontId="80" fillId="0" borderId="0" xfId="1" applyNumberFormat="1" applyFont="1" applyFill="1" applyBorder="1" applyProtection="1">
      <protection locked="0"/>
    </xf>
    <xf numFmtId="14" fontId="80" fillId="0" borderId="0" xfId="1" applyNumberFormat="1" applyFont="1" applyFill="1" applyBorder="1" applyProtection="1">
      <protection locked="0"/>
    </xf>
    <xf numFmtId="172" fontId="80" fillId="0" borderId="0" xfId="1" applyNumberFormat="1" applyFont="1" applyFill="1" applyBorder="1" applyProtection="1">
      <protection locked="0"/>
    </xf>
    <xf numFmtId="169" fontId="67" fillId="0" borderId="0" xfId="0" applyNumberFormat="1" applyFont="1"/>
    <xf numFmtId="166" fontId="67" fillId="0" borderId="0" xfId="0" applyNumberFormat="1" applyFont="1"/>
    <xf numFmtId="0" fontId="9" fillId="0" borderId="15" xfId="0" applyFont="1" applyBorder="1" applyAlignment="1">
      <alignment wrapText="1"/>
    </xf>
    <xf numFmtId="0" fontId="58" fillId="0" borderId="63" xfId="0" applyFont="1" applyBorder="1"/>
    <xf numFmtId="0" fontId="62" fillId="13" borderId="7" xfId="0" applyFont="1" applyFill="1" applyBorder="1" applyAlignment="1">
      <alignment vertical="center" wrapText="1"/>
    </xf>
    <xf numFmtId="0" fontId="9" fillId="0" borderId="0" xfId="0" applyFont="1"/>
    <xf numFmtId="0" fontId="0" fillId="0" borderId="0" xfId="0" applyAlignment="1">
      <alignment horizontal="center" vertical="center"/>
    </xf>
    <xf numFmtId="38" fontId="0" fillId="0" borderId="0" xfId="0" applyNumberFormat="1"/>
    <xf numFmtId="38" fontId="23" fillId="0" borderId="0" xfId="0" applyNumberFormat="1" applyFont="1"/>
    <xf numFmtId="38" fontId="82" fillId="0" borderId="64" xfId="0" applyNumberFormat="1" applyFont="1" applyBorder="1" applyAlignment="1">
      <alignment horizontal="right" wrapText="1"/>
    </xf>
    <xf numFmtId="38" fontId="0" fillId="0" borderId="0" xfId="0" applyNumberFormat="1" applyAlignment="1">
      <alignment horizontal="right"/>
    </xf>
    <xf numFmtId="0" fontId="9" fillId="0" borderId="53" xfId="0" applyFont="1" applyBorder="1"/>
    <xf numFmtId="0" fontId="83" fillId="0" borderId="53" xfId="0" applyFont="1" applyBorder="1"/>
    <xf numFmtId="175" fontId="66" fillId="0" borderId="0" xfId="0" applyNumberFormat="1" applyFont="1" applyAlignment="1">
      <alignment vertical="center"/>
    </xf>
    <xf numFmtId="175" fontId="64" fillId="0" borderId="0" xfId="0" applyNumberFormat="1" applyFont="1" applyAlignment="1">
      <alignment vertical="center"/>
    </xf>
    <xf numFmtId="0" fontId="62" fillId="0" borderId="0" xfId="0" applyFont="1" applyAlignment="1">
      <alignment horizontal="left"/>
    </xf>
    <xf numFmtId="175" fontId="65" fillId="0" borderId="0" xfId="0" applyNumberFormat="1" applyFont="1" applyAlignment="1">
      <alignment vertical="center"/>
    </xf>
    <xf numFmtId="0" fontId="62" fillId="0" borderId="53" xfId="0" applyFont="1" applyBorder="1" applyAlignment="1">
      <alignment horizontal="left"/>
    </xf>
    <xf numFmtId="0" fontId="58" fillId="0" borderId="53" xfId="0" applyFont="1" applyBorder="1" applyAlignment="1">
      <alignment horizontal="left"/>
    </xf>
    <xf numFmtId="2" fontId="58" fillId="0" borderId="0" xfId="0" applyNumberFormat="1" applyFont="1" applyAlignment="1">
      <alignment horizontal="right"/>
    </xf>
    <xf numFmtId="37" fontId="58" fillId="0" borderId="0" xfId="0" applyNumberFormat="1" applyFont="1" applyAlignment="1">
      <alignment horizontal="right"/>
    </xf>
    <xf numFmtId="175" fontId="58" fillId="0" borderId="0" xfId="0" applyNumberFormat="1" applyFont="1" applyAlignment="1">
      <alignment horizontal="right"/>
    </xf>
    <xf numFmtId="175" fontId="62" fillId="0" borderId="0" xfId="0" applyNumberFormat="1" applyFont="1" applyAlignment="1">
      <alignment horizontal="right"/>
    </xf>
    <xf numFmtId="38" fontId="58" fillId="0" borderId="0" xfId="0" applyNumberFormat="1" applyFont="1" applyAlignment="1">
      <alignment horizontal="right" vertical="center"/>
    </xf>
    <xf numFmtId="38" fontId="62" fillId="0" borderId="0" xfId="0" applyNumberFormat="1" applyFont="1" applyAlignment="1">
      <alignment horizontal="right" vertical="center"/>
    </xf>
    <xf numFmtId="174" fontId="84" fillId="0" borderId="0" xfId="1" applyNumberFormat="1" applyFont="1" applyAlignment="1">
      <alignment horizontal="right"/>
    </xf>
    <xf numFmtId="38" fontId="9" fillId="0" borderId="0" xfId="0" applyNumberFormat="1" applyFont="1" applyAlignment="1">
      <alignment horizontal="right"/>
    </xf>
    <xf numFmtId="14" fontId="9" fillId="0" borderId="0" xfId="0" applyNumberFormat="1" applyFont="1" applyAlignment="1">
      <alignment horizontal="right"/>
    </xf>
    <xf numFmtId="40" fontId="58" fillId="0" borderId="0" xfId="0" applyNumberFormat="1" applyFont="1" applyAlignment="1">
      <alignment horizontal="right" vertical="center"/>
    </xf>
    <xf numFmtId="174" fontId="68" fillId="0" borderId="54" xfId="1" applyNumberFormat="1" applyFont="1" applyFill="1" applyBorder="1" applyProtection="1">
      <protection locked="0"/>
    </xf>
    <xf numFmtId="170" fontId="0" fillId="0" borderId="0" xfId="2" applyNumberFormat="1" applyFont="1" applyAlignment="1">
      <alignment horizontal="right" vertical="center"/>
    </xf>
    <xf numFmtId="174" fontId="26" fillId="0" borderId="0" xfId="1" applyNumberFormat="1" applyFont="1" applyBorder="1" applyAlignment="1">
      <alignment horizontal="right"/>
    </xf>
    <xf numFmtId="174" fontId="77" fillId="0" borderId="56" xfId="1" applyNumberFormat="1" applyFont="1" applyBorder="1" applyAlignment="1">
      <alignment horizontal="right"/>
    </xf>
    <xf numFmtId="37" fontId="0" fillId="0" borderId="0" xfId="0" applyNumberFormat="1" applyAlignment="1">
      <alignment horizontal="right" vertical="top"/>
    </xf>
    <xf numFmtId="164" fontId="3" fillId="0" borderId="0" xfId="1" applyFont="1" applyFill="1" applyBorder="1" applyAlignment="1">
      <alignment horizontal="center" vertical="center" shrinkToFit="1"/>
    </xf>
    <xf numFmtId="164" fontId="3" fillId="0" borderId="13" xfId="1" applyFont="1" applyFill="1" applyBorder="1" applyAlignment="1">
      <alignment horizontal="center" vertical="center" shrinkToFit="1"/>
    </xf>
    <xf numFmtId="0" fontId="8" fillId="0" borderId="0" xfId="0" applyFont="1" applyAlignment="1">
      <alignment horizontal="left" vertical="top" wrapText="1"/>
    </xf>
    <xf numFmtId="174" fontId="0" fillId="0" borderId="0" xfId="0" applyNumberFormat="1" applyAlignment="1">
      <alignment horizontal="left"/>
    </xf>
    <xf numFmtId="174" fontId="42" fillId="0" borderId="0" xfId="0" applyNumberFormat="1" applyFont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58" fillId="0" borderId="49" xfId="0" applyFont="1" applyBorder="1"/>
    <xf numFmtId="0" fontId="58" fillId="0" borderId="10" xfId="0" applyFont="1" applyBorder="1"/>
    <xf numFmtId="0" fontId="58" fillId="0" borderId="11" xfId="0" applyFont="1" applyBorder="1"/>
    <xf numFmtId="0" fontId="66" fillId="0" borderId="0" xfId="0" applyFont="1"/>
    <xf numFmtId="0" fontId="0" fillId="0" borderId="10" xfId="0" applyBorder="1"/>
    <xf numFmtId="0" fontId="58" fillId="0" borderId="12" xfId="0" applyFont="1" applyBorder="1"/>
    <xf numFmtId="0" fontId="58" fillId="0" borderId="13" xfId="0" applyFont="1" applyBorder="1"/>
    <xf numFmtId="0" fontId="58" fillId="0" borderId="14" xfId="0" applyFont="1" applyBorder="1"/>
    <xf numFmtId="164" fontId="64" fillId="0" borderId="0" xfId="1" applyFont="1"/>
    <xf numFmtId="170" fontId="64" fillId="0" borderId="0" xfId="2" applyNumberFormat="1" applyFont="1"/>
    <xf numFmtId="3" fontId="0" fillId="0" borderId="0" xfId="0" applyNumberFormat="1" applyAlignment="1">
      <alignment horizontal="left" vertical="top"/>
    </xf>
    <xf numFmtId="0" fontId="17" fillId="0" borderId="10" xfId="0" applyFont="1" applyBorder="1" applyAlignment="1">
      <alignment vertical="center"/>
    </xf>
    <xf numFmtId="164" fontId="0" fillId="0" borderId="0" xfId="1" applyFont="1" applyFill="1" applyBorder="1" applyAlignment="1">
      <alignment horizontal="left" vertical="top"/>
    </xf>
    <xf numFmtId="0" fontId="9" fillId="9" borderId="0" xfId="0" applyFont="1" applyFill="1" applyAlignment="1">
      <alignment horizontal="left" vertical="top"/>
    </xf>
    <xf numFmtId="3" fontId="85" fillId="0" borderId="0" xfId="0" applyNumberFormat="1" applyFont="1" applyAlignment="1">
      <alignment horizontal="right" vertical="top" indent="4" shrinkToFit="1"/>
    </xf>
    <xf numFmtId="1" fontId="85" fillId="0" borderId="0" xfId="0" applyNumberFormat="1" applyFont="1" applyAlignment="1">
      <alignment horizontal="right" vertical="top" indent="4" shrinkToFit="1"/>
    </xf>
    <xf numFmtId="3" fontId="49" fillId="0" borderId="65" xfId="0" applyNumberFormat="1" applyFont="1" applyBorder="1" applyAlignment="1">
      <alignment horizontal="center" vertical="top" shrinkToFit="1"/>
    </xf>
    <xf numFmtId="0" fontId="87" fillId="0" borderId="11" xfId="0" applyFont="1" applyBorder="1" applyAlignment="1">
      <alignment horizontal="center" vertical="top" wrapText="1"/>
    </xf>
    <xf numFmtId="0" fontId="88" fillId="0" borderId="0" xfId="0" applyFont="1" applyAlignment="1">
      <alignment horizontal="center" vertical="top" wrapText="1"/>
    </xf>
    <xf numFmtId="0" fontId="90" fillId="0" borderId="50" xfId="0" applyFont="1" applyBorder="1" applyAlignment="1">
      <alignment horizontal="center" vertical="top" wrapText="1"/>
    </xf>
    <xf numFmtId="1" fontId="54" fillId="0" borderId="11" xfId="0" applyNumberFormat="1" applyFont="1" applyBorder="1" applyAlignment="1">
      <alignment horizontal="center" vertical="top" shrinkToFit="1"/>
    </xf>
    <xf numFmtId="0" fontId="91" fillId="0" borderId="11" xfId="0" applyFont="1" applyBorder="1" applyAlignment="1">
      <alignment horizontal="center" vertical="top" wrapText="1"/>
    </xf>
    <xf numFmtId="3" fontId="54" fillId="7" borderId="11" xfId="0" applyNumberFormat="1" applyFont="1" applyFill="1" applyBorder="1" applyAlignment="1">
      <alignment horizontal="center" vertical="top" shrinkToFit="1"/>
    </xf>
    <xf numFmtId="37" fontId="92" fillId="0" borderId="11" xfId="0" applyNumberFormat="1" applyFont="1" applyBorder="1" applyAlignment="1">
      <alignment horizontal="center" shrinkToFit="1"/>
    </xf>
    <xf numFmtId="37" fontId="92" fillId="0" borderId="11" xfId="0" applyNumberFormat="1" applyFont="1" applyBorder="1" applyAlignment="1">
      <alignment horizontal="center" vertical="top" shrinkToFit="1"/>
    </xf>
    <xf numFmtId="37" fontId="54" fillId="7" borderId="11" xfId="0" applyNumberFormat="1" applyFont="1" applyFill="1" applyBorder="1" applyAlignment="1">
      <alignment horizontal="center" vertical="top" shrinkToFit="1"/>
    </xf>
    <xf numFmtId="165" fontId="92" fillId="0" borderId="11" xfId="0" applyNumberFormat="1" applyFont="1" applyBorder="1" applyAlignment="1">
      <alignment horizontal="center" vertical="top" shrinkToFit="1"/>
    </xf>
    <xf numFmtId="3" fontId="92" fillId="0" borderId="11" xfId="0" applyNumberFormat="1" applyFont="1" applyBorder="1" applyAlignment="1">
      <alignment horizontal="center" vertical="top" shrinkToFit="1"/>
    </xf>
    <xf numFmtId="0" fontId="91" fillId="0" borderId="11" xfId="0" applyFont="1" applyBorder="1" applyAlignment="1">
      <alignment horizontal="center" wrapText="1"/>
    </xf>
    <xf numFmtId="2" fontId="92" fillId="0" borderId="11" xfId="0" applyNumberFormat="1" applyFont="1" applyBorder="1" applyAlignment="1">
      <alignment horizontal="center" vertical="top" shrinkToFit="1"/>
    </xf>
    <xf numFmtId="0" fontId="90" fillId="0" borderId="11" xfId="0" applyFont="1" applyBorder="1" applyAlignment="1">
      <alignment horizontal="center" vertical="top" wrapText="1"/>
    </xf>
    <xf numFmtId="3" fontId="92" fillId="0" borderId="11" xfId="0" applyNumberFormat="1" applyFont="1" applyBorder="1" applyAlignment="1">
      <alignment horizontal="center" vertical="center" shrinkToFit="1"/>
    </xf>
    <xf numFmtId="3" fontId="54" fillId="0" borderId="11" xfId="0" applyNumberFormat="1" applyFont="1" applyBorder="1" applyAlignment="1">
      <alignment horizontal="center" vertical="top" shrinkToFit="1"/>
    </xf>
    <xf numFmtId="3" fontId="54" fillId="7" borderId="14" xfId="0" applyNumberFormat="1" applyFont="1" applyFill="1" applyBorder="1" applyAlignment="1">
      <alignment horizontal="center" vertical="top" shrinkToFit="1"/>
    </xf>
    <xf numFmtId="0" fontId="90" fillId="0" borderId="0" xfId="0" applyFont="1" applyAlignment="1">
      <alignment horizontal="center" vertical="center" wrapText="1"/>
    </xf>
    <xf numFmtId="0" fontId="90" fillId="0" borderId="0" xfId="0" applyFont="1" applyAlignment="1">
      <alignment horizontal="center" vertical="top" wrapText="1"/>
    </xf>
    <xf numFmtId="0" fontId="90" fillId="0" borderId="50" xfId="0" applyFont="1" applyBorder="1" applyAlignment="1">
      <alignment horizontal="center" wrapText="1"/>
    </xf>
    <xf numFmtId="0" fontId="90" fillId="7" borderId="11" xfId="0" applyFont="1" applyFill="1" applyBorder="1" applyAlignment="1">
      <alignment horizontal="center" vertical="center" wrapText="1"/>
    </xf>
    <xf numFmtId="1" fontId="92" fillId="0" borderId="11" xfId="0" applyNumberFormat="1" applyFont="1" applyBorder="1" applyAlignment="1">
      <alignment horizontal="center" vertical="top" shrinkToFit="1"/>
    </xf>
    <xf numFmtId="0" fontId="90" fillId="0" borderId="0" xfId="0" applyFont="1" applyAlignment="1">
      <alignment horizontal="center" vertical="top"/>
    </xf>
    <xf numFmtId="1" fontId="92" fillId="0" borderId="65" xfId="0" applyNumberFormat="1" applyFont="1" applyBorder="1" applyAlignment="1">
      <alignment horizontal="center" vertical="top" shrinkToFit="1"/>
    </xf>
    <xf numFmtId="0" fontId="88" fillId="0" borderId="11" xfId="0" applyFont="1" applyBorder="1" applyAlignment="1">
      <alignment horizontal="center" vertical="top" wrapText="1"/>
    </xf>
    <xf numFmtId="0" fontId="90" fillId="0" borderId="65" xfId="0" applyFont="1" applyBorder="1" applyAlignment="1">
      <alignment horizontal="center" wrapText="1"/>
    </xf>
    <xf numFmtId="0" fontId="90" fillId="0" borderId="11" xfId="0" applyFont="1" applyBorder="1" applyAlignment="1">
      <alignment horizontal="center" wrapText="1"/>
    </xf>
    <xf numFmtId="0" fontId="90" fillId="0" borderId="11" xfId="0" applyFont="1" applyBorder="1" applyAlignment="1">
      <alignment horizontal="center" vertical="center" wrapText="1"/>
    </xf>
    <xf numFmtId="3" fontId="54" fillId="7" borderId="0" xfId="0" applyNumberFormat="1" applyFont="1" applyFill="1" applyAlignment="1">
      <alignment horizontal="center" vertical="top" shrinkToFit="1"/>
    </xf>
    <xf numFmtId="3" fontId="54" fillId="7" borderId="65" xfId="0" applyNumberFormat="1" applyFont="1" applyFill="1" applyBorder="1" applyAlignment="1">
      <alignment horizontal="center" vertical="top" shrinkToFit="1"/>
    </xf>
    <xf numFmtId="3" fontId="92" fillId="0" borderId="65" xfId="0" applyNumberFormat="1" applyFont="1" applyBorder="1" applyAlignment="1">
      <alignment horizontal="center" vertical="top" shrinkToFit="1"/>
    </xf>
    <xf numFmtId="0" fontId="90" fillId="0" borderId="65" xfId="0" applyFont="1" applyBorder="1" applyAlignment="1">
      <alignment horizontal="center" vertical="top"/>
    </xf>
    <xf numFmtId="0" fontId="0" fillId="0" borderId="65" xfId="0" applyBorder="1" applyAlignment="1">
      <alignment horizontal="center" vertical="center" wrapText="1"/>
    </xf>
    <xf numFmtId="3" fontId="46" fillId="7" borderId="66" xfId="0" applyNumberFormat="1" applyFont="1" applyFill="1" applyBorder="1" applyAlignment="1">
      <alignment horizontal="center" vertical="top" shrinkToFit="1"/>
    </xf>
    <xf numFmtId="0" fontId="90" fillId="0" borderId="11" xfId="0" applyFont="1" applyBorder="1" applyAlignment="1">
      <alignment horizontal="center" vertical="top"/>
    </xf>
    <xf numFmtId="37" fontId="0" fillId="0" borderId="0" xfId="0" applyNumberFormat="1" applyAlignment="1">
      <alignment horizontal="left" vertical="top"/>
    </xf>
    <xf numFmtId="0" fontId="9" fillId="0" borderId="11" xfId="0" applyFont="1" applyBorder="1" applyAlignment="1">
      <alignment horizontal="center" vertical="top"/>
    </xf>
    <xf numFmtId="1" fontId="46" fillId="0" borderId="0" xfId="0" applyNumberFormat="1" applyFont="1" applyAlignment="1">
      <alignment horizontal="center" vertical="top" shrinkToFit="1"/>
    </xf>
    <xf numFmtId="0" fontId="19" fillId="0" borderId="10" xfId="0" applyFont="1" applyBorder="1" applyAlignment="1">
      <alignment horizontal="left" vertical="top" wrapText="1"/>
    </xf>
    <xf numFmtId="0" fontId="17" fillId="0" borderId="0" xfId="0" applyFont="1" applyAlignment="1">
      <alignment horizontal="center" vertical="center" wrapText="1"/>
    </xf>
    <xf numFmtId="3" fontId="19" fillId="0" borderId="0" xfId="0" applyNumberFormat="1" applyFont="1" applyAlignment="1">
      <alignment horizontal="center" vertical="top" shrinkToFit="1"/>
    </xf>
    <xf numFmtId="165" fontId="19" fillId="0" borderId="0" xfId="0" applyNumberFormat="1" applyFont="1" applyAlignment="1">
      <alignment horizontal="center" vertical="top" shrinkToFit="1"/>
    </xf>
    <xf numFmtId="3" fontId="19" fillId="0" borderId="0" xfId="0" applyNumberFormat="1" applyFont="1" applyAlignment="1">
      <alignment vertical="top" shrinkToFit="1"/>
    </xf>
    <xf numFmtId="0" fontId="0" fillId="0" borderId="0" xfId="0" applyAlignment="1">
      <alignment horizontal="right" vertical="top" wrapText="1" indent="2"/>
    </xf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center"/>
    </xf>
    <xf numFmtId="0" fontId="93" fillId="0" borderId="10" xfId="0" applyFont="1" applyBorder="1" applyAlignment="1">
      <alignment horizontal="left" vertical="top" wrapText="1"/>
    </xf>
    <xf numFmtId="0" fontId="94" fillId="0" borderId="10" xfId="0" applyFont="1" applyBorder="1" applyAlignment="1">
      <alignment horizontal="left" vertical="top" wrapText="1"/>
    </xf>
    <xf numFmtId="165" fontId="21" fillId="0" borderId="0" xfId="0" applyNumberFormat="1" applyFont="1" applyAlignment="1">
      <alignment horizontal="center" vertical="top" wrapText="1"/>
    </xf>
    <xf numFmtId="3" fontId="90" fillId="0" borderId="65" xfId="0" applyNumberFormat="1" applyFont="1" applyBorder="1" applyAlignment="1">
      <alignment horizontal="center" vertical="top"/>
    </xf>
    <xf numFmtId="0" fontId="90" fillId="0" borderId="49" xfId="0" applyFont="1" applyBorder="1" applyAlignment="1">
      <alignment horizontal="center" vertical="top" wrapText="1"/>
    </xf>
    <xf numFmtId="1" fontId="54" fillId="0" borderId="0" xfId="0" applyNumberFormat="1" applyFont="1" applyAlignment="1">
      <alignment horizontal="center" vertical="top" shrinkToFit="1"/>
    </xf>
    <xf numFmtId="0" fontId="91" fillId="0" borderId="0" xfId="0" applyFont="1" applyAlignment="1">
      <alignment horizontal="center" vertical="top" wrapText="1"/>
    </xf>
    <xf numFmtId="37" fontId="92" fillId="0" borderId="0" xfId="0" applyNumberFormat="1" applyFont="1" applyAlignment="1">
      <alignment horizontal="center" shrinkToFit="1"/>
    </xf>
    <xf numFmtId="37" fontId="92" fillId="0" borderId="0" xfId="0" applyNumberFormat="1" applyFont="1" applyAlignment="1">
      <alignment horizontal="center" vertical="top" shrinkToFit="1"/>
    </xf>
    <xf numFmtId="37" fontId="54" fillId="7" borderId="0" xfId="0" applyNumberFormat="1" applyFont="1" applyFill="1" applyAlignment="1">
      <alignment horizontal="center" vertical="top" shrinkToFit="1"/>
    </xf>
    <xf numFmtId="165" fontId="92" fillId="0" borderId="0" xfId="0" applyNumberFormat="1" applyFont="1" applyAlignment="1">
      <alignment horizontal="center" vertical="top" shrinkToFit="1"/>
    </xf>
    <xf numFmtId="3" fontId="92" fillId="0" borderId="0" xfId="0" applyNumberFormat="1" applyFont="1" applyAlignment="1">
      <alignment horizontal="center" vertical="top" shrinkToFit="1"/>
    </xf>
    <xf numFmtId="0" fontId="91" fillId="0" borderId="0" xfId="0" applyFont="1" applyAlignment="1">
      <alignment horizontal="center" wrapText="1"/>
    </xf>
    <xf numFmtId="2" fontId="92" fillId="0" borderId="0" xfId="0" applyNumberFormat="1" applyFont="1" applyAlignment="1">
      <alignment horizontal="center" vertical="top" shrinkToFit="1"/>
    </xf>
    <xf numFmtId="3" fontId="92" fillId="0" borderId="0" xfId="0" applyNumberFormat="1" applyFont="1" applyAlignment="1">
      <alignment horizontal="center" vertical="center" shrinkToFit="1"/>
    </xf>
    <xf numFmtId="3" fontId="54" fillId="0" borderId="0" xfId="0" applyNumberFormat="1" applyFont="1" applyAlignment="1">
      <alignment horizontal="center" vertical="top" shrinkToFit="1"/>
    </xf>
    <xf numFmtId="3" fontId="54" fillId="7" borderId="13" xfId="0" applyNumberFormat="1" applyFont="1" applyFill="1" applyBorder="1" applyAlignment="1">
      <alignment horizontal="center" vertical="top" shrinkToFit="1"/>
    </xf>
    <xf numFmtId="0" fontId="90" fillId="0" borderId="49" xfId="0" applyFont="1" applyBorder="1" applyAlignment="1">
      <alignment horizontal="center" wrapText="1"/>
    </xf>
    <xf numFmtId="0" fontId="90" fillId="7" borderId="0" xfId="0" applyFont="1" applyFill="1" applyAlignment="1">
      <alignment horizontal="center" vertical="center" wrapText="1"/>
    </xf>
    <xf numFmtId="1" fontId="92" fillId="0" borderId="0" xfId="0" applyNumberFormat="1" applyFont="1" applyAlignment="1">
      <alignment horizontal="center" vertical="top" shrinkToFit="1"/>
    </xf>
    <xf numFmtId="3" fontId="49" fillId="0" borderId="0" xfId="0" applyNumberFormat="1" applyFont="1" applyAlignment="1">
      <alignment horizontal="center" vertical="top" shrinkToFit="1"/>
    </xf>
    <xf numFmtId="3" fontId="46" fillId="7" borderId="13" xfId="0" applyNumberFormat="1" applyFont="1" applyFill="1" applyBorder="1" applyAlignment="1">
      <alignment horizontal="center" vertical="top" shrinkToFit="1"/>
    </xf>
    <xf numFmtId="0" fontId="9" fillId="0" borderId="0" xfId="0" applyFont="1" applyAlignment="1">
      <alignment horizontal="center" vertical="top"/>
    </xf>
    <xf numFmtId="3" fontId="46" fillId="0" borderId="0" xfId="0" applyNumberFormat="1" applyFont="1" applyAlignment="1">
      <alignment horizontal="center" shrinkToFit="1"/>
    </xf>
    <xf numFmtId="0" fontId="90" fillId="0" borderId="67" xfId="0" applyFont="1" applyBorder="1" applyAlignment="1">
      <alignment horizontal="center" vertical="top" wrapText="1"/>
    </xf>
    <xf numFmtId="1" fontId="54" fillId="0" borderId="65" xfId="0" applyNumberFormat="1" applyFont="1" applyBorder="1" applyAlignment="1">
      <alignment horizontal="center" vertical="top" shrinkToFit="1"/>
    </xf>
    <xf numFmtId="0" fontId="91" fillId="0" borderId="65" xfId="0" applyFont="1" applyBorder="1" applyAlignment="1">
      <alignment horizontal="center" vertical="top" wrapText="1"/>
    </xf>
    <xf numFmtId="37" fontId="92" fillId="0" borderId="65" xfId="0" applyNumberFormat="1" applyFont="1" applyBorder="1" applyAlignment="1">
      <alignment horizontal="center" shrinkToFit="1"/>
    </xf>
    <xf numFmtId="37" fontId="92" fillId="0" borderId="65" xfId="0" applyNumberFormat="1" applyFont="1" applyBorder="1" applyAlignment="1">
      <alignment horizontal="center" vertical="top" shrinkToFit="1"/>
    </xf>
    <xf numFmtId="37" fontId="54" fillId="7" borderId="65" xfId="0" applyNumberFormat="1" applyFont="1" applyFill="1" applyBorder="1" applyAlignment="1">
      <alignment horizontal="center" vertical="top" shrinkToFit="1"/>
    </xf>
    <xf numFmtId="165" fontId="92" fillId="0" borderId="65" xfId="0" applyNumberFormat="1" applyFont="1" applyBorder="1" applyAlignment="1">
      <alignment horizontal="center" vertical="top" shrinkToFit="1"/>
    </xf>
    <xf numFmtId="0" fontId="91" fillId="0" borderId="65" xfId="0" applyFont="1" applyBorder="1" applyAlignment="1">
      <alignment horizontal="center" wrapText="1"/>
    </xf>
    <xf numFmtId="2" fontId="92" fillId="0" borderId="65" xfId="0" applyNumberFormat="1" applyFont="1" applyBorder="1" applyAlignment="1">
      <alignment horizontal="center" vertical="top" shrinkToFit="1"/>
    </xf>
    <xf numFmtId="3" fontId="92" fillId="0" borderId="65" xfId="0" applyNumberFormat="1" applyFont="1" applyBorder="1" applyAlignment="1">
      <alignment horizontal="center" vertical="center" shrinkToFit="1"/>
    </xf>
    <xf numFmtId="3" fontId="54" fillId="0" borderId="65" xfId="0" applyNumberFormat="1" applyFont="1" applyBorder="1" applyAlignment="1">
      <alignment horizontal="center" vertical="top" shrinkToFit="1"/>
    </xf>
    <xf numFmtId="3" fontId="54" fillId="7" borderId="66" xfId="0" applyNumberFormat="1" applyFont="1" applyFill="1" applyBorder="1" applyAlignment="1">
      <alignment horizontal="center" vertical="top" shrinkToFit="1"/>
    </xf>
    <xf numFmtId="0" fontId="90" fillId="0" borderId="65" xfId="0" applyFont="1" applyBorder="1" applyAlignment="1">
      <alignment horizontal="center" vertical="center" wrapText="1"/>
    </xf>
    <xf numFmtId="0" fontId="88" fillId="0" borderId="65" xfId="0" applyFont="1" applyBorder="1" applyAlignment="1">
      <alignment horizontal="center" vertical="top" wrapText="1"/>
    </xf>
    <xf numFmtId="0" fontId="90" fillId="0" borderId="65" xfId="0" applyFont="1" applyBorder="1" applyAlignment="1">
      <alignment horizontal="center" vertical="top" wrapText="1"/>
    </xf>
    <xf numFmtId="0" fontId="90" fillId="0" borderId="67" xfId="0" applyFont="1" applyBorder="1" applyAlignment="1">
      <alignment horizontal="center" wrapText="1"/>
    </xf>
    <xf numFmtId="0" fontId="90" fillId="7" borderId="65" xfId="0" applyFont="1" applyFill="1" applyBorder="1" applyAlignment="1">
      <alignment horizontal="center" vertical="center" wrapText="1"/>
    </xf>
    <xf numFmtId="3" fontId="88" fillId="0" borderId="65" xfId="0" applyNumberFormat="1" applyFont="1" applyBorder="1" applyAlignment="1">
      <alignment horizontal="center" vertical="top" wrapText="1"/>
    </xf>
    <xf numFmtId="0" fontId="0" fillId="0" borderId="65" xfId="0" applyBorder="1" applyAlignment="1">
      <alignment horizontal="center" vertical="top" wrapText="1"/>
    </xf>
    <xf numFmtId="1" fontId="46" fillId="0" borderId="65" xfId="0" applyNumberFormat="1" applyFont="1" applyBorder="1" applyAlignment="1">
      <alignment horizontal="center" vertical="top" shrinkToFit="1"/>
    </xf>
    <xf numFmtId="0" fontId="48" fillId="0" borderId="65" xfId="0" applyFont="1" applyBorder="1" applyAlignment="1">
      <alignment horizontal="center" vertical="top" wrapText="1"/>
    </xf>
    <xf numFmtId="37" fontId="49" fillId="0" borderId="65" xfId="0" applyNumberFormat="1" applyFont="1" applyBorder="1" applyAlignment="1">
      <alignment horizontal="center" vertical="top" shrinkToFit="1"/>
    </xf>
    <xf numFmtId="1" fontId="49" fillId="0" borderId="65" xfId="0" applyNumberFormat="1" applyFont="1" applyBorder="1" applyAlignment="1">
      <alignment horizontal="center" vertical="top" shrinkToFit="1"/>
    </xf>
    <xf numFmtId="165" fontId="49" fillId="0" borderId="65" xfId="0" applyNumberFormat="1" applyFont="1" applyBorder="1" applyAlignment="1">
      <alignment horizontal="center" vertical="top" shrinkToFit="1"/>
    </xf>
    <xf numFmtId="3" fontId="46" fillId="7" borderId="65" xfId="0" applyNumberFormat="1" applyFont="1" applyFill="1" applyBorder="1" applyAlignment="1">
      <alignment horizontal="center" vertical="top" shrinkToFit="1"/>
    </xf>
    <xf numFmtId="37" fontId="46" fillId="7" borderId="65" xfId="0" applyNumberFormat="1" applyFont="1" applyFill="1" applyBorder="1" applyAlignment="1">
      <alignment horizontal="center" vertical="top" shrinkToFit="1"/>
    </xf>
    <xf numFmtId="0" fontId="0" fillId="0" borderId="65" xfId="0" applyBorder="1" applyAlignment="1">
      <alignment horizontal="center" vertical="top"/>
    </xf>
    <xf numFmtId="3" fontId="46" fillId="0" borderId="65" xfId="0" applyNumberFormat="1" applyFont="1" applyBorder="1" applyAlignment="1">
      <alignment horizontal="center" shrinkToFit="1"/>
    </xf>
    <xf numFmtId="0" fontId="0" fillId="3" borderId="52" xfId="0" applyFill="1" applyBorder="1" applyAlignment="1">
      <alignment horizontal="center" wrapText="1"/>
    </xf>
    <xf numFmtId="3" fontId="19" fillId="5" borderId="65" xfId="0" applyNumberFormat="1" applyFont="1" applyFill="1" applyBorder="1" applyAlignment="1">
      <alignment horizontal="center" vertical="top" shrinkToFit="1"/>
    </xf>
    <xf numFmtId="3" fontId="19" fillId="0" borderId="65" xfId="0" applyNumberFormat="1" applyFont="1" applyBorder="1" applyAlignment="1">
      <alignment horizontal="center" vertical="top" shrinkToFit="1"/>
    </xf>
    <xf numFmtId="165" fontId="19" fillId="0" borderId="65" xfId="0" applyNumberFormat="1" applyFont="1" applyBorder="1" applyAlignment="1">
      <alignment horizontal="center" vertical="top" shrinkToFit="1"/>
    </xf>
    <xf numFmtId="3" fontId="22" fillId="0" borderId="65" xfId="0" applyNumberFormat="1" applyFont="1" applyBorder="1" applyAlignment="1">
      <alignment horizontal="center" vertical="top" shrinkToFit="1"/>
    </xf>
    <xf numFmtId="0" fontId="0" fillId="0" borderId="65" xfId="0" applyBorder="1" applyAlignment="1">
      <alignment horizontal="left" vertical="top"/>
    </xf>
    <xf numFmtId="3" fontId="19" fillId="5" borderId="66" xfId="0" applyNumberFormat="1" applyFont="1" applyFill="1" applyBorder="1" applyAlignment="1">
      <alignment horizontal="center" vertical="top" shrinkToFit="1"/>
    </xf>
    <xf numFmtId="0" fontId="0" fillId="0" borderId="49" xfId="0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9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3" fontId="95" fillId="0" borderId="0" xfId="0" applyNumberFormat="1" applyFont="1" applyAlignment="1">
      <alignment horizontal="left" vertical="top"/>
    </xf>
    <xf numFmtId="164" fontId="77" fillId="0" borderId="0" xfId="1" applyFont="1" applyAlignment="1">
      <alignment horizontal="right"/>
    </xf>
    <xf numFmtId="164" fontId="84" fillId="0" borderId="0" xfId="1" applyFont="1" applyAlignment="1">
      <alignment horizontal="right"/>
    </xf>
    <xf numFmtId="174" fontId="77" fillId="0" borderId="54" xfId="1" applyNumberFormat="1" applyFont="1" applyBorder="1" applyAlignment="1">
      <alignment horizontal="right"/>
    </xf>
    <xf numFmtId="0" fontId="9" fillId="0" borderId="0" xfId="0" applyFont="1" applyAlignment="1">
      <alignment horizontal="center" vertical="top" wrapText="1"/>
    </xf>
    <xf numFmtId="176" fontId="66" fillId="0" borderId="0" xfId="0" applyNumberFormat="1" applyFont="1" applyAlignment="1">
      <alignment vertical="center"/>
    </xf>
    <xf numFmtId="2" fontId="70" fillId="0" borderId="0" xfId="0" applyNumberFormat="1" applyFont="1"/>
    <xf numFmtId="175" fontId="0" fillId="0" borderId="0" xfId="0" applyNumberFormat="1"/>
    <xf numFmtId="0" fontId="96" fillId="0" borderId="0" xfId="0" applyFont="1"/>
    <xf numFmtId="14" fontId="58" fillId="0" borderId="0" xfId="0" applyNumberFormat="1" applyFont="1"/>
    <xf numFmtId="2" fontId="0" fillId="0" borderId="0" xfId="0" applyNumberFormat="1"/>
    <xf numFmtId="177" fontId="58" fillId="0" borderId="0" xfId="0" applyNumberFormat="1" applyFont="1" applyAlignment="1">
      <alignment horizontal="left"/>
    </xf>
    <xf numFmtId="0" fontId="0" fillId="0" borderId="53" xfId="0" applyBorder="1" applyAlignment="1">
      <alignment horizontal="center" vertical="top"/>
    </xf>
    <xf numFmtId="0" fontId="9" fillId="0" borderId="53" xfId="0" applyFont="1" applyBorder="1" applyAlignment="1">
      <alignment horizontal="center" vertical="top" wrapText="1"/>
    </xf>
    <xf numFmtId="0" fontId="0" fillId="0" borderId="53" xfId="0" applyBorder="1" applyAlignment="1">
      <alignment horizontal="left" vertical="top"/>
    </xf>
    <xf numFmtId="3" fontId="58" fillId="0" borderId="0" xfId="0" applyNumberFormat="1" applyFont="1"/>
    <xf numFmtId="175" fontId="58" fillId="0" borderId="0" xfId="0" applyNumberFormat="1" applyFont="1"/>
    <xf numFmtId="175" fontId="66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indent="2"/>
    </xf>
    <xf numFmtId="178" fontId="84" fillId="0" borderId="0" xfId="1" applyNumberFormat="1" applyFont="1" applyAlignment="1">
      <alignment horizontal="right"/>
    </xf>
    <xf numFmtId="0" fontId="62" fillId="14" borderId="53" xfId="0" applyFont="1" applyFill="1" applyBorder="1"/>
    <xf numFmtId="0" fontId="0" fillId="14" borderId="53" xfId="0" applyFill="1" applyBorder="1" applyAlignment="1">
      <alignment horizontal="center" vertical="top"/>
    </xf>
    <xf numFmtId="0" fontId="9" fillId="14" borderId="53" xfId="0" applyFont="1" applyFill="1" applyBorder="1" applyAlignment="1">
      <alignment horizontal="center" vertical="top" wrapText="1"/>
    </xf>
    <xf numFmtId="0" fontId="0" fillId="14" borderId="53" xfId="0" applyFill="1" applyBorder="1" applyAlignment="1">
      <alignment horizontal="left" vertical="top"/>
    </xf>
    <xf numFmtId="0" fontId="58" fillId="14" borderId="53" xfId="0" applyFont="1" applyFill="1" applyBorder="1"/>
    <xf numFmtId="0" fontId="0" fillId="14" borderId="0" xfId="0" applyFill="1"/>
    <xf numFmtId="0" fontId="58" fillId="14" borderId="0" xfId="0" applyFont="1" applyFill="1"/>
    <xf numFmtId="175" fontId="66" fillId="14" borderId="0" xfId="0" applyNumberFormat="1" applyFont="1" applyFill="1" applyAlignment="1">
      <alignment vertical="center"/>
    </xf>
    <xf numFmtId="175" fontId="66" fillId="14" borderId="0" xfId="0" applyNumberFormat="1" applyFont="1" applyFill="1" applyAlignment="1">
      <alignment horizontal="center" vertical="center"/>
    </xf>
    <xf numFmtId="176" fontId="66" fillId="14" borderId="0" xfId="0" applyNumberFormat="1" applyFont="1" applyFill="1" applyAlignment="1">
      <alignment vertical="center"/>
    </xf>
    <xf numFmtId="0" fontId="58" fillId="14" borderId="0" xfId="0" applyFont="1" applyFill="1" applyAlignment="1">
      <alignment horizontal="left" indent="1"/>
    </xf>
    <xf numFmtId="175" fontId="64" fillId="14" borderId="0" xfId="0" applyNumberFormat="1" applyFont="1" applyFill="1" applyAlignment="1">
      <alignment vertical="center"/>
    </xf>
    <xf numFmtId="175" fontId="64" fillId="14" borderId="0" xfId="0" applyNumberFormat="1" applyFont="1" applyFill="1" applyAlignment="1">
      <alignment horizontal="center" vertical="center"/>
    </xf>
    <xf numFmtId="176" fontId="64" fillId="14" borderId="0" xfId="0" applyNumberFormat="1" applyFont="1" applyFill="1" applyAlignment="1">
      <alignment vertical="center"/>
    </xf>
    <xf numFmtId="0" fontId="62" fillId="14" borderId="0" xfId="0" applyFont="1" applyFill="1" applyAlignment="1">
      <alignment horizontal="left"/>
    </xf>
    <xf numFmtId="2" fontId="70" fillId="14" borderId="0" xfId="0" applyNumberFormat="1" applyFont="1" applyFill="1"/>
    <xf numFmtId="0" fontId="0" fillId="14" borderId="53" xfId="0" applyFill="1" applyBorder="1"/>
    <xf numFmtId="0" fontId="62" fillId="14" borderId="0" xfId="0" applyFont="1" applyFill="1"/>
    <xf numFmtId="175" fontId="65" fillId="14" borderId="0" xfId="0" applyNumberFormat="1" applyFont="1" applyFill="1" applyAlignment="1">
      <alignment vertical="center"/>
    </xf>
    <xf numFmtId="179" fontId="70" fillId="0" borderId="0" xfId="0" applyNumberFormat="1" applyFont="1"/>
    <xf numFmtId="170" fontId="63" fillId="0" borderId="69" xfId="2" applyNumberFormat="1" applyFont="1" applyBorder="1"/>
    <xf numFmtId="170" fontId="63" fillId="0" borderId="0" xfId="2" applyNumberFormat="1" applyFont="1" applyBorder="1"/>
    <xf numFmtId="170" fontId="63" fillId="0" borderId="70" xfId="2" applyNumberFormat="1" applyFont="1" applyBorder="1"/>
    <xf numFmtId="174" fontId="63" fillId="0" borderId="0" xfId="1" applyNumberFormat="1" applyFont="1" applyBorder="1"/>
    <xf numFmtId="174" fontId="63" fillId="0" borderId="70" xfId="1" applyNumberFormat="1" applyFont="1" applyBorder="1"/>
    <xf numFmtId="0" fontId="0" fillId="0" borderId="70" xfId="0" applyBorder="1" applyAlignment="1">
      <alignment horizontal="left" vertical="top"/>
    </xf>
    <xf numFmtId="174" fontId="63" fillId="0" borderId="0" xfId="0" applyNumberFormat="1" applyFont="1"/>
    <xf numFmtId="174" fontId="63" fillId="0" borderId="70" xfId="0" applyNumberFormat="1" applyFont="1" applyBorder="1"/>
    <xf numFmtId="169" fontId="66" fillId="0" borderId="70" xfId="0" applyNumberFormat="1" applyFont="1" applyBorder="1"/>
    <xf numFmtId="164" fontId="63" fillId="0" borderId="0" xfId="1" applyFont="1" applyBorder="1"/>
    <xf numFmtId="164" fontId="63" fillId="0" borderId="70" xfId="1" applyFont="1" applyBorder="1"/>
    <xf numFmtId="10" fontId="63" fillId="0" borderId="0" xfId="1" applyNumberFormat="1" applyFont="1" applyBorder="1"/>
    <xf numFmtId="10" fontId="63" fillId="0" borderId="70" xfId="1" applyNumberFormat="1" applyFont="1" applyBorder="1"/>
    <xf numFmtId="0" fontId="7" fillId="6" borderId="71" xfId="0" applyFont="1" applyFill="1" applyBorder="1" applyAlignment="1">
      <alignment horizontal="center" vertical="center" wrapText="1"/>
    </xf>
    <xf numFmtId="174" fontId="71" fillId="2" borderId="70" xfId="1" applyNumberFormat="1" applyFont="1" applyFill="1" applyBorder="1" applyAlignment="1">
      <alignment horizontal="right" wrapText="1"/>
    </xf>
    <xf numFmtId="174" fontId="0" fillId="0" borderId="70" xfId="1" applyNumberFormat="1" applyFont="1" applyFill="1" applyBorder="1" applyAlignment="1">
      <alignment horizontal="right" vertical="center"/>
    </xf>
    <xf numFmtId="174" fontId="0" fillId="0" borderId="0" xfId="0" applyNumberFormat="1"/>
    <xf numFmtId="174" fontId="0" fillId="0" borderId="70" xfId="0" applyNumberFormat="1" applyBorder="1"/>
    <xf numFmtId="174" fontId="0" fillId="9" borderId="70" xfId="1" applyNumberFormat="1" applyFont="1" applyFill="1" applyBorder="1" applyAlignment="1">
      <alignment horizontal="right" vertical="center"/>
    </xf>
    <xf numFmtId="0" fontId="0" fillId="0" borderId="70" xfId="0" applyBorder="1" applyAlignment="1">
      <alignment horizontal="right" vertical="center"/>
    </xf>
    <xf numFmtId="3" fontId="2" fillId="9" borderId="72" xfId="0" applyNumberFormat="1" applyFont="1" applyFill="1" applyBorder="1" applyAlignment="1">
      <alignment horizontal="right" vertical="center" wrapText="1"/>
    </xf>
    <xf numFmtId="174" fontId="14" fillId="2" borderId="72" xfId="1" applyNumberFormat="1" applyFont="1" applyFill="1" applyBorder="1" applyAlignment="1">
      <alignment horizontal="center" wrapText="1"/>
    </xf>
    <xf numFmtId="174" fontId="0" fillId="0" borderId="70" xfId="0" applyNumberFormat="1" applyBorder="1" applyAlignment="1">
      <alignment horizontal="left" vertical="top"/>
    </xf>
    <xf numFmtId="174" fontId="14" fillId="2" borderId="70" xfId="0" applyNumberFormat="1" applyFont="1" applyFill="1" applyBorder="1" applyAlignment="1">
      <alignment horizontal="left" vertical="top" wrapText="1"/>
    </xf>
    <xf numFmtId="174" fontId="23" fillId="0" borderId="70" xfId="1" applyNumberFormat="1" applyFont="1" applyFill="1" applyBorder="1" applyAlignment="1">
      <alignment horizontal="left" vertical="top"/>
    </xf>
    <xf numFmtId="174" fontId="9" fillId="0" borderId="70" xfId="0" applyNumberFormat="1" applyFont="1" applyBorder="1" applyAlignment="1">
      <alignment horizontal="left" vertical="top"/>
    </xf>
    <xf numFmtId="174" fontId="0" fillId="0" borderId="70" xfId="1" applyNumberFormat="1" applyFont="1" applyFill="1" applyBorder="1" applyAlignment="1">
      <alignment horizontal="left" vertical="top"/>
    </xf>
    <xf numFmtId="164" fontId="0" fillId="0" borderId="70" xfId="0" applyNumberFormat="1" applyBorder="1" applyAlignment="1">
      <alignment horizontal="right" vertical="center"/>
    </xf>
    <xf numFmtId="9" fontId="0" fillId="0" borderId="70" xfId="2" applyFont="1" applyFill="1" applyBorder="1" applyAlignment="1">
      <alignment horizontal="right" vertical="center"/>
    </xf>
    <xf numFmtId="3" fontId="16" fillId="9" borderId="72" xfId="0" applyNumberFormat="1" applyFont="1" applyFill="1" applyBorder="1" applyAlignment="1">
      <alignment horizontal="right" vertical="center" shrinkToFit="1"/>
    </xf>
    <xf numFmtId="10" fontId="16" fillId="0" borderId="72" xfId="2" applyNumberFormat="1" applyFont="1" applyFill="1" applyBorder="1" applyAlignment="1">
      <alignment horizontal="right" vertical="center" shrinkToFit="1"/>
    </xf>
    <xf numFmtId="10" fontId="16" fillId="0" borderId="70" xfId="2" applyNumberFormat="1" applyFont="1" applyFill="1" applyBorder="1" applyAlignment="1">
      <alignment horizontal="right" vertical="center" shrinkToFit="1"/>
    </xf>
    <xf numFmtId="173" fontId="16" fillId="0" borderId="70" xfId="2" applyNumberFormat="1" applyFont="1" applyFill="1" applyBorder="1" applyAlignment="1">
      <alignment horizontal="center" vertical="center" shrinkToFit="1"/>
    </xf>
    <xf numFmtId="37" fontId="3" fillId="0" borderId="71" xfId="0" applyNumberFormat="1" applyFont="1" applyBorder="1" applyAlignment="1">
      <alignment horizontal="center" vertical="center" shrinkToFit="1"/>
    </xf>
    <xf numFmtId="164" fontId="3" fillId="0" borderId="70" xfId="1" applyFont="1" applyFill="1" applyBorder="1" applyAlignment="1">
      <alignment horizontal="center" vertical="center" shrinkToFit="1"/>
    </xf>
    <xf numFmtId="164" fontId="3" fillId="0" borderId="73" xfId="1" applyFont="1" applyFill="1" applyBorder="1" applyAlignment="1">
      <alignment horizontal="center" vertical="center" shrinkToFit="1"/>
    </xf>
    <xf numFmtId="167" fontId="16" fillId="0" borderId="70" xfId="1" applyNumberFormat="1" applyFont="1" applyFill="1" applyBorder="1" applyAlignment="1">
      <alignment horizontal="center" vertical="center" shrinkToFit="1"/>
    </xf>
    <xf numFmtId="0" fontId="0" fillId="0" borderId="74" xfId="0" applyBorder="1" applyAlignment="1">
      <alignment horizontal="left" vertical="top"/>
    </xf>
    <xf numFmtId="3" fontId="69" fillId="9" borderId="75" xfId="0" applyNumberFormat="1" applyFont="1" applyFill="1" applyBorder="1" applyAlignment="1">
      <alignment horizontal="right" vertical="center" shrinkToFit="1"/>
    </xf>
    <xf numFmtId="174" fontId="0" fillId="0" borderId="70" xfId="0" applyNumberFormat="1" applyBorder="1" applyAlignment="1">
      <alignment horizontal="right" vertical="top"/>
    </xf>
    <xf numFmtId="174" fontId="14" fillId="2" borderId="76" xfId="1" applyNumberFormat="1" applyFont="1" applyFill="1" applyBorder="1" applyAlignment="1">
      <alignment horizontal="left" vertical="top" wrapText="1"/>
    </xf>
    <xf numFmtId="164" fontId="0" fillId="0" borderId="70" xfId="0" applyNumberFormat="1" applyBorder="1" applyAlignment="1">
      <alignment horizontal="left" vertical="top"/>
    </xf>
    <xf numFmtId="174" fontId="0" fillId="0" borderId="70" xfId="1" applyNumberFormat="1" applyFont="1" applyFill="1" applyBorder="1" applyAlignment="1">
      <alignment horizontal="right"/>
    </xf>
    <xf numFmtId="174" fontId="0" fillId="0" borderId="70" xfId="0" applyNumberFormat="1" applyBorder="1" applyAlignment="1">
      <alignment horizontal="right"/>
    </xf>
    <xf numFmtId="0" fontId="0" fillId="0" borderId="69" xfId="0" applyBorder="1" applyAlignment="1">
      <alignment horizontal="left" vertical="top"/>
    </xf>
    <xf numFmtId="37" fontId="0" fillId="0" borderId="70" xfId="0" applyNumberFormat="1" applyBorder="1" applyAlignment="1">
      <alignment horizontal="right" vertical="top"/>
    </xf>
    <xf numFmtId="3" fontId="69" fillId="2" borderId="75" xfId="0" applyNumberFormat="1" applyFont="1" applyFill="1" applyBorder="1" applyAlignment="1">
      <alignment horizontal="right" vertical="top" shrinkToFit="1"/>
    </xf>
    <xf numFmtId="37" fontId="69" fillId="2" borderId="75" xfId="0" applyNumberFormat="1" applyFont="1" applyFill="1" applyBorder="1" applyAlignment="1">
      <alignment horizontal="right" vertical="top" shrinkToFit="1"/>
    </xf>
    <xf numFmtId="3" fontId="0" fillId="0" borderId="70" xfId="0" applyNumberFormat="1" applyBorder="1" applyAlignment="1">
      <alignment horizontal="right"/>
    </xf>
    <xf numFmtId="0" fontId="58" fillId="0" borderId="70" xfId="0" applyFont="1" applyBorder="1"/>
    <xf numFmtId="174" fontId="0" fillId="0" borderId="69" xfId="0" applyNumberFormat="1" applyBorder="1" applyAlignment="1">
      <alignment horizontal="right"/>
    </xf>
    <xf numFmtId="174" fontId="79" fillId="0" borderId="0" xfId="1" applyNumberFormat="1" applyFont="1" applyBorder="1" applyAlignment="1">
      <alignment horizontal="right"/>
    </xf>
    <xf numFmtId="174" fontId="79" fillId="0" borderId="70" xfId="1" applyNumberFormat="1" applyFont="1" applyBorder="1" applyAlignment="1">
      <alignment horizontal="right"/>
    </xf>
    <xf numFmtId="0" fontId="0" fillId="0" borderId="70" xfId="0" applyBorder="1" applyAlignment="1">
      <alignment horizontal="right"/>
    </xf>
    <xf numFmtId="170" fontId="0" fillId="0" borderId="70" xfId="0" applyNumberFormat="1" applyBorder="1" applyAlignment="1">
      <alignment horizontal="right"/>
    </xf>
    <xf numFmtId="174" fontId="0" fillId="0" borderId="68" xfId="1" applyNumberFormat="1" applyFont="1" applyFill="1" applyBorder="1" applyAlignment="1">
      <alignment horizontal="right" vertical="top"/>
    </xf>
    <xf numFmtId="0" fontId="0" fillId="0" borderId="68" xfId="0" applyBorder="1" applyAlignment="1">
      <alignment horizontal="left" vertical="top"/>
    </xf>
    <xf numFmtId="0" fontId="0" fillId="0" borderId="77" xfId="0" applyBorder="1" applyAlignment="1">
      <alignment horizontal="left" vertical="top"/>
    </xf>
    <xf numFmtId="169" fontId="0" fillId="0" borderId="70" xfId="0" applyNumberFormat="1" applyBorder="1" applyAlignment="1">
      <alignment horizontal="right" vertical="top"/>
    </xf>
    <xf numFmtId="10" fontId="77" fillId="0" borderId="0" xfId="2" applyNumberFormat="1" applyFont="1" applyBorder="1"/>
    <xf numFmtId="10" fontId="77" fillId="0" borderId="70" xfId="2" applyNumberFormat="1" applyFont="1" applyBorder="1"/>
    <xf numFmtId="169" fontId="64" fillId="0" borderId="69" xfId="0" applyNumberFormat="1" applyFont="1" applyBorder="1"/>
    <xf numFmtId="174" fontId="26" fillId="0" borderId="0" xfId="1" applyNumberFormat="1" applyFont="1" applyFill="1" applyBorder="1" applyAlignment="1">
      <alignment horizontal="right" indent="1"/>
    </xf>
    <xf numFmtId="174" fontId="26" fillId="0" borderId="70" xfId="1" applyNumberFormat="1" applyFont="1" applyFill="1" applyBorder="1" applyAlignment="1">
      <alignment horizontal="right" indent="1"/>
    </xf>
    <xf numFmtId="170" fontId="26" fillId="0" borderId="0" xfId="2" applyNumberFormat="1" applyFont="1" applyFill="1" applyBorder="1" applyAlignment="1">
      <alignment horizontal="right" indent="1"/>
    </xf>
    <xf numFmtId="170" fontId="26" fillId="0" borderId="70" xfId="2" applyNumberFormat="1" applyFont="1" applyFill="1" applyBorder="1" applyAlignment="1">
      <alignment horizontal="right" indent="1"/>
    </xf>
    <xf numFmtId="174" fontId="23" fillId="0" borderId="68" xfId="0" applyNumberFormat="1" applyFont="1" applyBorder="1" applyAlignment="1">
      <alignment horizontal="right" vertical="top"/>
    </xf>
    <xf numFmtId="174" fontId="9" fillId="0" borderId="70" xfId="1" applyNumberFormat="1" applyFont="1" applyFill="1" applyBorder="1" applyAlignment="1">
      <alignment horizontal="right"/>
    </xf>
    <xf numFmtId="170" fontId="0" fillId="0" borderId="70" xfId="2" applyNumberFormat="1" applyFont="1" applyFill="1" applyBorder="1" applyAlignment="1">
      <alignment horizontal="right"/>
    </xf>
    <xf numFmtId="174" fontId="0" fillId="0" borderId="70" xfId="0" applyNumberFormat="1" applyBorder="1" applyAlignment="1">
      <alignment horizontal="left"/>
    </xf>
    <xf numFmtId="174" fontId="79" fillId="0" borderId="70" xfId="0" applyNumberFormat="1" applyFont="1" applyBorder="1" applyAlignment="1">
      <alignment horizontal="right"/>
    </xf>
    <xf numFmtId="174" fontId="79" fillId="0" borderId="0" xfId="1" applyNumberFormat="1" applyFont="1" applyBorder="1"/>
    <xf numFmtId="174" fontId="79" fillId="0" borderId="70" xfId="1" applyNumberFormat="1" applyFont="1" applyBorder="1"/>
    <xf numFmtId="174" fontId="77" fillId="0" borderId="0" xfId="1" applyNumberFormat="1" applyFont="1" applyBorder="1" applyAlignment="1">
      <alignment horizontal="right"/>
    </xf>
    <xf numFmtId="174" fontId="77" fillId="0" borderId="70" xfId="1" applyNumberFormat="1" applyFont="1" applyBorder="1" applyAlignment="1">
      <alignment horizontal="right"/>
    </xf>
    <xf numFmtId="174" fontId="26" fillId="0" borderId="68" xfId="1" applyNumberFormat="1" applyFont="1" applyBorder="1" applyAlignment="1">
      <alignment horizontal="right"/>
    </xf>
    <xf numFmtId="37" fontId="0" fillId="0" borderId="70" xfId="0" applyNumberFormat="1" applyBorder="1" applyAlignment="1">
      <alignment horizontal="right"/>
    </xf>
    <xf numFmtId="174" fontId="26" fillId="0" borderId="70" xfId="1" applyNumberFormat="1" applyFont="1" applyBorder="1" applyAlignment="1">
      <alignment horizontal="right"/>
    </xf>
    <xf numFmtId="174" fontId="0" fillId="0" borderId="69" xfId="0" applyNumberFormat="1" applyBorder="1" applyAlignment="1">
      <alignment horizontal="left" vertical="top"/>
    </xf>
    <xf numFmtId="174" fontId="23" fillId="0" borderId="78" xfId="1" applyNumberFormat="1" applyFont="1" applyBorder="1"/>
    <xf numFmtId="174" fontId="23" fillId="0" borderId="68" xfId="1" applyNumberFormat="1" applyFont="1" applyBorder="1"/>
    <xf numFmtId="43" fontId="0" fillId="0" borderId="0" xfId="0" applyNumberFormat="1"/>
    <xf numFmtId="0" fontId="97" fillId="0" borderId="53" xfId="0" applyFont="1" applyBorder="1"/>
    <xf numFmtId="0" fontId="58" fillId="0" borderId="0" xfId="0" applyFont="1" applyAlignment="1">
      <alignment horizontal="left" indent="3"/>
    </xf>
    <xf numFmtId="0" fontId="97" fillId="0" borderId="56" xfId="0" applyFont="1" applyBorder="1"/>
    <xf numFmtId="0" fontId="58" fillId="0" borderId="54" xfId="0" applyFont="1" applyBorder="1" applyAlignment="1">
      <alignment horizontal="left" indent="2"/>
    </xf>
    <xf numFmtId="0" fontId="67" fillId="0" borderId="55" xfId="0" applyFont="1" applyBorder="1" applyAlignment="1">
      <alignment horizontal="left" indent="2"/>
    </xf>
    <xf numFmtId="0" fontId="8" fillId="0" borderId="29" xfId="0" applyFont="1" applyBorder="1" applyAlignment="1">
      <alignment horizontal="left" vertical="top" wrapText="1" indent="2"/>
    </xf>
    <xf numFmtId="0" fontId="10" fillId="0" borderId="29" xfId="0" applyFont="1" applyBorder="1" applyAlignment="1">
      <alignment horizontal="left" vertical="top" wrapText="1" indent="2"/>
    </xf>
    <xf numFmtId="0" fontId="68" fillId="0" borderId="0" xfId="0" applyFont="1" applyAlignment="1">
      <alignment horizontal="left" indent="2"/>
    </xf>
    <xf numFmtId="0" fontId="58" fillId="0" borderId="56" xfId="0" applyFont="1" applyBorder="1" applyAlignment="1">
      <alignment horizontal="left" indent="2"/>
    </xf>
    <xf numFmtId="170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 indent="2"/>
    </xf>
    <xf numFmtId="170" fontId="58" fillId="0" borderId="79" xfId="2" applyNumberFormat="1" applyFont="1" applyBorder="1"/>
    <xf numFmtId="170" fontId="58" fillId="0" borderId="80" xfId="2" applyNumberFormat="1" applyFont="1" applyBorder="1"/>
    <xf numFmtId="174" fontId="58" fillId="0" borderId="80" xfId="0" applyNumberFormat="1" applyFont="1" applyBorder="1"/>
    <xf numFmtId="3" fontId="16" fillId="9" borderId="57" xfId="0" applyNumberFormat="1" applyFont="1" applyFill="1" applyBorder="1" applyAlignment="1">
      <alignment horizontal="right" vertical="center" shrinkToFit="1"/>
    </xf>
    <xf numFmtId="10" fontId="16" fillId="0" borderId="57" xfId="2" applyNumberFormat="1" applyFont="1" applyFill="1" applyBorder="1" applyAlignment="1">
      <alignment horizontal="right" vertical="center" shrinkToFit="1"/>
    </xf>
    <xf numFmtId="174" fontId="14" fillId="2" borderId="3" xfId="1" applyNumberFormat="1" applyFont="1" applyFill="1" applyBorder="1" applyAlignment="1">
      <alignment horizontal="left" vertical="top" wrapText="1"/>
    </xf>
    <xf numFmtId="0" fontId="0" fillId="0" borderId="80" xfId="0" applyBorder="1" applyAlignment="1">
      <alignment horizontal="left" vertical="top"/>
    </xf>
    <xf numFmtId="174" fontId="58" fillId="0" borderId="80" xfId="1" applyNumberFormat="1" applyFont="1" applyBorder="1"/>
    <xf numFmtId="0" fontId="7" fillId="6" borderId="81" xfId="0" applyFont="1" applyFill="1" applyBorder="1" applyAlignment="1">
      <alignment horizontal="center" vertical="center" wrapText="1"/>
    </xf>
    <xf numFmtId="174" fontId="71" fillId="2" borderId="80" xfId="1" applyNumberFormat="1" applyFont="1" applyFill="1" applyBorder="1" applyAlignment="1">
      <alignment horizontal="right" wrapText="1"/>
    </xf>
    <xf numFmtId="174" fontId="0" fillId="0" borderId="80" xfId="1" applyNumberFormat="1" applyFont="1" applyFill="1" applyBorder="1" applyAlignment="1">
      <alignment horizontal="right" vertical="center"/>
    </xf>
    <xf numFmtId="174" fontId="0" fillId="0" borderId="80" xfId="1" applyNumberFormat="1" applyFont="1" applyFill="1" applyBorder="1" applyAlignment="1">
      <alignment horizontal="left" vertical="top"/>
    </xf>
    <xf numFmtId="174" fontId="0" fillId="9" borderId="80" xfId="1" applyNumberFormat="1" applyFont="1" applyFill="1" applyBorder="1" applyAlignment="1">
      <alignment horizontal="right" vertical="center"/>
    </xf>
    <xf numFmtId="0" fontId="0" fillId="0" borderId="80" xfId="0" applyBorder="1" applyAlignment="1">
      <alignment horizontal="right" vertical="center"/>
    </xf>
    <xf numFmtId="3" fontId="2" fillId="9" borderId="82" xfId="0" applyNumberFormat="1" applyFont="1" applyFill="1" applyBorder="1" applyAlignment="1">
      <alignment horizontal="right" vertical="center" wrapText="1"/>
    </xf>
    <xf numFmtId="174" fontId="14" fillId="2" borderId="82" xfId="1" applyNumberFormat="1" applyFont="1" applyFill="1" applyBorder="1" applyAlignment="1">
      <alignment horizontal="center" wrapText="1"/>
    </xf>
    <xf numFmtId="174" fontId="14" fillId="2" borderId="80" xfId="1" applyNumberFormat="1" applyFont="1" applyFill="1" applyBorder="1" applyAlignment="1">
      <alignment horizontal="left" vertical="top" wrapText="1"/>
    </xf>
    <xf numFmtId="174" fontId="23" fillId="0" borderId="80" xfId="1" applyNumberFormat="1" applyFont="1" applyFill="1" applyBorder="1" applyAlignment="1">
      <alignment horizontal="left" vertical="top"/>
    </xf>
    <xf numFmtId="9" fontId="0" fillId="0" borderId="80" xfId="2" applyFont="1" applyFill="1" applyBorder="1" applyAlignment="1">
      <alignment horizontal="right" vertical="center"/>
    </xf>
    <xf numFmtId="3" fontId="16" fillId="9" borderId="82" xfId="0" applyNumberFormat="1" applyFont="1" applyFill="1" applyBorder="1" applyAlignment="1">
      <alignment horizontal="right" vertical="center" shrinkToFit="1"/>
    </xf>
    <xf numFmtId="10" fontId="16" fillId="0" borderId="82" xfId="2" applyNumberFormat="1" applyFont="1" applyFill="1" applyBorder="1" applyAlignment="1">
      <alignment horizontal="right" vertical="center" shrinkToFit="1"/>
    </xf>
    <xf numFmtId="10" fontId="16" fillId="0" borderId="80" xfId="2" applyNumberFormat="1" applyFont="1" applyFill="1" applyBorder="1" applyAlignment="1">
      <alignment horizontal="right" vertical="center" shrinkToFit="1"/>
    </xf>
    <xf numFmtId="173" fontId="16" fillId="0" borderId="80" xfId="2" applyNumberFormat="1" applyFont="1" applyFill="1" applyBorder="1" applyAlignment="1">
      <alignment horizontal="center" vertical="center" shrinkToFit="1"/>
    </xf>
    <xf numFmtId="37" fontId="3" fillId="0" borderId="81" xfId="0" applyNumberFormat="1" applyFont="1" applyBorder="1" applyAlignment="1">
      <alignment horizontal="center" vertical="center" shrinkToFit="1"/>
    </xf>
    <xf numFmtId="2" fontId="3" fillId="0" borderId="80" xfId="0" applyNumberFormat="1" applyFont="1" applyBorder="1" applyAlignment="1">
      <alignment horizontal="center" vertical="center" shrinkToFit="1"/>
    </xf>
    <xf numFmtId="2" fontId="3" fillId="0" borderId="83" xfId="0" applyNumberFormat="1" applyFont="1" applyBorder="1" applyAlignment="1">
      <alignment horizontal="center" vertical="center" shrinkToFit="1"/>
    </xf>
    <xf numFmtId="174" fontId="77" fillId="0" borderId="80" xfId="1" applyNumberFormat="1" applyFont="1" applyBorder="1"/>
    <xf numFmtId="167" fontId="77" fillId="0" borderId="80" xfId="1" applyNumberFormat="1" applyFont="1" applyBorder="1"/>
    <xf numFmtId="164" fontId="0" fillId="0" borderId="80" xfId="0" applyNumberFormat="1" applyBorder="1" applyAlignment="1">
      <alignment horizontal="left" vertical="top"/>
    </xf>
    <xf numFmtId="0" fontId="0" fillId="0" borderId="84" xfId="0" applyBorder="1" applyAlignment="1">
      <alignment horizontal="left" vertical="top"/>
    </xf>
    <xf numFmtId="3" fontId="69" fillId="9" borderId="85" xfId="0" applyNumberFormat="1" applyFont="1" applyFill="1" applyBorder="1" applyAlignment="1">
      <alignment horizontal="right" vertical="center" shrinkToFit="1"/>
    </xf>
    <xf numFmtId="174" fontId="0" fillId="0" borderId="80" xfId="0" applyNumberFormat="1" applyBorder="1" applyAlignment="1">
      <alignment horizontal="left" vertical="top"/>
    </xf>
    <xf numFmtId="174" fontId="14" fillId="2" borderId="86" xfId="1" applyNumberFormat="1" applyFont="1" applyFill="1" applyBorder="1" applyAlignment="1">
      <alignment horizontal="left" vertical="top" wrapText="1"/>
    </xf>
    <xf numFmtId="174" fontId="0" fillId="0" borderId="80" xfId="1" applyNumberFormat="1" applyFont="1" applyFill="1" applyBorder="1" applyAlignment="1">
      <alignment horizontal="right"/>
    </xf>
    <xf numFmtId="0" fontId="0" fillId="0" borderId="79" xfId="0" applyBorder="1" applyAlignment="1">
      <alignment horizontal="left" vertical="top"/>
    </xf>
    <xf numFmtId="3" fontId="69" fillId="2" borderId="85" xfId="0" applyNumberFormat="1" applyFont="1" applyFill="1" applyBorder="1" applyAlignment="1">
      <alignment horizontal="right" vertical="top" shrinkToFit="1"/>
    </xf>
    <xf numFmtId="37" fontId="69" fillId="2" borderId="85" xfId="0" applyNumberFormat="1" applyFont="1" applyFill="1" applyBorder="1" applyAlignment="1">
      <alignment horizontal="right" vertical="top" shrinkToFit="1"/>
    </xf>
    <xf numFmtId="0" fontId="60" fillId="10" borderId="80" xfId="0" applyFont="1" applyFill="1" applyBorder="1" applyAlignment="1">
      <alignment horizontal="left" vertical="center"/>
    </xf>
    <xf numFmtId="0" fontId="58" fillId="0" borderId="80" xfId="0" applyFont="1" applyBorder="1"/>
    <xf numFmtId="0" fontId="58" fillId="0" borderId="87" xfId="0" applyFont="1" applyBorder="1"/>
    <xf numFmtId="0" fontId="14" fillId="0" borderId="10" xfId="0" applyFont="1" applyBorder="1" applyAlignment="1">
      <alignment horizontal="left" vertical="top" wrapText="1"/>
    </xf>
    <xf numFmtId="180" fontId="16" fillId="0" borderId="0" xfId="0" applyNumberFormat="1" applyFont="1" applyAlignment="1">
      <alignment horizontal="center" vertical="center" shrinkToFit="1"/>
    </xf>
    <xf numFmtId="174" fontId="0" fillId="0" borderId="0" xfId="0" applyNumberFormat="1" applyAlignment="1">
      <alignment horizontal="center" vertical="top"/>
    </xf>
    <xf numFmtId="174" fontId="0" fillId="0" borderId="80" xfId="0" applyNumberFormat="1" applyBorder="1" applyAlignment="1">
      <alignment horizontal="center" vertical="top"/>
    </xf>
    <xf numFmtId="174" fontId="3" fillId="0" borderId="80" xfId="0" applyNumberFormat="1" applyFont="1" applyBorder="1" applyAlignment="1">
      <alignment horizontal="center" vertical="top"/>
    </xf>
    <xf numFmtId="0" fontId="8" fillId="0" borderId="4" xfId="0" applyFont="1" applyBorder="1" applyAlignment="1">
      <alignment horizontal="left" vertical="center" wrapText="1"/>
    </xf>
    <xf numFmtId="0" fontId="58" fillId="0" borderId="53" xfId="0" applyFont="1" applyBorder="1" applyAlignment="1">
      <alignment horizontal="left" indent="2"/>
    </xf>
    <xf numFmtId="0" fontId="0" fillId="0" borderId="87" xfId="0" applyBorder="1" applyAlignment="1">
      <alignment horizontal="left" vertical="top"/>
    </xf>
    <xf numFmtId="174" fontId="58" fillId="0" borderId="0" xfId="1" applyNumberFormat="1" applyFont="1" applyAlignment="1">
      <alignment horizontal="center"/>
    </xf>
    <xf numFmtId="2" fontId="0" fillId="0" borderId="0" xfId="0" applyNumberFormat="1" applyAlignment="1">
      <alignment horizontal="left" vertical="top"/>
    </xf>
    <xf numFmtId="170" fontId="0" fillId="0" borderId="0" xfId="0" applyNumberFormat="1"/>
    <xf numFmtId="169" fontId="66" fillId="0" borderId="0" xfId="0" applyNumberFormat="1" applyFont="1" applyAlignment="1">
      <alignment horizontal="center"/>
    </xf>
    <xf numFmtId="164" fontId="0" fillId="0" borderId="0" xfId="0" applyNumberFormat="1"/>
    <xf numFmtId="174" fontId="23" fillId="0" borderId="0" xfId="1" applyNumberFormat="1" applyFont="1" applyFill="1" applyBorder="1" applyAlignment="1">
      <alignment horizontal="right" vertical="center"/>
    </xf>
    <xf numFmtId="174" fontId="23" fillId="0" borderId="80" xfId="1" applyNumberFormat="1" applyFont="1" applyFill="1" applyBorder="1" applyAlignment="1">
      <alignment horizontal="right" vertical="center"/>
    </xf>
    <xf numFmtId="174" fontId="23" fillId="0" borderId="70" xfId="1" applyNumberFormat="1" applyFont="1" applyFill="1" applyBorder="1" applyAlignment="1">
      <alignment horizontal="right" vertical="center"/>
    </xf>
    <xf numFmtId="181" fontId="16" fillId="0" borderId="0" xfId="0" applyNumberFormat="1" applyFont="1" applyAlignment="1">
      <alignment horizontal="center" vertical="center" shrinkToFit="1"/>
    </xf>
    <xf numFmtId="182" fontId="3" fillId="0" borderId="0" xfId="0" applyNumberFormat="1" applyFont="1" applyAlignment="1">
      <alignment horizontal="center" vertical="center" shrinkToFit="1"/>
    </xf>
    <xf numFmtId="183" fontId="3" fillId="0" borderId="0" xfId="0" applyNumberFormat="1" applyFont="1" applyAlignment="1">
      <alignment horizontal="center" vertical="center" shrinkToFit="1"/>
    </xf>
    <xf numFmtId="183" fontId="3" fillId="0" borderId="58" xfId="0" applyNumberFormat="1" applyFont="1" applyBorder="1" applyAlignment="1">
      <alignment horizontal="center" vertical="center" shrinkToFit="1"/>
    </xf>
    <xf numFmtId="0" fontId="23" fillId="0" borderId="15" xfId="0" applyFont="1" applyBorder="1" applyAlignment="1">
      <alignment vertical="center" wrapText="1"/>
    </xf>
    <xf numFmtId="0" fontId="23" fillId="0" borderId="49" xfId="0" applyFont="1" applyBorder="1" applyAlignment="1">
      <alignment horizontal="center" vertical="center"/>
    </xf>
    <xf numFmtId="0" fontId="23" fillId="0" borderId="50" xfId="0" applyFont="1" applyBorder="1" applyAlignment="1">
      <alignment horizontal="left" vertical="top"/>
    </xf>
    <xf numFmtId="3" fontId="0" fillId="0" borderId="0" xfId="0" applyNumberFormat="1"/>
    <xf numFmtId="0" fontId="0" fillId="0" borderId="12" xfId="0" applyBorder="1"/>
    <xf numFmtId="0" fontId="0" fillId="0" borderId="13" xfId="0" applyBorder="1"/>
    <xf numFmtId="170" fontId="0" fillId="0" borderId="13" xfId="2" applyNumberFormat="1" applyFont="1" applyBorder="1" applyAlignment="1">
      <alignment horizontal="right" vertical="center"/>
    </xf>
    <xf numFmtId="170" fontId="9" fillId="9" borderId="14" xfId="2" applyNumberFormat="1" applyFont="1" applyFill="1" applyBorder="1" applyAlignment="1">
      <alignment horizontal="right" vertical="center"/>
    </xf>
    <xf numFmtId="0" fontId="82" fillId="0" borderId="88" xfId="0" applyFont="1" applyBorder="1" applyAlignment="1">
      <alignment horizontal="left" indent="2"/>
    </xf>
    <xf numFmtId="38" fontId="0" fillId="0" borderId="11" xfId="0" applyNumberFormat="1" applyBorder="1"/>
    <xf numFmtId="0" fontId="9" fillId="0" borderId="12" xfId="0" applyFont="1" applyBorder="1" applyAlignment="1">
      <alignment horizontal="left" indent="2"/>
    </xf>
    <xf numFmtId="0" fontId="23" fillId="0" borderId="15" xfId="0" applyFont="1" applyBorder="1" applyAlignment="1">
      <alignment vertical="center"/>
    </xf>
    <xf numFmtId="0" fontId="9" fillId="0" borderId="12" xfId="0" applyFont="1" applyBorder="1"/>
    <xf numFmtId="0" fontId="23" fillId="9" borderId="7" xfId="0" applyFont="1" applyFill="1" applyBorder="1" applyAlignment="1">
      <alignment horizontal="left" vertical="top"/>
    </xf>
    <xf numFmtId="170" fontId="23" fillId="9" borderId="9" xfId="0" applyNumberFormat="1" applyFont="1" applyFill="1" applyBorder="1" applyAlignment="1">
      <alignment horizontal="left" vertical="top"/>
    </xf>
    <xf numFmtId="0" fontId="98" fillId="0" borderId="0" xfId="0" applyFont="1" applyAlignment="1">
      <alignment horizontal="left" vertical="top"/>
    </xf>
    <xf numFmtId="0" fontId="9" fillId="0" borderId="10" xfId="0" applyFont="1" applyBorder="1" applyAlignment="1">
      <alignment horizontal="center" vertical="center"/>
    </xf>
    <xf numFmtId="37" fontId="63" fillId="0" borderId="0" xfId="0" applyNumberFormat="1" applyFont="1"/>
    <xf numFmtId="10" fontId="58" fillId="0" borderId="0" xfId="2" applyNumberFormat="1" applyFont="1" applyBorder="1"/>
    <xf numFmtId="2" fontId="64" fillId="0" borderId="0" xfId="0" applyNumberFormat="1" applyFont="1"/>
    <xf numFmtId="2" fontId="58" fillId="0" borderId="11" xfId="0" applyNumberFormat="1" applyFont="1" applyBorder="1"/>
    <xf numFmtId="10" fontId="63" fillId="0" borderId="0" xfId="2" applyNumberFormat="1" applyFont="1" applyAlignment="1"/>
    <xf numFmtId="37" fontId="66" fillId="0" borderId="11" xfId="0" applyNumberFormat="1" applyFont="1" applyBorder="1"/>
    <xf numFmtId="0" fontId="58" fillId="0" borderId="10" xfId="0" applyFont="1" applyBorder="1" applyAlignment="1">
      <alignment wrapText="1"/>
    </xf>
    <xf numFmtId="37" fontId="63" fillId="0" borderId="11" xfId="0" applyNumberFormat="1" applyFont="1" applyBorder="1"/>
    <xf numFmtId="2" fontId="66" fillId="0" borderId="11" xfId="0" applyNumberFormat="1" applyFont="1" applyBorder="1"/>
    <xf numFmtId="10" fontId="58" fillId="0" borderId="11" xfId="0" applyNumberFormat="1" applyFont="1" applyBorder="1"/>
    <xf numFmtId="0" fontId="58" fillId="0" borderId="12" xfId="0" applyFont="1" applyBorder="1" applyAlignment="1">
      <alignment wrapText="1"/>
    </xf>
    <xf numFmtId="10" fontId="58" fillId="0" borderId="14" xfId="0" applyNumberFormat="1" applyFont="1" applyBorder="1"/>
    <xf numFmtId="0" fontId="64" fillId="0" borderId="15" xfId="4" applyFont="1" applyBorder="1"/>
    <xf numFmtId="0" fontId="0" fillId="0" borderId="49" xfId="0" applyBorder="1"/>
    <xf numFmtId="0" fontId="64" fillId="0" borderId="10" xfId="4" applyFont="1" applyBorder="1"/>
    <xf numFmtId="10" fontId="58" fillId="0" borderId="11" xfId="2" applyNumberFormat="1" applyFont="1" applyBorder="1"/>
    <xf numFmtId="0" fontId="65" fillId="0" borderId="89" xfId="4" applyFont="1" applyBorder="1"/>
    <xf numFmtId="0" fontId="58" fillId="0" borderId="90" xfId="0" applyFont="1" applyBorder="1"/>
    <xf numFmtId="0" fontId="62" fillId="0" borderId="92" xfId="0" applyFont="1" applyBorder="1"/>
    <xf numFmtId="10" fontId="58" fillId="0" borderId="93" xfId="0" applyNumberFormat="1" applyFont="1" applyBorder="1"/>
    <xf numFmtId="0" fontId="58" fillId="0" borderId="92" xfId="0" applyFont="1" applyBorder="1"/>
    <xf numFmtId="10" fontId="62" fillId="0" borderId="93" xfId="0" applyNumberFormat="1" applyFont="1" applyBorder="1"/>
    <xf numFmtId="10" fontId="62" fillId="0" borderId="93" xfId="2" applyNumberFormat="1" applyFont="1" applyBorder="1"/>
    <xf numFmtId="10" fontId="58" fillId="0" borderId="93" xfId="2" applyNumberFormat="1" applyFont="1" applyBorder="1"/>
    <xf numFmtId="0" fontId="62" fillId="0" borderId="12" xfId="0" applyFont="1" applyBorder="1"/>
    <xf numFmtId="10" fontId="62" fillId="9" borderId="14" xfId="0" applyNumberFormat="1" applyFont="1" applyFill="1" applyBorder="1"/>
    <xf numFmtId="0" fontId="66" fillId="0" borderId="0" xfId="0" applyFont="1" applyAlignment="1">
      <alignment horizontal="center"/>
    </xf>
    <xf numFmtId="37" fontId="63" fillId="0" borderId="0" xfId="0" applyNumberFormat="1" applyFont="1" applyAlignment="1">
      <alignment horizontal="center"/>
    </xf>
    <xf numFmtId="2" fontId="66" fillId="0" borderId="0" xfId="0" applyNumberFormat="1" applyFont="1" applyAlignment="1">
      <alignment horizontal="center"/>
    </xf>
    <xf numFmtId="10" fontId="58" fillId="0" borderId="0" xfId="2" applyNumberFormat="1" applyFont="1" applyBorder="1" applyAlignment="1">
      <alignment horizontal="center"/>
    </xf>
    <xf numFmtId="2" fontId="64" fillId="0" borderId="0" xfId="0" applyNumberFormat="1" applyFont="1" applyAlignment="1">
      <alignment horizontal="center"/>
    </xf>
    <xf numFmtId="0" fontId="99" fillId="0" borderId="15" xfId="0" applyFont="1" applyBorder="1"/>
    <xf numFmtId="0" fontId="0" fillId="0" borderId="50" xfId="0" applyBorder="1"/>
    <xf numFmtId="0" fontId="0" fillId="0" borderId="11" xfId="0" applyBorder="1"/>
    <xf numFmtId="0" fontId="99" fillId="0" borderId="10" xfId="0" applyFont="1" applyBorder="1"/>
    <xf numFmtId="0" fontId="98" fillId="0" borderId="10" xfId="0" applyFont="1" applyBorder="1" applyAlignment="1">
      <alignment horizontal="left" vertical="top"/>
    </xf>
    <xf numFmtId="0" fontId="98" fillId="0" borderId="11" xfId="0" applyFont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2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170" fontId="63" fillId="0" borderId="0" xfId="2" applyNumberFormat="1" applyFont="1" applyBorder="1" applyAlignment="1">
      <alignment horizontal="center"/>
    </xf>
    <xf numFmtId="0" fontId="62" fillId="0" borderId="10" xfId="0" applyFont="1" applyBorder="1" applyAlignment="1">
      <alignment vertical="center"/>
    </xf>
    <xf numFmtId="0" fontId="62" fillId="0" borderId="0" xfId="0" applyFont="1" applyAlignment="1">
      <alignment vertical="center"/>
    </xf>
    <xf numFmtId="0" fontId="62" fillId="0" borderId="0" xfId="0" applyFont="1" applyAlignment="1">
      <alignment vertical="center" wrapText="1"/>
    </xf>
    <xf numFmtId="0" fontId="62" fillId="0" borderId="11" xfId="0" applyFont="1" applyBorder="1" applyAlignment="1">
      <alignment vertical="center" wrapText="1"/>
    </xf>
    <xf numFmtId="2" fontId="58" fillId="0" borderId="50" xfId="0" applyNumberFormat="1" applyFont="1" applyBorder="1" applyAlignment="1">
      <alignment horizontal="center"/>
    </xf>
    <xf numFmtId="10" fontId="58" fillId="0" borderId="11" xfId="0" applyNumberFormat="1" applyFont="1" applyBorder="1" applyAlignment="1">
      <alignment horizontal="center"/>
    </xf>
    <xf numFmtId="10" fontId="58" fillId="0" borderId="11" xfId="2" applyNumberFormat="1" applyFont="1" applyBorder="1" applyAlignment="1">
      <alignment horizontal="center"/>
    </xf>
    <xf numFmtId="2" fontId="58" fillId="0" borderId="91" xfId="0" applyNumberFormat="1" applyFont="1" applyBorder="1" applyAlignment="1">
      <alignment horizontal="center"/>
    </xf>
    <xf numFmtId="0" fontId="62" fillId="0" borderId="7" xfId="0" applyFont="1" applyBorder="1"/>
    <xf numFmtId="0" fontId="62" fillId="0" borderId="8" xfId="0" applyFont="1" applyBorder="1"/>
    <xf numFmtId="2" fontId="62" fillId="0" borderId="8" xfId="0" applyNumberFormat="1" applyFont="1" applyBorder="1" applyAlignment="1">
      <alignment horizontal="center"/>
    </xf>
    <xf numFmtId="2" fontId="62" fillId="0" borderId="9" xfId="0" applyNumberFormat="1" applyFont="1" applyBorder="1" applyAlignment="1">
      <alignment horizontal="center"/>
    </xf>
    <xf numFmtId="179" fontId="58" fillId="0" borderId="11" xfId="0" applyNumberFormat="1" applyFont="1" applyBorder="1" applyAlignment="1">
      <alignment horizontal="center"/>
    </xf>
    <xf numFmtId="43" fontId="0" fillId="0" borderId="0" xfId="0" applyNumberFormat="1" applyAlignment="1">
      <alignment horizontal="left" vertical="top"/>
    </xf>
    <xf numFmtId="166" fontId="65" fillId="0" borderId="15" xfId="1" applyNumberFormat="1" applyFont="1" applyFill="1" applyBorder="1" applyProtection="1">
      <protection locked="0"/>
    </xf>
    <xf numFmtId="166" fontId="64" fillId="0" borderId="92" xfId="1" applyNumberFormat="1" applyFont="1" applyFill="1" applyBorder="1" applyProtection="1">
      <protection locked="0"/>
    </xf>
    <xf numFmtId="10" fontId="77" fillId="0" borderId="0" xfId="2" applyNumberFormat="1" applyFont="1" applyBorder="1" applyAlignment="1">
      <alignment horizontal="right"/>
    </xf>
    <xf numFmtId="166" fontId="64" fillId="0" borderId="10" xfId="1" applyNumberFormat="1" applyFont="1" applyFill="1" applyBorder="1" applyProtection="1">
      <protection locked="0"/>
    </xf>
    <xf numFmtId="10" fontId="78" fillId="0" borderId="0" xfId="2" applyNumberFormat="1" applyFont="1" applyBorder="1" applyAlignment="1">
      <alignment horizontal="right"/>
    </xf>
    <xf numFmtId="166" fontId="68" fillId="0" borderId="10" xfId="1" applyNumberFormat="1" applyFont="1" applyFill="1" applyBorder="1" applyProtection="1">
      <protection locked="0"/>
    </xf>
    <xf numFmtId="167" fontId="77" fillId="0" borderId="0" xfId="2" applyNumberFormat="1" applyFont="1" applyBorder="1" applyAlignment="1">
      <alignment horizontal="right"/>
    </xf>
    <xf numFmtId="167" fontId="77" fillId="0" borderId="11" xfId="2" applyNumberFormat="1" applyFont="1" applyBorder="1" applyAlignment="1">
      <alignment horizontal="right"/>
    </xf>
    <xf numFmtId="166" fontId="68" fillId="0" borderId="12" xfId="1" applyNumberFormat="1" applyFont="1" applyFill="1" applyBorder="1" applyProtection="1">
      <protection locked="0"/>
    </xf>
    <xf numFmtId="0" fontId="9" fillId="0" borderId="13" xfId="0" applyFont="1" applyBorder="1" applyAlignment="1">
      <alignment horizontal="left" vertical="top"/>
    </xf>
    <xf numFmtId="166" fontId="68" fillId="0" borderId="13" xfId="1" applyNumberFormat="1" applyFont="1" applyFill="1" applyBorder="1" applyProtection="1">
      <protection locked="0"/>
    </xf>
    <xf numFmtId="0" fontId="0" fillId="0" borderId="14" xfId="0" applyBorder="1" applyAlignment="1">
      <alignment horizontal="left" vertical="top"/>
    </xf>
    <xf numFmtId="166" fontId="67" fillId="0" borderId="94" xfId="1" applyNumberFormat="1" applyFont="1" applyFill="1" applyBorder="1" applyProtection="1">
      <protection locked="0"/>
    </xf>
    <xf numFmtId="166" fontId="68" fillId="0" borderId="95" xfId="1" applyNumberFormat="1" applyFont="1" applyFill="1" applyBorder="1" applyProtection="1">
      <protection locked="0"/>
    </xf>
    <xf numFmtId="0" fontId="68" fillId="0" borderId="10" xfId="0" applyFont="1" applyBorder="1"/>
    <xf numFmtId="166" fontId="67" fillId="0" borderId="13" xfId="1" applyNumberFormat="1" applyFont="1" applyFill="1" applyBorder="1" applyProtection="1">
      <protection locked="0"/>
    </xf>
    <xf numFmtId="166" fontId="67" fillId="0" borderId="95" xfId="1" applyNumberFormat="1" applyFont="1" applyFill="1" applyBorder="1" applyProtection="1">
      <protection locked="0"/>
    </xf>
    <xf numFmtId="0" fontId="68" fillId="0" borderId="13" xfId="0" applyFont="1" applyBorder="1"/>
    <xf numFmtId="166" fontId="67" fillId="0" borderId="95" xfId="1" applyNumberFormat="1" applyFont="1" applyFill="1" applyBorder="1" applyAlignment="1" applyProtection="1">
      <alignment horizontal="right"/>
      <protection locked="0"/>
    </xf>
    <xf numFmtId="0" fontId="67" fillId="0" borderId="95" xfId="1" applyNumberFormat="1" applyFont="1" applyFill="1" applyBorder="1" applyAlignment="1" applyProtection="1">
      <alignment horizontal="right"/>
      <protection locked="0"/>
    </xf>
    <xf numFmtId="168" fontId="67" fillId="0" borderId="95" xfId="1" applyNumberFormat="1" applyFont="1" applyFill="1" applyBorder="1" applyAlignment="1" applyProtection="1">
      <alignment horizontal="right"/>
      <protection locked="0"/>
    </xf>
    <xf numFmtId="0" fontId="67" fillId="0" borderId="95" xfId="0" applyFont="1" applyBorder="1"/>
    <xf numFmtId="0" fontId="68" fillId="0" borderId="50" xfId="0" applyFont="1" applyBorder="1"/>
    <xf numFmtId="166" fontId="80" fillId="0" borderId="10" xfId="1" applyNumberFormat="1" applyFont="1" applyFill="1" applyBorder="1" applyProtection="1">
      <protection locked="0"/>
    </xf>
    <xf numFmtId="0" fontId="68" fillId="0" borderId="11" xfId="0" applyFont="1" applyBorder="1"/>
    <xf numFmtId="166" fontId="67" fillId="0" borderId="10" xfId="1" applyNumberFormat="1" applyFont="1" applyFill="1" applyBorder="1" applyProtection="1">
      <protection locked="0"/>
    </xf>
    <xf numFmtId="166" fontId="67" fillId="0" borderId="96" xfId="1" applyNumberFormat="1" applyFont="1" applyFill="1" applyBorder="1" applyProtection="1">
      <protection locked="0"/>
    </xf>
    <xf numFmtId="166" fontId="68" fillId="0" borderId="11" xfId="1" applyNumberFormat="1" applyFont="1" applyFill="1" applyBorder="1" applyProtection="1">
      <protection locked="0"/>
    </xf>
    <xf numFmtId="172" fontId="68" fillId="0" borderId="93" xfId="1" applyNumberFormat="1" applyFont="1" applyFill="1" applyBorder="1" applyProtection="1">
      <protection locked="0"/>
    </xf>
    <xf numFmtId="172" fontId="68" fillId="0" borderId="11" xfId="1" applyNumberFormat="1" applyFont="1" applyFill="1" applyBorder="1" applyProtection="1">
      <protection locked="0"/>
    </xf>
    <xf numFmtId="9" fontId="68" fillId="0" borderId="11" xfId="2" applyFont="1" applyFill="1" applyBorder="1" applyProtection="1">
      <protection locked="0"/>
    </xf>
    <xf numFmtId="166" fontId="67" fillId="0" borderId="12" xfId="1" applyNumberFormat="1" applyFont="1" applyFill="1" applyBorder="1" applyProtection="1">
      <protection locked="0"/>
    </xf>
    <xf numFmtId="167" fontId="68" fillId="0" borderId="13" xfId="1" applyNumberFormat="1" applyFont="1" applyFill="1" applyBorder="1" applyProtection="1">
      <protection locked="0"/>
    </xf>
    <xf numFmtId="166" fontId="68" fillId="0" borderId="14" xfId="1" applyNumberFormat="1" applyFont="1" applyFill="1" applyBorder="1" applyProtection="1">
      <protection locked="0"/>
    </xf>
    <xf numFmtId="174" fontId="26" fillId="0" borderId="98" xfId="1" applyNumberFormat="1" applyFont="1" applyBorder="1" applyAlignment="1">
      <alignment horizontal="right"/>
    </xf>
    <xf numFmtId="174" fontId="26" fillId="0" borderId="55" xfId="1" applyNumberFormat="1" applyFont="1" applyBorder="1" applyAlignment="1">
      <alignment horizontal="right"/>
    </xf>
    <xf numFmtId="174" fontId="26" fillId="0" borderId="78" xfId="1" applyNumberFormat="1" applyFont="1" applyBorder="1" applyAlignment="1">
      <alignment horizontal="right"/>
    </xf>
    <xf numFmtId="0" fontId="58" fillId="0" borderId="97" xfId="0" applyFont="1" applyBorder="1"/>
    <xf numFmtId="10" fontId="77" fillId="0" borderId="54" xfId="2" applyNumberFormat="1" applyFont="1" applyBorder="1" applyAlignment="1">
      <alignment horizontal="right"/>
    </xf>
    <xf numFmtId="0" fontId="0" fillId="0" borderId="93" xfId="0" applyBorder="1" applyAlignment="1">
      <alignment horizontal="left" vertical="top"/>
    </xf>
    <xf numFmtId="9" fontId="0" fillId="0" borderId="0" xfId="2" applyFont="1" applyFill="1" applyBorder="1" applyAlignment="1">
      <alignment horizontal="left" vertical="top"/>
    </xf>
    <xf numFmtId="0" fontId="99" fillId="0" borderId="0" xfId="0" applyFont="1"/>
    <xf numFmtId="0" fontId="67" fillId="9" borderId="0" xfId="0" applyFont="1" applyFill="1"/>
    <xf numFmtId="37" fontId="0" fillId="0" borderId="53" xfId="0" applyNumberFormat="1" applyBorder="1" applyAlignment="1">
      <alignment horizontal="left" vertical="top"/>
    </xf>
    <xf numFmtId="10" fontId="9" fillId="0" borderId="0" xfId="2" quotePrefix="1" applyNumberFormat="1" applyFont="1" applyFill="1" applyBorder="1" applyAlignment="1">
      <alignment horizontal="left" vertical="top"/>
    </xf>
    <xf numFmtId="174" fontId="23" fillId="0" borderId="70" xfId="1" applyNumberFormat="1" applyFont="1" applyBorder="1"/>
    <xf numFmtId="0" fontId="101" fillId="0" borderId="0" xfId="3" applyFont="1"/>
    <xf numFmtId="0" fontId="102" fillId="15" borderId="53" xfId="3" applyFont="1" applyFill="1" applyBorder="1"/>
    <xf numFmtId="0" fontId="103" fillId="0" borderId="0" xfId="3" applyFont="1"/>
    <xf numFmtId="0" fontId="101" fillId="15" borderId="99" xfId="3" applyFont="1" applyFill="1" applyBorder="1"/>
    <xf numFmtId="0" fontId="101" fillId="15" borderId="55" xfId="3" applyFont="1" applyFill="1" applyBorder="1"/>
    <xf numFmtId="0" fontId="104" fillId="15" borderId="55" xfId="3" applyFont="1" applyFill="1" applyBorder="1" applyAlignment="1">
      <alignment horizontal="centerContinuous"/>
    </xf>
    <xf numFmtId="0" fontId="105" fillId="15" borderId="55" xfId="3" applyFont="1" applyFill="1" applyBorder="1" applyAlignment="1">
      <alignment horizontal="centerContinuous"/>
    </xf>
    <xf numFmtId="0" fontId="105" fillId="15" borderId="78" xfId="3" applyFont="1" applyFill="1" applyBorder="1" applyAlignment="1">
      <alignment horizontal="centerContinuous"/>
    </xf>
    <xf numFmtId="0" fontId="101" fillId="15" borderId="100" xfId="3" applyFont="1" applyFill="1" applyBorder="1"/>
    <xf numFmtId="10" fontId="0" fillId="0" borderId="0" xfId="0" applyNumberFormat="1" applyAlignment="1">
      <alignment horizontal="left" vertical="top"/>
    </xf>
    <xf numFmtId="171" fontId="0" fillId="0" borderId="0" xfId="0" applyNumberFormat="1" applyAlignment="1">
      <alignment horizontal="center" vertical="top"/>
    </xf>
    <xf numFmtId="184" fontId="9" fillId="0" borderId="0" xfId="0" quotePrefix="1" applyNumberFormat="1" applyFont="1" applyAlignment="1">
      <alignment horizontal="left" vertical="top"/>
    </xf>
    <xf numFmtId="0" fontId="0" fillId="0" borderId="15" xfId="0" applyBorder="1" applyAlignment="1">
      <alignment horizontal="left" vertical="top"/>
    </xf>
    <xf numFmtId="186" fontId="66" fillId="0" borderId="102" xfId="0" applyNumberFormat="1" applyFont="1" applyBorder="1"/>
    <xf numFmtId="10" fontId="58" fillId="0" borderId="99" xfId="2" applyNumberFormat="1" applyFont="1" applyBorder="1"/>
    <xf numFmtId="186" fontId="64" fillId="0" borderId="102" xfId="0" applyNumberFormat="1" applyFont="1" applyBorder="1"/>
    <xf numFmtId="10" fontId="58" fillId="0" borderId="102" xfId="2" applyNumberFormat="1" applyFont="1" applyBorder="1"/>
    <xf numFmtId="10" fontId="58" fillId="0" borderId="54" xfId="0" applyNumberFormat="1" applyFont="1" applyBorder="1"/>
    <xf numFmtId="167" fontId="58" fillId="0" borderId="54" xfId="0" applyNumberFormat="1" applyFont="1" applyBorder="1"/>
    <xf numFmtId="167" fontId="58" fillId="0" borderId="102" xfId="0" applyNumberFormat="1" applyFont="1" applyBorder="1"/>
    <xf numFmtId="0" fontId="62" fillId="0" borderId="0" xfId="0" applyFont="1" applyAlignment="1">
      <alignment horizontal="centerContinuous"/>
    </xf>
    <xf numFmtId="0" fontId="58" fillId="0" borderId="0" xfId="0" applyFont="1" applyAlignment="1">
      <alignment horizontal="centerContinuous"/>
    </xf>
    <xf numFmtId="0" fontId="58" fillId="0" borderId="70" xfId="0" applyFont="1" applyBorder="1" applyAlignment="1">
      <alignment horizontal="centerContinuous"/>
    </xf>
    <xf numFmtId="166" fontId="68" fillId="0" borderId="69" xfId="1" applyNumberFormat="1" applyFont="1" applyFill="1" applyBorder="1" applyProtection="1">
      <protection locked="0"/>
    </xf>
    <xf numFmtId="10" fontId="58" fillId="0" borderId="69" xfId="2" applyNumberFormat="1" applyFont="1" applyBorder="1"/>
    <xf numFmtId="10" fontId="58" fillId="13" borderId="0" xfId="2" applyNumberFormat="1" applyFont="1" applyFill="1" applyBorder="1"/>
    <xf numFmtId="10" fontId="58" fillId="0" borderId="70" xfId="2" applyNumberFormat="1" applyFont="1" applyBorder="1"/>
    <xf numFmtId="10" fontId="58" fillId="3" borderId="0" xfId="2" applyNumberFormat="1" applyFont="1" applyFill="1" applyBorder="1"/>
    <xf numFmtId="186" fontId="64" fillId="0" borderId="103" xfId="0" applyNumberFormat="1" applyFont="1" applyBorder="1"/>
    <xf numFmtId="10" fontId="58" fillId="0" borderId="103" xfId="2" applyNumberFormat="1" applyFont="1" applyBorder="1"/>
    <xf numFmtId="10" fontId="58" fillId="0" borderId="53" xfId="2" applyNumberFormat="1" applyFont="1" applyBorder="1"/>
    <xf numFmtId="10" fontId="58" fillId="0" borderId="104" xfId="2" applyNumberFormat="1" applyFont="1" applyBorder="1"/>
    <xf numFmtId="0" fontId="110" fillId="16" borderId="99" xfId="3" applyFont="1" applyFill="1" applyBorder="1"/>
    <xf numFmtId="0" fontId="108" fillId="16" borderId="102" xfId="0" applyFont="1" applyFill="1" applyBorder="1"/>
    <xf numFmtId="0" fontId="109" fillId="16" borderId="102" xfId="0" applyFont="1" applyFill="1" applyBorder="1"/>
    <xf numFmtId="0" fontId="108" fillId="16" borderId="103" xfId="0" applyFont="1" applyFill="1" applyBorder="1"/>
    <xf numFmtId="187" fontId="58" fillId="0" borderId="0" xfId="2" applyNumberFormat="1" applyFont="1" applyBorder="1"/>
    <xf numFmtId="0" fontId="62" fillId="16" borderId="0" xfId="0" applyFont="1" applyFill="1" applyAlignment="1">
      <alignment horizontal="centerContinuous"/>
    </xf>
    <xf numFmtId="0" fontId="58" fillId="0" borderId="11" xfId="0" applyFont="1" applyBorder="1" applyAlignment="1">
      <alignment horizontal="centerContinuous"/>
    </xf>
    <xf numFmtId="167" fontId="58" fillId="0" borderId="93" xfId="0" applyNumberFormat="1" applyFont="1" applyBorder="1"/>
    <xf numFmtId="167" fontId="58" fillId="13" borderId="0" xfId="0" applyNumberFormat="1" applyFont="1" applyFill="1"/>
    <xf numFmtId="167" fontId="58" fillId="0" borderId="11" xfId="0" applyNumberFormat="1" applyFont="1" applyBorder="1"/>
    <xf numFmtId="167" fontId="58" fillId="3" borderId="0" xfId="0" applyNumberFormat="1" applyFont="1" applyFill="1"/>
    <xf numFmtId="186" fontId="64" fillId="0" borderId="105" xfId="0" applyNumberFormat="1" applyFont="1" applyBorder="1"/>
    <xf numFmtId="167" fontId="58" fillId="0" borderId="105" xfId="0" applyNumberFormat="1" applyFont="1" applyBorder="1"/>
    <xf numFmtId="167" fontId="58" fillId="0" borderId="13" xfId="0" applyNumberFormat="1" applyFont="1" applyBorder="1"/>
    <xf numFmtId="167" fontId="58" fillId="0" borderId="14" xfId="0" applyNumberFormat="1" applyFont="1" applyBorder="1"/>
    <xf numFmtId="166" fontId="66" fillId="0" borderId="98" xfId="1" applyNumberFormat="1" applyFont="1" applyFill="1" applyBorder="1" applyProtection="1">
      <protection locked="0"/>
    </xf>
    <xf numFmtId="167" fontId="108" fillId="0" borderId="98" xfId="0" applyNumberFormat="1" applyFont="1" applyBorder="1"/>
    <xf numFmtId="10" fontId="66" fillId="0" borderId="55" xfId="2" applyNumberFormat="1" applyFont="1" applyBorder="1"/>
    <xf numFmtId="166" fontId="111" fillId="0" borderId="0" xfId="1" applyNumberFormat="1" applyFont="1" applyAlignment="1" applyProtection="1">
      <alignment horizontal="center"/>
      <protection locked="0"/>
    </xf>
    <xf numFmtId="166" fontId="111" fillId="0" borderId="0" xfId="1" applyNumberFormat="1" applyFont="1" applyBorder="1" applyProtection="1">
      <protection locked="0"/>
    </xf>
    <xf numFmtId="166" fontId="97" fillId="0" borderId="0" xfId="1" applyNumberFormat="1" applyFont="1" applyBorder="1" applyAlignment="1" applyProtection="1">
      <alignment horizontal="center"/>
      <protection locked="0"/>
    </xf>
    <xf numFmtId="166" fontId="111" fillId="0" borderId="0" xfId="1" applyNumberFormat="1" applyFont="1" applyProtection="1">
      <protection locked="0"/>
    </xf>
    <xf numFmtId="188" fontId="112" fillId="0" borderId="0" xfId="2" applyNumberFormat="1" applyFont="1" applyAlignment="1" applyProtection="1">
      <alignment horizontal="center"/>
      <protection locked="0"/>
    </xf>
    <xf numFmtId="39" fontId="113" fillId="0" borderId="0" xfId="0" applyNumberFormat="1" applyFont="1" applyAlignment="1" applyProtection="1">
      <alignment horizontal="center"/>
      <protection locked="0"/>
    </xf>
    <xf numFmtId="188" fontId="111" fillId="0" borderId="0" xfId="2" applyNumberFormat="1" applyFont="1" applyAlignment="1" applyProtection="1">
      <alignment horizontal="center"/>
      <protection locked="0"/>
    </xf>
    <xf numFmtId="39" fontId="111" fillId="0" borderId="0" xfId="1" applyNumberFormat="1" applyFont="1" applyAlignment="1" applyProtection="1">
      <alignment horizontal="center"/>
      <protection locked="0"/>
    </xf>
    <xf numFmtId="170" fontId="111" fillId="0" borderId="0" xfId="2" applyNumberFormat="1" applyFont="1" applyProtection="1">
      <protection locked="0"/>
    </xf>
    <xf numFmtId="170" fontId="97" fillId="0" borderId="0" xfId="2" applyNumberFormat="1" applyFont="1" applyProtection="1">
      <protection locked="0"/>
    </xf>
    <xf numFmtId="172" fontId="111" fillId="0" borderId="0" xfId="1" applyNumberFormat="1" applyFont="1" applyProtection="1">
      <protection locked="0"/>
    </xf>
    <xf numFmtId="170" fontId="111" fillId="0" borderId="0" xfId="2" applyNumberFormat="1" applyFont="1" applyAlignment="1" applyProtection="1">
      <alignment horizontal="right"/>
      <protection locked="0"/>
    </xf>
    <xf numFmtId="9" fontId="111" fillId="0" borderId="0" xfId="2" applyFont="1" applyBorder="1" applyAlignment="1" applyProtection="1">
      <alignment horizontal="center"/>
      <protection locked="0"/>
    </xf>
    <xf numFmtId="166" fontId="111" fillId="0" borderId="0" xfId="1" applyNumberFormat="1" applyFont="1" applyBorder="1" applyAlignment="1" applyProtection="1">
      <alignment horizontal="right"/>
      <protection locked="0"/>
    </xf>
    <xf numFmtId="9" fontId="111" fillId="0" borderId="0" xfId="2" applyFont="1" applyBorder="1" applyAlignment="1" applyProtection="1">
      <alignment horizontal="right"/>
      <protection locked="0"/>
    </xf>
    <xf numFmtId="166" fontId="111" fillId="0" borderId="0" xfId="1" applyNumberFormat="1" applyFont="1" applyBorder="1" applyAlignment="1" applyProtection="1">
      <alignment horizontal="left"/>
      <protection locked="0"/>
    </xf>
    <xf numFmtId="9" fontId="111" fillId="0" borderId="0" xfId="2" applyFont="1" applyBorder="1" applyProtection="1">
      <protection locked="0"/>
    </xf>
    <xf numFmtId="9" fontId="111" fillId="0" borderId="0" xfId="2" applyFont="1" applyProtection="1">
      <protection locked="0"/>
    </xf>
    <xf numFmtId="9" fontId="111" fillId="0" borderId="0" xfId="2" applyFont="1" applyAlignment="1" applyProtection="1">
      <alignment horizontal="center"/>
      <protection locked="0"/>
    </xf>
    <xf numFmtId="166" fontId="111" fillId="0" borderId="0" xfId="1" applyNumberFormat="1" applyFont="1" applyAlignment="1" applyProtection="1">
      <alignment horizontal="right"/>
      <protection locked="0"/>
    </xf>
    <xf numFmtId="0" fontId="108" fillId="16" borderId="10" xfId="0" applyFont="1" applyFill="1" applyBorder="1"/>
    <xf numFmtId="0" fontId="109" fillId="16" borderId="10" xfId="0" applyFont="1" applyFill="1" applyBorder="1"/>
    <xf numFmtId="0" fontId="62" fillId="16" borderId="0" xfId="0" applyFont="1" applyFill="1" applyAlignment="1">
      <alignment horizontal="centerContinuous" wrapText="1"/>
    </xf>
    <xf numFmtId="0" fontId="109" fillId="16" borderId="0" xfId="0" applyFont="1" applyFill="1" applyAlignment="1">
      <alignment horizontal="centerContinuous" wrapText="1"/>
    </xf>
    <xf numFmtId="0" fontId="109" fillId="16" borderId="0" xfId="0" applyFont="1" applyFill="1" applyAlignment="1">
      <alignment horizontal="centerContinuous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114" fillId="14" borderId="10" xfId="0" applyFont="1" applyFill="1" applyBorder="1"/>
    <xf numFmtId="0" fontId="114" fillId="14" borderId="0" xfId="0" applyFont="1" applyFill="1"/>
    <xf numFmtId="0" fontId="9" fillId="0" borderId="10" xfId="0" applyFont="1" applyBorder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14" borderId="0" xfId="0" applyFill="1" applyAlignment="1">
      <alignment horizontal="left" vertical="top" indent="7"/>
    </xf>
    <xf numFmtId="0" fontId="0" fillId="14" borderId="11" xfId="0" applyFill="1" applyBorder="1" applyAlignment="1">
      <alignment horizontal="left" vertical="top" indent="2"/>
    </xf>
    <xf numFmtId="0" fontId="0" fillId="14" borderId="0" xfId="0" applyFill="1" applyAlignment="1">
      <alignment horizontal="left" vertical="top" indent="11"/>
    </xf>
    <xf numFmtId="0" fontId="23" fillId="0" borderId="10" xfId="0" applyFont="1" applyBorder="1" applyAlignment="1">
      <alignment horizontal="left" vertical="top"/>
    </xf>
    <xf numFmtId="0" fontId="0" fillId="0" borderId="0" xfId="0" applyAlignment="1">
      <alignment horizontal="right" vertical="top"/>
    </xf>
    <xf numFmtId="10" fontId="0" fillId="0" borderId="0" xfId="2" applyNumberFormat="1" applyFont="1" applyFill="1" applyBorder="1" applyAlignment="1">
      <alignment horizontal="right" vertical="top"/>
    </xf>
    <xf numFmtId="10" fontId="0" fillId="0" borderId="0" xfId="0" applyNumberFormat="1" applyAlignment="1">
      <alignment horizontal="right" vertical="top"/>
    </xf>
    <xf numFmtId="3" fontId="78" fillId="0" borderId="0" xfId="0" applyNumberFormat="1" applyFont="1" applyAlignment="1">
      <alignment horizontal="right" vertical="top"/>
    </xf>
    <xf numFmtId="10" fontId="78" fillId="0" borderId="0" xfId="0" applyNumberFormat="1" applyFont="1" applyAlignment="1">
      <alignment horizontal="right" vertical="top"/>
    </xf>
    <xf numFmtId="164" fontId="78" fillId="0" borderId="0" xfId="1" applyFont="1" applyFill="1" applyBorder="1" applyAlignment="1">
      <alignment horizontal="right" vertical="top"/>
    </xf>
    <xf numFmtId="174" fontId="78" fillId="0" borderId="0" xfId="1" applyNumberFormat="1" applyFont="1" applyFill="1" applyBorder="1" applyAlignment="1">
      <alignment horizontal="right" vertical="top"/>
    </xf>
    <xf numFmtId="164" fontId="78" fillId="0" borderId="0" xfId="0" applyNumberFormat="1" applyFont="1" applyAlignment="1">
      <alignment horizontal="right" vertical="top"/>
    </xf>
    <xf numFmtId="169" fontId="115" fillId="0" borderId="0" xfId="0" applyNumberFormat="1" applyFont="1" applyAlignment="1">
      <alignment horizontal="right"/>
    </xf>
    <xf numFmtId="37" fontId="78" fillId="0" borderId="0" xfId="0" applyNumberFormat="1" applyFont="1" applyAlignment="1">
      <alignment horizontal="right" vertical="top"/>
    </xf>
    <xf numFmtId="0" fontId="116" fillId="14" borderId="0" xfId="0" applyFont="1" applyFill="1" applyAlignment="1">
      <alignment horizontal="left" vertical="top"/>
    </xf>
    <xf numFmtId="0" fontId="119" fillId="0" borderId="0" xfId="0" applyFont="1" applyAlignment="1">
      <alignment horizontal="center" vertical="top"/>
    </xf>
    <xf numFmtId="2" fontId="78" fillId="0" borderId="0" xfId="0" applyNumberFormat="1" applyFont="1" applyAlignment="1">
      <alignment horizontal="center" vertical="top"/>
    </xf>
    <xf numFmtId="2" fontId="78" fillId="0" borderId="11" xfId="0" applyNumberFormat="1" applyFont="1" applyBorder="1" applyAlignment="1">
      <alignment horizontal="center" vertical="top"/>
    </xf>
    <xf numFmtId="41" fontId="0" fillId="0" borderId="0" xfId="0" applyNumberFormat="1" applyAlignment="1">
      <alignment horizontal="left"/>
    </xf>
    <xf numFmtId="0" fontId="32" fillId="14" borderId="0" xfId="0" applyFont="1" applyFill="1" applyAlignment="1">
      <alignment horizontal="left" vertical="top" indent="7"/>
    </xf>
    <xf numFmtId="0" fontId="9" fillId="0" borderId="49" xfId="0" applyFont="1" applyBorder="1" applyAlignment="1">
      <alignment horizontal="left" vertical="top"/>
    </xf>
    <xf numFmtId="189" fontId="0" fillId="0" borderId="13" xfId="0" applyNumberFormat="1" applyBorder="1" applyAlignment="1">
      <alignment horizontal="left" vertical="top"/>
    </xf>
    <xf numFmtId="0" fontId="120" fillId="14" borderId="0" xfId="0" applyFont="1" applyFill="1" applyAlignment="1">
      <alignment horizontal="left" vertical="top" indent="46"/>
    </xf>
    <xf numFmtId="0" fontId="17" fillId="0" borderId="49" xfId="0" applyFont="1" applyBorder="1" applyAlignment="1">
      <alignment horizontal="left" vertical="top"/>
    </xf>
    <xf numFmtId="0" fontId="116" fillId="14" borderId="0" xfId="0" applyFont="1" applyFill="1" applyAlignment="1">
      <alignment horizontal="left" vertical="top" indent="28"/>
    </xf>
    <xf numFmtId="0" fontId="116" fillId="14" borderId="0" xfId="0" applyFont="1" applyFill="1" applyAlignment="1">
      <alignment horizontal="left" vertical="top" indent="7"/>
    </xf>
    <xf numFmtId="0" fontId="116" fillId="14" borderId="0" xfId="0" applyFont="1" applyFill="1" applyAlignment="1">
      <alignment horizontal="left" vertical="top" indent="8"/>
    </xf>
    <xf numFmtId="0" fontId="116" fillId="14" borderId="10" xfId="0" applyFont="1" applyFill="1" applyBorder="1" applyAlignment="1">
      <alignment horizontal="left" vertical="top" indent="23"/>
    </xf>
    <xf numFmtId="0" fontId="0" fillId="0" borderId="0" xfId="0" quotePrefix="1" applyAlignment="1">
      <alignment horizontal="left" vertical="top"/>
    </xf>
    <xf numFmtId="41" fontId="0" fillId="0" borderId="11" xfId="0" applyNumberFormat="1" applyBorder="1" applyAlignment="1">
      <alignment vertical="center"/>
    </xf>
    <xf numFmtId="174" fontId="0" fillId="0" borderId="11" xfId="1" applyNumberFormat="1" applyFont="1" applyFill="1" applyBorder="1" applyAlignment="1">
      <alignment vertical="center"/>
    </xf>
    <xf numFmtId="189" fontId="0" fillId="0" borderId="14" xfId="0" applyNumberFormat="1" applyBorder="1" applyAlignment="1">
      <alignment vertical="center"/>
    </xf>
    <xf numFmtId="174" fontId="67" fillId="0" borderId="0" xfId="1" applyNumberFormat="1" applyFont="1" applyBorder="1"/>
    <xf numFmtId="174" fontId="23" fillId="0" borderId="0" xfId="1" applyNumberFormat="1" applyFont="1" applyBorder="1"/>
    <xf numFmtId="178" fontId="23" fillId="0" borderId="0" xfId="1" applyNumberFormat="1" applyFont="1" applyBorder="1"/>
    <xf numFmtId="179" fontId="0" fillId="0" borderId="0" xfId="0" applyNumberFormat="1"/>
    <xf numFmtId="0" fontId="0" fillId="0" borderId="54" xfId="0" applyBorder="1"/>
    <xf numFmtId="38" fontId="0" fillId="0" borderId="54" xfId="0" applyNumberFormat="1" applyBorder="1" applyAlignment="1">
      <alignment horizontal="left" vertical="top"/>
    </xf>
    <xf numFmtId="167" fontId="62" fillId="13" borderId="52" xfId="0" applyNumberFormat="1" applyFont="1" applyFill="1" applyBorder="1" applyAlignment="1">
      <alignment vertical="center"/>
    </xf>
    <xf numFmtId="167" fontId="58" fillId="0" borderId="65" xfId="0" applyNumberFormat="1" applyFont="1" applyBorder="1" applyAlignment="1">
      <alignment vertical="center"/>
    </xf>
    <xf numFmtId="167" fontId="58" fillId="0" borderId="66" xfId="0" applyNumberFormat="1" applyFont="1" applyBorder="1" applyAlignment="1">
      <alignment vertical="center"/>
    </xf>
    <xf numFmtId="164" fontId="58" fillId="0" borderId="52" xfId="0" applyNumberFormat="1" applyFont="1" applyBorder="1"/>
    <xf numFmtId="177" fontId="0" fillId="0" borderId="0" xfId="0" applyNumberFormat="1"/>
    <xf numFmtId="174" fontId="0" fillId="17" borderId="67" xfId="0" applyNumberFormat="1" applyFill="1" applyBorder="1" applyAlignment="1">
      <alignment horizontal="left" vertical="top"/>
    </xf>
    <xf numFmtId="174" fontId="0" fillId="17" borderId="65" xfId="0" applyNumberFormat="1" applyFill="1" applyBorder="1" applyAlignment="1">
      <alignment horizontal="left" vertical="top"/>
    </xf>
    <xf numFmtId="174" fontId="23" fillId="17" borderId="106" xfId="1" applyNumberFormat="1" applyFont="1" applyFill="1" applyBorder="1"/>
    <xf numFmtId="185" fontId="121" fillId="0" borderId="0" xfId="0" applyNumberFormat="1" applyFont="1" applyAlignment="1">
      <alignment horizontal="center" vertical="top"/>
    </xf>
    <xf numFmtId="10" fontId="0" fillId="0" borderId="11" xfId="2" applyNumberFormat="1" applyFont="1" applyFill="1" applyBorder="1" applyAlignment="1">
      <alignment horizontal="left" vertical="top"/>
    </xf>
    <xf numFmtId="170" fontId="58" fillId="0" borderId="80" xfId="2" applyNumberFormat="1" applyFont="1" applyFill="1" applyBorder="1"/>
    <xf numFmtId="170" fontId="63" fillId="0" borderId="0" xfId="2" applyNumberFormat="1" applyFont="1" applyFill="1" applyBorder="1"/>
    <xf numFmtId="169" fontId="58" fillId="0" borderId="80" xfId="0" applyNumberFormat="1" applyFont="1" applyBorder="1"/>
    <xf numFmtId="174" fontId="58" fillId="0" borderId="80" xfId="1" applyNumberFormat="1" applyFont="1" applyFill="1" applyBorder="1" applyAlignment="1">
      <alignment horizontal="right"/>
    </xf>
    <xf numFmtId="164" fontId="63" fillId="0" borderId="0" xfId="1" applyFont="1" applyFill="1" applyBorder="1"/>
    <xf numFmtId="174" fontId="58" fillId="0" borderId="80" xfId="1" applyNumberFormat="1" applyFont="1" applyFill="1" applyBorder="1"/>
    <xf numFmtId="174" fontId="63" fillId="0" borderId="0" xfId="1" applyNumberFormat="1" applyFont="1" applyFill="1" applyBorder="1"/>
    <xf numFmtId="10" fontId="63" fillId="0" borderId="0" xfId="1" applyNumberFormat="1" applyFont="1" applyFill="1" applyBorder="1"/>
    <xf numFmtId="174" fontId="58" fillId="0" borderId="80" xfId="1" applyNumberFormat="1" applyFont="1" applyFill="1" applyBorder="1" applyAlignment="1">
      <alignment horizontal="center"/>
    </xf>
    <xf numFmtId="3" fontId="69" fillId="9" borderId="107" xfId="0" applyNumberFormat="1" applyFont="1" applyFill="1" applyBorder="1" applyAlignment="1">
      <alignment horizontal="right" vertical="center" shrinkToFit="1"/>
    </xf>
    <xf numFmtId="174" fontId="14" fillId="2" borderId="107" xfId="1" applyNumberFormat="1" applyFont="1" applyFill="1" applyBorder="1" applyAlignment="1">
      <alignment horizontal="left" vertical="top" wrapText="1"/>
    </xf>
    <xf numFmtId="37" fontId="69" fillId="0" borderId="3" xfId="0" applyNumberFormat="1" applyFont="1" applyBorder="1" applyAlignment="1">
      <alignment horizontal="right" vertical="top" shrinkToFit="1"/>
    </xf>
    <xf numFmtId="44" fontId="0" fillId="0" borderId="0" xfId="5" applyFont="1" applyFill="1" applyBorder="1" applyAlignment="1">
      <alignment horizontal="left" vertical="top"/>
    </xf>
    <xf numFmtId="0" fontId="0" fillId="0" borderId="0" xfId="0" quotePrefix="1"/>
    <xf numFmtId="174" fontId="116" fillId="0" borderId="80" xfId="1" applyNumberFormat="1" applyFont="1" applyFill="1" applyBorder="1" applyAlignment="1">
      <alignment horizontal="left" vertical="top"/>
    </xf>
    <xf numFmtId="170" fontId="0" fillId="0" borderId="0" xfId="2" applyNumberFormat="1" applyFont="1" applyBorder="1" applyAlignment="1">
      <alignment horizontal="right" vertical="center"/>
    </xf>
    <xf numFmtId="170" fontId="9" fillId="0" borderId="0" xfId="2" applyNumberFormat="1" applyFont="1" applyFill="1" applyBorder="1" applyAlignment="1">
      <alignment horizontal="right" vertical="center"/>
    </xf>
    <xf numFmtId="0" fontId="21" fillId="0" borderId="49" xfId="0" applyFont="1" applyBorder="1" applyAlignment="1">
      <alignment horizontal="center" vertical="top" wrapText="1"/>
    </xf>
    <xf numFmtId="3" fontId="123" fillId="5" borderId="11" xfId="0" applyNumberFormat="1" applyFont="1" applyFill="1" applyBorder="1" applyAlignment="1">
      <alignment horizontal="left" vertical="center" shrinkToFit="1"/>
    </xf>
    <xf numFmtId="3" fontId="123" fillId="5" borderId="0" xfId="0" applyNumberFormat="1" applyFont="1" applyFill="1" applyAlignment="1">
      <alignment horizontal="left" vertical="center" shrinkToFit="1"/>
    </xf>
    <xf numFmtId="3" fontId="123" fillId="5" borderId="15" xfId="0" applyNumberFormat="1" applyFont="1" applyFill="1" applyBorder="1" applyAlignment="1">
      <alignment horizontal="left" vertical="center" shrinkToFit="1"/>
    </xf>
    <xf numFmtId="3" fontId="123" fillId="5" borderId="49" xfId="0" applyNumberFormat="1" applyFont="1" applyFill="1" applyBorder="1" applyAlignment="1">
      <alignment horizontal="left" vertical="center" shrinkToFit="1"/>
    </xf>
    <xf numFmtId="3" fontId="123" fillId="5" borderId="50" xfId="0" applyNumberFormat="1" applyFont="1" applyFill="1" applyBorder="1" applyAlignment="1">
      <alignment horizontal="left" vertical="center" shrinkToFit="1"/>
    </xf>
    <xf numFmtId="3" fontId="123" fillId="5" borderId="10" xfId="0" applyNumberFormat="1" applyFont="1" applyFill="1" applyBorder="1" applyAlignment="1">
      <alignment horizontal="left" vertical="center" shrinkToFit="1"/>
    </xf>
    <xf numFmtId="0" fontId="58" fillId="0" borderId="0" xfId="0" applyFont="1" applyAlignment="1">
      <alignment wrapText="1"/>
    </xf>
    <xf numFmtId="38" fontId="58" fillId="0" borderId="0" xfId="0" applyNumberFormat="1" applyFont="1"/>
    <xf numFmtId="164" fontId="58" fillId="0" borderId="0" xfId="0" applyNumberFormat="1" applyFont="1"/>
    <xf numFmtId="171" fontId="81" fillId="0" borderId="0" xfId="0" applyNumberFormat="1" applyFont="1" applyAlignment="1">
      <alignment vertical="center"/>
    </xf>
    <xf numFmtId="171" fontId="81" fillId="0" borderId="11" xfId="0" applyNumberFormat="1" applyFont="1" applyBorder="1" applyAlignment="1">
      <alignment vertical="center"/>
    </xf>
    <xf numFmtId="38" fontId="58" fillId="0" borderId="0" xfId="0" applyNumberFormat="1" applyFont="1" applyAlignment="1">
      <alignment wrapText="1"/>
    </xf>
    <xf numFmtId="164" fontId="58" fillId="0" borderId="0" xfId="0" applyNumberFormat="1" applyFont="1" applyAlignment="1">
      <alignment wrapText="1"/>
    </xf>
    <xf numFmtId="0" fontId="58" fillId="13" borderId="10" xfId="0" applyFont="1" applyFill="1" applyBorder="1" applyAlignment="1">
      <alignment vertical="center" wrapText="1"/>
    </xf>
    <xf numFmtId="0" fontId="58" fillId="13" borderId="0" xfId="0" applyFont="1" applyFill="1"/>
    <xf numFmtId="171" fontId="58" fillId="13" borderId="0" xfId="0" applyNumberFormat="1" applyFont="1" applyFill="1"/>
    <xf numFmtId="171" fontId="58" fillId="13" borderId="11" xfId="0" applyNumberFormat="1" applyFont="1" applyFill="1" applyBorder="1"/>
    <xf numFmtId="3" fontId="62" fillId="0" borderId="0" xfId="0" applyNumberFormat="1" applyFont="1"/>
    <xf numFmtId="40" fontId="58" fillId="0" borderId="0" xfId="0" applyNumberFormat="1" applyFont="1" applyAlignment="1">
      <alignment wrapText="1"/>
    </xf>
    <xf numFmtId="38" fontId="58" fillId="0" borderId="11" xfId="0" applyNumberFormat="1" applyFont="1" applyBorder="1" applyAlignment="1">
      <alignment wrapText="1"/>
    </xf>
    <xf numFmtId="38" fontId="62" fillId="0" borderId="0" xfId="0" applyNumberFormat="1" applyFont="1" applyAlignment="1">
      <alignment wrapText="1"/>
    </xf>
    <xf numFmtId="0" fontId="58" fillId="0" borderId="10" xfId="0" applyFont="1" applyBorder="1" applyAlignment="1">
      <alignment vertical="center" wrapText="1"/>
    </xf>
    <xf numFmtId="167" fontId="58" fillId="0" borderId="0" xfId="0" applyNumberFormat="1" applyFont="1" applyAlignment="1">
      <alignment vertical="center"/>
    </xf>
    <xf numFmtId="174" fontId="58" fillId="0" borderId="0" xfId="1" applyNumberFormat="1" applyFont="1" applyBorder="1"/>
    <xf numFmtId="0" fontId="81" fillId="0" borderId="0" xfId="0" applyFont="1"/>
    <xf numFmtId="167" fontId="58" fillId="0" borderId="13" xfId="0" applyNumberFormat="1" applyFont="1" applyBorder="1" applyAlignment="1">
      <alignment vertical="center"/>
    </xf>
    <xf numFmtId="0" fontId="122" fillId="5" borderId="52" xfId="0" applyFont="1" applyFill="1" applyBorder="1" applyAlignment="1">
      <alignment horizontal="center" vertical="top" wrapText="1"/>
    </xf>
    <xf numFmtId="0" fontId="122" fillId="5" borderId="9" xfId="0" applyFont="1" applyFill="1" applyBorder="1" applyAlignment="1">
      <alignment horizontal="center" vertical="top" wrapText="1"/>
    </xf>
    <xf numFmtId="0" fontId="122" fillId="5" borderId="9" xfId="0" applyFont="1" applyFill="1" applyBorder="1" applyAlignment="1">
      <alignment horizontal="left" vertical="top" wrapText="1"/>
    </xf>
    <xf numFmtId="0" fontId="122" fillId="5" borderId="67" xfId="0" applyFont="1" applyFill="1" applyBorder="1" applyAlignment="1">
      <alignment horizontal="left" vertical="top" wrapText="1"/>
    </xf>
    <xf numFmtId="0" fontId="122" fillId="5" borderId="66" xfId="0" applyFont="1" applyFill="1" applyBorder="1" applyAlignment="1">
      <alignment horizontal="left" vertical="top" wrapText="1"/>
    </xf>
    <xf numFmtId="0" fontId="122" fillId="5" borderId="15" xfId="0" applyFont="1" applyFill="1" applyBorder="1" applyAlignment="1">
      <alignment horizontal="left" vertical="top" wrapText="1"/>
    </xf>
    <xf numFmtId="0" fontId="122" fillId="5" borderId="49" xfId="0" applyFont="1" applyFill="1" applyBorder="1" applyAlignment="1">
      <alignment horizontal="left" vertical="top" wrapText="1"/>
    </xf>
    <xf numFmtId="0" fontId="122" fillId="5" borderId="50" xfId="0" applyFont="1" applyFill="1" applyBorder="1" applyAlignment="1">
      <alignment horizontal="left" vertical="top" wrapText="1"/>
    </xf>
    <xf numFmtId="0" fontId="122" fillId="5" borderId="7" xfId="0" applyFont="1" applyFill="1" applyBorder="1" applyAlignment="1">
      <alignment horizontal="left" vertical="top" wrapText="1"/>
    </xf>
    <xf numFmtId="0" fontId="122" fillId="5" borderId="8" xfId="0" applyFont="1" applyFill="1" applyBorder="1" applyAlignment="1">
      <alignment horizontal="left" vertical="top" wrapText="1"/>
    </xf>
    <xf numFmtId="0" fontId="122" fillId="0" borderId="0" xfId="0" applyFont="1" applyAlignment="1">
      <alignment horizontal="left" vertical="top" wrapText="1"/>
    </xf>
    <xf numFmtId="0" fontId="0" fillId="0" borderId="80" xfId="0" applyBorder="1"/>
    <xf numFmtId="0" fontId="122" fillId="5" borderId="108" xfId="0" applyFont="1" applyFill="1" applyBorder="1" applyAlignment="1">
      <alignment horizontal="left" vertical="top" wrapText="1"/>
    </xf>
    <xf numFmtId="10" fontId="64" fillId="0" borderId="79" xfId="0" applyNumberFormat="1" applyFont="1" applyBorder="1"/>
    <xf numFmtId="10" fontId="64" fillId="0" borderId="80" xfId="0" applyNumberFormat="1" applyFont="1" applyBorder="1"/>
    <xf numFmtId="169" fontId="64" fillId="0" borderId="80" xfId="0" applyNumberFormat="1" applyFont="1" applyBorder="1"/>
    <xf numFmtId="0" fontId="64" fillId="0" borderId="80" xfId="0" applyFont="1" applyBorder="1"/>
    <xf numFmtId="0" fontId="64" fillId="0" borderId="79" xfId="0" applyFont="1" applyBorder="1"/>
    <xf numFmtId="174" fontId="64" fillId="0" borderId="80" xfId="1" applyNumberFormat="1" applyFont="1" applyBorder="1"/>
    <xf numFmtId="170" fontId="64" fillId="0" borderId="80" xfId="2" applyNumberFormat="1" applyFont="1" applyBorder="1"/>
    <xf numFmtId="10" fontId="64" fillId="0" borderId="80" xfId="2" applyNumberFormat="1" applyFont="1" applyBorder="1"/>
    <xf numFmtId="164" fontId="64" fillId="0" borderId="80" xfId="1" applyFont="1" applyBorder="1"/>
    <xf numFmtId="10" fontId="66" fillId="0" borderId="79" xfId="0" applyNumberFormat="1" applyFont="1" applyBorder="1"/>
    <xf numFmtId="10" fontId="66" fillId="0" borderId="80" xfId="0" applyNumberFormat="1" applyFont="1" applyBorder="1"/>
    <xf numFmtId="169" fontId="66" fillId="0" borderId="80" xfId="0" applyNumberFormat="1" applyFont="1" applyBorder="1"/>
    <xf numFmtId="170" fontId="66" fillId="0" borderId="80" xfId="2" applyNumberFormat="1" applyFont="1" applyBorder="1"/>
    <xf numFmtId="169" fontId="66" fillId="0" borderId="80" xfId="0" applyNumberFormat="1" applyFont="1" applyBorder="1" applyAlignment="1">
      <alignment horizontal="right"/>
    </xf>
    <xf numFmtId="10" fontId="66" fillId="0" borderId="80" xfId="2" applyNumberFormat="1" applyFont="1" applyBorder="1"/>
    <xf numFmtId="174" fontId="66" fillId="0" borderId="80" xfId="1" applyNumberFormat="1" applyFont="1" applyBorder="1"/>
    <xf numFmtId="164" fontId="66" fillId="0" borderId="80" xfId="1" applyFont="1" applyBorder="1"/>
    <xf numFmtId="0" fontId="58" fillId="0" borderId="110" xfId="0" applyFont="1" applyBorder="1" applyAlignment="1">
      <alignment horizontal="left" indent="2"/>
    </xf>
    <xf numFmtId="0" fontId="58" fillId="0" borderId="110" xfId="0" applyFont="1" applyBorder="1"/>
    <xf numFmtId="169" fontId="58" fillId="0" borderId="110" xfId="0" applyNumberFormat="1" applyFont="1" applyBorder="1"/>
    <xf numFmtId="10" fontId="58" fillId="0" borderId="110" xfId="2" applyNumberFormat="1" applyFont="1" applyBorder="1"/>
    <xf numFmtId="164" fontId="66" fillId="0" borderId="110" xfId="1" applyFont="1" applyBorder="1"/>
    <xf numFmtId="164" fontId="66" fillId="0" borderId="109" xfId="1" applyFont="1" applyBorder="1"/>
    <xf numFmtId="0" fontId="65" fillId="5" borderId="8" xfId="0" applyFont="1" applyFill="1" applyBorder="1" applyAlignment="1">
      <alignment horizontal="left" vertical="top" wrapText="1"/>
    </xf>
    <xf numFmtId="0" fontId="124" fillId="5" borderId="8" xfId="0" applyFont="1" applyFill="1" applyBorder="1" applyAlignment="1">
      <alignment horizontal="left" vertical="top" wrapText="1"/>
    </xf>
    <xf numFmtId="168" fontId="61" fillId="16" borderId="0" xfId="0" applyNumberFormat="1" applyFont="1" applyFill="1"/>
    <xf numFmtId="168" fontId="61" fillId="16" borderId="80" xfId="0" applyNumberFormat="1" applyFont="1" applyFill="1" applyBorder="1"/>
    <xf numFmtId="0" fontId="70" fillId="0" borderId="99" xfId="0" applyFont="1" applyBorder="1"/>
    <xf numFmtId="0" fontId="76" fillId="0" borderId="69" xfId="0" applyFont="1" applyBorder="1"/>
    <xf numFmtId="0" fontId="70" fillId="0" borderId="102" xfId="0" applyFont="1" applyBorder="1"/>
    <xf numFmtId="0" fontId="76" fillId="0" borderId="70" xfId="0" applyFont="1" applyBorder="1"/>
    <xf numFmtId="0" fontId="70" fillId="0" borderId="103" xfId="0" applyFont="1" applyBorder="1"/>
    <xf numFmtId="0" fontId="76" fillId="0" borderId="104" xfId="0" applyFont="1" applyBorder="1"/>
    <xf numFmtId="0" fontId="125" fillId="5" borderId="8" xfId="0" applyFont="1" applyFill="1" applyBorder="1" applyAlignment="1">
      <alignment horizontal="center" vertical="top" wrapText="1"/>
    </xf>
    <xf numFmtId="0" fontId="126" fillId="14" borderId="0" xfId="0" applyFont="1" applyFill="1"/>
    <xf numFmtId="0" fontId="0" fillId="0" borderId="111" xfId="0" applyBorder="1" applyAlignment="1">
      <alignment horizontal="left" vertical="top"/>
    </xf>
    <xf numFmtId="0" fontId="127" fillId="16" borderId="0" xfId="0" applyFont="1" applyFill="1"/>
    <xf numFmtId="0" fontId="108" fillId="16" borderId="0" xfId="0" applyFont="1" applyFill="1"/>
    <xf numFmtId="0" fontId="108" fillId="16" borderId="80" xfId="0" applyFont="1" applyFill="1" applyBorder="1"/>
    <xf numFmtId="0" fontId="116" fillId="16" borderId="0" xfId="0" applyFont="1" applyFill="1" applyAlignment="1">
      <alignment horizontal="left" vertical="top"/>
    </xf>
    <xf numFmtId="0" fontId="116" fillId="16" borderId="0" xfId="0" applyFont="1" applyFill="1"/>
    <xf numFmtId="0" fontId="108" fillId="16" borderId="70" xfId="0" applyFont="1" applyFill="1" applyBorder="1"/>
    <xf numFmtId="174" fontId="73" fillId="0" borderId="0" xfId="1" applyNumberFormat="1" applyFont="1" applyFill="1" applyBorder="1" applyAlignment="1" applyProtection="1">
      <alignment horizontal="left" vertical="top" wrapText="1"/>
    </xf>
    <xf numFmtId="166" fontId="68" fillId="9" borderId="52" xfId="1" applyNumberFormat="1" applyFont="1" applyFill="1" applyBorder="1" applyProtection="1">
      <protection locked="0"/>
    </xf>
    <xf numFmtId="10" fontId="68" fillId="0" borderId="11" xfId="2" applyNumberFormat="1" applyFont="1" applyFill="1" applyBorder="1" applyProtection="1">
      <protection locked="0"/>
    </xf>
    <xf numFmtId="0" fontId="108" fillId="16" borderId="0" xfId="0" applyFont="1" applyFill="1" applyAlignment="1">
      <alignment horizontal="center"/>
    </xf>
    <xf numFmtId="0" fontId="108" fillId="16" borderId="70" xfId="0" applyFont="1" applyFill="1" applyBorder="1" applyAlignment="1">
      <alignment horizontal="center"/>
    </xf>
    <xf numFmtId="0" fontId="106" fillId="15" borderId="100" xfId="3" applyFont="1" applyFill="1" applyBorder="1" applyAlignment="1">
      <alignment horizontal="center" vertical="center" wrapText="1"/>
    </xf>
    <xf numFmtId="0" fontId="107" fillId="0" borderId="100" xfId="0" applyFont="1" applyBorder="1" applyAlignment="1">
      <alignment horizontal="center" vertical="center" wrapText="1"/>
    </xf>
    <xf numFmtId="0" fontId="107" fillId="0" borderId="101" xfId="0" applyFont="1" applyBorder="1" applyAlignment="1">
      <alignment horizontal="center" vertical="center" wrapText="1"/>
    </xf>
    <xf numFmtId="0" fontId="104" fillId="15" borderId="99" xfId="3" applyFont="1" applyFill="1" applyBorder="1" applyAlignment="1">
      <alignment horizontal="center"/>
    </xf>
    <xf numFmtId="0" fontId="104" fillId="15" borderId="54" xfId="3" applyFont="1" applyFill="1" applyBorder="1" applyAlignment="1">
      <alignment horizontal="center"/>
    </xf>
    <xf numFmtId="0" fontId="104" fillId="15" borderId="69" xfId="3" applyFont="1" applyFill="1" applyBorder="1" applyAlignment="1">
      <alignment horizontal="center"/>
    </xf>
    <xf numFmtId="0" fontId="109" fillId="16" borderId="15" xfId="0" applyFont="1" applyFill="1" applyBorder="1" applyAlignment="1">
      <alignment horizontal="center"/>
    </xf>
    <xf numFmtId="0" fontId="109" fillId="16" borderId="49" xfId="0" applyFont="1" applyFill="1" applyBorder="1" applyAlignment="1">
      <alignment horizontal="center"/>
    </xf>
    <xf numFmtId="0" fontId="109" fillId="16" borderId="50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25" fillId="0" borderId="40" xfId="0" applyFont="1" applyBorder="1" applyAlignment="1">
      <alignment horizontal="right" vertical="center" wrapText="1" indent="1"/>
    </xf>
    <xf numFmtId="0" fontId="25" fillId="0" borderId="41" xfId="0" applyFont="1" applyBorder="1" applyAlignment="1">
      <alignment horizontal="right" vertical="center" wrapText="1" indent="1"/>
    </xf>
    <xf numFmtId="0" fontId="86" fillId="0" borderId="0" xfId="0" applyFont="1" applyAlignment="1">
      <alignment horizontal="left" vertical="top" wrapText="1"/>
    </xf>
    <xf numFmtId="1" fontId="85" fillId="0" borderId="0" xfId="0" applyNumberFormat="1" applyFont="1" applyAlignment="1">
      <alignment horizontal="right" vertical="top" indent="4" shrinkToFit="1"/>
    </xf>
  </cellXfs>
  <cellStyles count="6">
    <cellStyle name="Comma" xfId="1" builtinId="3"/>
    <cellStyle name="Currency" xfId="5" builtinId="4"/>
    <cellStyle name="Normal" xfId="0" builtinId="0"/>
    <cellStyle name="Normal 2" xfId="3" xr:uid="{00000000-0005-0000-0000-000003000000}"/>
    <cellStyle name="Normal 5" xfId="4" xr:uid="{00000000-0005-0000-0000-000004000000}"/>
    <cellStyle name="Percent" xfId="2" builtinId="5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712575964679233"/>
          <c:y val="4.5548798707853826E-2"/>
          <c:w val="0.76524626353246183"/>
          <c:h val="0.90890240258429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'DashBoard '!$B$28</c:f>
              <c:strCache>
                <c:ptCount val="1"/>
                <c:pt idx="0">
                  <c:v>Operating Cash Flows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val>
            <c:numRef>
              <c:f>'DashBoard '!$C$28:$I$28</c:f>
              <c:numCache>
                <c:formatCode>#,##0</c:formatCode>
                <c:ptCount val="7"/>
                <c:pt idx="1">
                  <c:v>160244</c:v>
                </c:pt>
                <c:pt idx="2">
                  <c:v>89527.367413775923</c:v>
                </c:pt>
                <c:pt idx="3">
                  <c:v>90658.075616495276</c:v>
                </c:pt>
                <c:pt idx="4">
                  <c:v>99357.493497519288</c:v>
                </c:pt>
                <c:pt idx="5">
                  <c:v>109474.8397266352</c:v>
                </c:pt>
                <c:pt idx="6">
                  <c:v>120435.17036149728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FA-4366-90BC-DF9E3A5A75F7}"/>
            </c:ext>
          </c:extLst>
        </c:ser>
        <c:ser>
          <c:idx val="1"/>
          <c:order val="1"/>
          <c:tx>
            <c:strRef>
              <c:f>'DashBoard '!$B$29</c:f>
              <c:strCache>
                <c:ptCount val="1"/>
                <c:pt idx="0">
                  <c:v>Investing Cash Flows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val>
            <c:numRef>
              <c:f>'DashBoard '!$C$29:$I$29</c:f>
              <c:numCache>
                <c:formatCode>_(* #,##0.00_);_(* \(#,##0.00\);_(* "-"??_);_(@_)</c:formatCode>
                <c:ptCount val="7"/>
                <c:pt idx="1">
                  <c:v>-45061</c:v>
                </c:pt>
                <c:pt idx="2">
                  <c:v>-2707</c:v>
                </c:pt>
                <c:pt idx="3">
                  <c:v>-2707</c:v>
                </c:pt>
                <c:pt idx="4">
                  <c:v>-2707</c:v>
                </c:pt>
                <c:pt idx="5">
                  <c:v>-2707</c:v>
                </c:pt>
                <c:pt idx="6">
                  <c:v>-2707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FA-4366-90BC-DF9E3A5A75F7}"/>
            </c:ext>
          </c:extLst>
        </c:ser>
        <c:ser>
          <c:idx val="2"/>
          <c:order val="2"/>
          <c:tx>
            <c:strRef>
              <c:f>'DashBoard '!$B$30</c:f>
              <c:strCache>
                <c:ptCount val="1"/>
                <c:pt idx="0">
                  <c:v>Financing Cash Flows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val>
            <c:numRef>
              <c:f>'DashBoard '!$C$30:$I$30</c:f>
              <c:numCache>
                <c:formatCode>_(* #,##0.00_);_(* \(#,##0.00\);_(* "-"??_);_(@_)</c:formatCode>
                <c:ptCount val="7"/>
                <c:pt idx="1">
                  <c:v>-38252</c:v>
                </c:pt>
                <c:pt idx="2">
                  <c:v>-31982.870562022861</c:v>
                </c:pt>
                <c:pt idx="3">
                  <c:v>-36752.43901829423</c:v>
                </c:pt>
                <c:pt idx="4">
                  <c:v>-41780.41552359327</c:v>
                </c:pt>
                <c:pt idx="5">
                  <c:v>-47112.78256030778</c:v>
                </c:pt>
                <c:pt idx="6">
                  <c:v>-52803.668762952286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FA-4366-90BC-DF9E3A5A7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863808"/>
        <c:axId val="143865344"/>
      </c:barChart>
      <c:lineChart>
        <c:grouping val="standard"/>
        <c:varyColors val="0"/>
        <c:ser>
          <c:idx val="3"/>
          <c:order val="3"/>
          <c:tx>
            <c:strRef>
              <c:f>'DashBoard '!$B$31</c:f>
              <c:strCache>
                <c:ptCount val="1"/>
                <c:pt idx="0">
                  <c:v>Cash Balance</c:v>
                </c:pt>
              </c:strCache>
            </c:strRef>
          </c:tx>
          <c:marker>
            <c:symbol val="none"/>
          </c:marker>
          <c:val>
            <c:numRef>
              <c:f>'DashBoard '!$C$31:$I$31</c:f>
              <c:numCache>
                <c:formatCode>#,##0;\(#,##0\);"-"</c:formatCode>
                <c:ptCount val="7"/>
                <c:pt idx="1">
                  <c:v>125244</c:v>
                </c:pt>
                <c:pt idx="2" formatCode="#,##0_);\(#,##0\)">
                  <c:v>180081.49685175307</c:v>
                </c:pt>
                <c:pt idx="3" formatCode="#,##0_);\(#,##0\)">
                  <c:v>231280.1334499541</c:v>
                </c:pt>
                <c:pt idx="4" formatCode="#,##0_);\(#,##0\)">
                  <c:v>286150.21142388013</c:v>
                </c:pt>
                <c:pt idx="5" formatCode="#,##0_);\(#,##0\)">
                  <c:v>345805.26859020756</c:v>
                </c:pt>
                <c:pt idx="6" formatCode="#,##0_);\(#,##0\)">
                  <c:v>410729.77018875256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FA-4366-90BC-DF9E3A5A7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63808"/>
        <c:axId val="143865344"/>
      </c:lineChart>
      <c:catAx>
        <c:axId val="143863808"/>
        <c:scaling>
          <c:orientation val="minMax"/>
        </c:scaling>
        <c:delete val="1"/>
        <c:axPos val="b"/>
        <c:majorTickMark val="out"/>
        <c:minorTickMark val="none"/>
        <c:tickLblPos val="nextTo"/>
        <c:crossAx val="143865344"/>
        <c:crosses val="autoZero"/>
        <c:auto val="1"/>
        <c:lblAlgn val="ctr"/>
        <c:lblOffset val="100"/>
        <c:noMultiLvlLbl val="0"/>
      </c:catAx>
      <c:valAx>
        <c:axId val="143865344"/>
        <c:scaling>
          <c:orientation val="minMax"/>
        </c:scaling>
        <c:delete val="0"/>
        <c:axPos val="l"/>
        <c:numFmt formatCode="&quot;$&quot;#,##0.00" sourceLinked="0"/>
        <c:majorTickMark val="out"/>
        <c:minorTickMark val="none"/>
        <c:tickLblPos val="nextTo"/>
        <c:crossAx val="143863808"/>
        <c:crosses val="autoZero"/>
        <c:crossBetween val="between"/>
      </c:valAx>
      <c:spPr>
        <a:gradFill>
          <a:gsLst>
            <a:gs pos="100000">
              <a:schemeClr val="accent1">
                <a:tint val="44500"/>
                <a:satMod val="160000"/>
                <a:lumMod val="93000"/>
              </a:schemeClr>
            </a:gs>
            <a:gs pos="97000">
              <a:schemeClr val="accent1">
                <a:tint val="23500"/>
                <a:satMod val="160000"/>
                <a:alpha val="0"/>
              </a:schemeClr>
            </a:gs>
          </a:gsLst>
          <a:lin ang="5400000" scaled="0"/>
        </a:gradFill>
        <a:ln>
          <a:noFill/>
        </a:ln>
        <a:effectLst>
          <a:glow rad="127000">
            <a:schemeClr val="accent1">
              <a:alpha val="0"/>
            </a:schemeClr>
          </a:glow>
          <a:outerShdw blurRad="50800" dist="50800" dir="5400000" algn="ctr" rotWithShape="0">
            <a:schemeClr val="bg1"/>
          </a:outerShdw>
        </a:effectLst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26407546100439244"/>
          <c:y val="2.9828633110497747E-2"/>
          <c:w val="0.34361610968294776"/>
          <c:h val="0.214896004194646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816457616164815"/>
          <c:y val="0.13619452285445452"/>
          <c:w val="0.68187831661229259"/>
          <c:h val="0.78094428762442436"/>
        </c:manualLayout>
      </c:layout>
      <c:bubbleChart>
        <c:varyColors val="0"/>
        <c:ser>
          <c:idx val="3"/>
          <c:order val="0"/>
          <c:invertIfNegative val="0"/>
          <c:xVal>
            <c:strRef>
              <c:f>'DashBoard '!$U$10:$Z$10</c:f>
              <c:strCache>
                <c:ptCount val="6"/>
                <c:pt idx="0">
                  <c:v>Market</c:v>
                </c:pt>
                <c:pt idx="1">
                  <c:v>DCF -Bull</c:v>
                </c:pt>
                <c:pt idx="2">
                  <c:v>DCF -Bear</c:v>
                </c:pt>
                <c:pt idx="3">
                  <c:v>DCF-Consensus</c:v>
                </c:pt>
                <c:pt idx="4">
                  <c:v>Comps-High</c:v>
                </c:pt>
                <c:pt idx="5">
                  <c:v>Comps-Low</c:v>
                </c:pt>
              </c:strCache>
            </c:strRef>
          </c:xVal>
          <c:yVal>
            <c:numRef>
              <c:f>'DashBoard '!$U$15:$Z$15</c:f>
              <c:numCache>
                <c:formatCode>_-* #,##0_-;\-* #,##0_-;_-* "-"??_-;_-@_-</c:formatCode>
                <c:ptCount val="6"/>
                <c:pt idx="0">
                  <c:v>2548378063.04</c:v>
                </c:pt>
                <c:pt idx="1">
                  <c:v>3851452992</c:v>
                </c:pt>
                <c:pt idx="2">
                  <c:v>1489228490.24</c:v>
                </c:pt>
                <c:pt idx="3">
                  <c:v>2490606268.1599998</c:v>
                </c:pt>
                <c:pt idx="4">
                  <c:v>3450388580.8944554</c:v>
                </c:pt>
                <c:pt idx="5">
                  <c:v>2120824324.9663019</c:v>
                </c:pt>
              </c:numCache>
            </c:numRef>
          </c:yVal>
          <c:bubbleSize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CBF5-4A79-9CEB-5E6AF6D54521}"/>
            </c:ext>
          </c:extLst>
        </c:ser>
        <c:ser>
          <c:idx val="4"/>
          <c:order val="1"/>
          <c:invertIfNegative val="0"/>
          <c:dLbls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  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CBF5-4A79-9CEB-5E6AF6D5452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'DashBoard '!$U$10:$Z$10</c:f>
              <c:strCache>
                <c:ptCount val="6"/>
                <c:pt idx="0">
                  <c:v>Market</c:v>
                </c:pt>
                <c:pt idx="1">
                  <c:v>DCF -Bull</c:v>
                </c:pt>
                <c:pt idx="2">
                  <c:v>DCF -Bear</c:v>
                </c:pt>
                <c:pt idx="3">
                  <c:v>DCF-Consensus</c:v>
                </c:pt>
                <c:pt idx="4">
                  <c:v>Comps-High</c:v>
                </c:pt>
                <c:pt idx="5">
                  <c:v>Comps-Low</c:v>
                </c:pt>
              </c:strCache>
            </c:strRef>
          </c:xVal>
          <c:yVal>
            <c:numRef>
              <c:f>'DashBoard '!$U$15:$Z$15</c:f>
              <c:numCache>
                <c:formatCode>_-* #,##0_-;\-* #,##0_-;_-* "-"??_-;_-@_-</c:formatCode>
                <c:ptCount val="6"/>
                <c:pt idx="0">
                  <c:v>2548378063.04</c:v>
                </c:pt>
                <c:pt idx="1">
                  <c:v>3851452992</c:v>
                </c:pt>
                <c:pt idx="2">
                  <c:v>1489228490.24</c:v>
                </c:pt>
                <c:pt idx="3">
                  <c:v>2490606268.1599998</c:v>
                </c:pt>
                <c:pt idx="4">
                  <c:v>3450388580.8944554</c:v>
                </c:pt>
                <c:pt idx="5">
                  <c:v>2120824324.9663019</c:v>
                </c:pt>
              </c:numCache>
            </c:numRef>
          </c:yVal>
          <c:bubbleSize>
            <c:numLit>
              <c:formatCode>General</c:formatCode>
              <c:ptCount val="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CBF5-4A79-9CEB-5E6AF6D54521}"/>
            </c:ext>
          </c:extLst>
        </c:ser>
        <c:ser>
          <c:idx val="0"/>
          <c:order val="2"/>
          <c:spPr>
            <a:ln w="25400">
              <a:noFill/>
            </a:ln>
          </c:spPr>
          <c:invertIfNegative val="0"/>
          <c:xVal>
            <c:strRef>
              <c:f>'DashBoard '!$U$10:$Z$10</c:f>
              <c:strCache>
                <c:ptCount val="6"/>
                <c:pt idx="0">
                  <c:v>Market</c:v>
                </c:pt>
                <c:pt idx="1">
                  <c:v>DCF -Bull</c:v>
                </c:pt>
                <c:pt idx="2">
                  <c:v>DCF -Bear</c:v>
                </c:pt>
                <c:pt idx="3">
                  <c:v>DCF-Consensus</c:v>
                </c:pt>
                <c:pt idx="4">
                  <c:v>Comps-High</c:v>
                </c:pt>
                <c:pt idx="5">
                  <c:v>Comps-Low</c:v>
                </c:pt>
              </c:strCache>
            </c:strRef>
          </c:xVal>
          <c:yVal>
            <c:numRef>
              <c:f>'DashBoard '!$V$10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bubble3D val="0"/>
          <c:extLst>
            <c:ext xmlns:c16="http://schemas.microsoft.com/office/drawing/2014/chart" uri="{C3380CC4-5D6E-409C-BE32-E72D297353CC}">
              <c16:uniqueId val="{00000003-CBF5-4A79-9CEB-5E6AF6D54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47239296"/>
        <c:axId val="147240832"/>
      </c:bubbleChart>
      <c:valAx>
        <c:axId val="147239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240832"/>
        <c:crosses val="autoZero"/>
        <c:crossBetween val="midCat"/>
      </c:valAx>
      <c:valAx>
        <c:axId val="147240832"/>
        <c:scaling>
          <c:orientation val="minMax"/>
        </c:scaling>
        <c:delete val="0"/>
        <c:axPos val="l"/>
        <c:numFmt formatCode="&quot;$&quot;#,##0" sourceLinked="0"/>
        <c:majorTickMark val="out"/>
        <c:minorTickMark val="none"/>
        <c:tickLblPos val="nextTo"/>
        <c:crossAx val="147239296"/>
        <c:crosses val="autoZero"/>
        <c:crossBetween val="midCat"/>
      </c:valAx>
      <c:spPr>
        <a:noFill/>
      </c:spPr>
    </c:plotArea>
    <c:plotVisOnly val="1"/>
    <c:dispBlanksAs val="zero"/>
    <c:showDLblsOverMax val="0"/>
  </c:chart>
  <c:spPr>
    <a:noFill/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-0.25758050844980679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Assets 
50%</a:t>
                    </a: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4AFC-4871-93E1-2F5814A6C375}"/>
                </c:ext>
              </c:extLst>
            </c:dLbl>
            <c:dLbl>
              <c:idx val="1"/>
              <c:layout>
                <c:manualLayout>
                  <c:x val="0.13655940000818381"/>
                  <c:y val="-0.2164786477162053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Liabilities
31%</a:t>
                    </a: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4AFC-4871-93E1-2F5814A6C375}"/>
                </c:ext>
              </c:extLst>
            </c:dLbl>
            <c:dLbl>
              <c:idx val="2"/>
              <c:layout>
                <c:manualLayout>
                  <c:x val="0.13460626998462608"/>
                  <c:y val="0.1713580613744036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Equity
19%</a:t>
                    </a: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4AFC-4871-93E1-2F5814A6C375}"/>
                </c:ext>
              </c:extLst>
            </c:dLbl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'DashBoard '!$B$23:$B$25</c:f>
              <c:strCache>
                <c:ptCount val="3"/>
                <c:pt idx="0">
                  <c:v>Total Assets </c:v>
                </c:pt>
                <c:pt idx="1">
                  <c:v>Total Liabilities</c:v>
                </c:pt>
                <c:pt idx="2">
                  <c:v>Total Equity</c:v>
                </c:pt>
              </c:strCache>
            </c:strRef>
          </c:cat>
          <c:val>
            <c:numRef>
              <c:f>'DashBoard '!$D$23:$D$25</c:f>
              <c:numCache>
                <c:formatCode>_(* #,##0_);_(* \(#,##0\);_(* "-"??_);_(@_)</c:formatCode>
                <c:ptCount val="3"/>
                <c:pt idx="0">
                  <c:v>375909</c:v>
                </c:pt>
                <c:pt idx="1">
                  <c:v>233741</c:v>
                </c:pt>
                <c:pt idx="2">
                  <c:v>142168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FC-4871-93E1-2F5814A6C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09908566284637"/>
          <c:y val="2.2796777707150443E-2"/>
          <c:w val="0.64643137430204167"/>
          <c:h val="0.879589939203298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'DashBoard '!$B$14</c:f>
              <c:strCache>
                <c:ptCount val="1"/>
                <c:pt idx="0">
                  <c:v>EBITDA </c:v>
                </c:pt>
              </c:strCache>
            </c:strRef>
          </c:tx>
          <c:invertIfNegative val="0"/>
          <c:cat>
            <c:numRef>
              <c:f>'DashBoard '!$D$9:$I$9</c:f>
              <c:numCache>
                <c:formatCode>General</c:formatCod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numCache>
            </c:numRef>
          </c:cat>
          <c:val>
            <c:numRef>
              <c:f>'DashBoard '!$D$14:$I$14</c:f>
              <c:numCache>
                <c:formatCode>_(* #,##0.00_);_(* \(#,##0.00\);_(* "-"??_);_(@_)</c:formatCode>
                <c:ptCount val="6"/>
                <c:pt idx="0">
                  <c:v>139691</c:v>
                </c:pt>
                <c:pt idx="1">
                  <c:v>84657.320799999987</c:v>
                </c:pt>
                <c:pt idx="2">
                  <c:v>93393.052880000003</c:v>
                </c:pt>
                <c:pt idx="3">
                  <c:v>103122.35816800004</c:v>
                </c:pt>
                <c:pt idx="4">
                  <c:v>113834.5939848001</c:v>
                </c:pt>
                <c:pt idx="5">
                  <c:v>125569.0533832801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4-4635-BEBF-D51470CC0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817600"/>
        <c:axId val="147819136"/>
      </c:barChart>
      <c:lineChart>
        <c:grouping val="standard"/>
        <c:varyColors val="0"/>
        <c:ser>
          <c:idx val="2"/>
          <c:order val="1"/>
          <c:tx>
            <c:strRef>
              <c:f>'DashBoard '!$B$15</c:f>
              <c:strCache>
                <c:ptCount val="1"/>
                <c:pt idx="0">
                  <c:v>EBITDA Margin </c:v>
                </c:pt>
              </c:strCache>
            </c:strRef>
          </c:tx>
          <c:marker>
            <c:symbol val="none"/>
          </c:marker>
          <c:cat>
            <c:numRef>
              <c:f>'DashBoard '!$D$15:$I$15</c:f>
              <c:numCache>
                <c:formatCode>0.00%</c:formatCode>
                <c:ptCount val="6"/>
                <c:pt idx="0">
                  <c:v>0.41786620240744732</c:v>
                </c:pt>
                <c:pt idx="1">
                  <c:v>0.23021873048816829</c:v>
                </c:pt>
                <c:pt idx="2">
                  <c:v>0.23088622425377653</c:v>
                </c:pt>
                <c:pt idx="3">
                  <c:v>0.23176273121871668</c:v>
                </c:pt>
                <c:pt idx="4">
                  <c:v>0.23257998713008285</c:v>
                </c:pt>
                <c:pt idx="5">
                  <c:v>0.23323193445937709</c:v>
                </c:pt>
              </c:numCache>
            </c:numRef>
          </c:cat>
          <c:val>
            <c:numRef>
              <c:f>'DashBoard '!$D$15:$I$15</c:f>
              <c:numCache>
                <c:formatCode>0.00%</c:formatCode>
                <c:ptCount val="6"/>
                <c:pt idx="0">
                  <c:v>0.41786620240744732</c:v>
                </c:pt>
                <c:pt idx="1">
                  <c:v>0.23021873048816829</c:v>
                </c:pt>
                <c:pt idx="2">
                  <c:v>0.23088622425377653</c:v>
                </c:pt>
                <c:pt idx="3">
                  <c:v>0.23176273121871668</c:v>
                </c:pt>
                <c:pt idx="4">
                  <c:v>0.23257998713008285</c:v>
                </c:pt>
                <c:pt idx="5">
                  <c:v>0.23323193445937709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64-4635-BEBF-D51470CC0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943616"/>
        <c:axId val="150942080"/>
      </c:lineChart>
      <c:catAx>
        <c:axId val="14781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819136"/>
        <c:crossesAt val="0"/>
        <c:auto val="1"/>
        <c:lblAlgn val="ctr"/>
        <c:lblOffset val="100"/>
        <c:noMultiLvlLbl val="0"/>
      </c:catAx>
      <c:valAx>
        <c:axId val="147819136"/>
        <c:scaling>
          <c:orientation val="minMax"/>
          <c:max val="300000"/>
          <c:min val="0"/>
        </c:scaling>
        <c:delete val="0"/>
        <c:axPos val="l"/>
        <c:numFmt formatCode="&quot;$&quot;#,##0.00" sourceLinked="0"/>
        <c:majorTickMark val="out"/>
        <c:minorTickMark val="none"/>
        <c:tickLblPos val="nextTo"/>
        <c:crossAx val="147817600"/>
        <c:crosses val="autoZero"/>
        <c:crossBetween val="between"/>
        <c:majorUnit val="20000"/>
        <c:minorUnit val="4000"/>
      </c:valAx>
      <c:valAx>
        <c:axId val="15094208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50943616"/>
        <c:crosses val="max"/>
        <c:crossBetween val="between"/>
      </c:valAx>
      <c:catAx>
        <c:axId val="150943616"/>
        <c:scaling>
          <c:orientation val="minMax"/>
        </c:scaling>
        <c:delete val="1"/>
        <c:axPos val="b"/>
        <c:numFmt formatCode="0.00%" sourceLinked="1"/>
        <c:majorTickMark val="out"/>
        <c:minorTickMark val="none"/>
        <c:tickLblPos val="nextTo"/>
        <c:crossAx val="150942080"/>
        <c:crosses val="autoZero"/>
        <c:auto val="1"/>
        <c:lblAlgn val="ctr"/>
        <c:lblOffset val="100"/>
        <c:noMultiLvlLbl val="0"/>
      </c:catAx>
      <c:spPr>
        <a:noFill/>
      </c:spPr>
    </c:plotArea>
    <c:legend>
      <c:legendPos val="r"/>
      <c:layout>
        <c:manualLayout>
          <c:xMode val="edge"/>
          <c:yMode val="edge"/>
          <c:x val="0.88630410537855542"/>
          <c:y val="0.24704505812066188"/>
          <c:w val="0.11369589462144457"/>
          <c:h val="0.35606923406533003"/>
        </c:manualLayout>
      </c:layout>
      <c:overlay val="0"/>
    </c:legend>
    <c:plotVisOnly val="1"/>
    <c:dispBlanksAs val="zero"/>
    <c:showDLblsOverMax val="0"/>
  </c:chart>
  <c:spPr>
    <a:noFill/>
    <a:ln>
      <a:gradFill>
        <a:gsLst>
          <a:gs pos="0">
            <a:schemeClr val="accent1">
              <a:tint val="66000"/>
              <a:satMod val="160000"/>
            </a:schemeClr>
          </a:gs>
          <a:gs pos="100000">
            <a:schemeClr val="accent1">
              <a:tint val="44500"/>
              <a:satMod val="160000"/>
            </a:schemeClr>
          </a:gs>
          <a:gs pos="100000">
            <a:schemeClr val="accent1">
              <a:tint val="23500"/>
              <a:satMod val="160000"/>
            </a:schemeClr>
          </a:gs>
        </a:gsLst>
        <a:lin ang="5400000" scaled="0"/>
      </a:gra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'DashBoard '!$B$17</c:f>
              <c:strCache>
                <c:ptCount val="1"/>
                <c:pt idx="0">
                  <c:v>Net profit</c:v>
                </c:pt>
              </c:strCache>
            </c:strRef>
          </c:tx>
          <c:invertIfNegative val="0"/>
          <c:cat>
            <c:numRef>
              <c:f>'DashBoard '!$D$9:$I$9</c:f>
              <c:numCache>
                <c:formatCode>General</c:formatCod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numCache>
            </c:numRef>
          </c:cat>
          <c:val>
            <c:numRef>
              <c:f>'DashBoard '!$D$17:$I$17</c:f>
              <c:numCache>
                <c:formatCode>#,##0</c:formatCode>
                <c:ptCount val="6"/>
                <c:pt idx="0">
                  <c:v>98223</c:v>
                </c:pt>
                <c:pt idx="1">
                  <c:v>51998.593687537599</c:v>
                </c:pt>
                <c:pt idx="2">
                  <c:v>59782.797464299714</c:v>
                </c:pt>
                <c:pt idx="3">
                  <c:v>67985.966361173138</c:v>
                </c:pt>
                <c:pt idx="4">
                  <c:v>76683.124649190431</c:v>
                </c:pt>
                <c:pt idx="5">
                  <c:v>85962.634394724155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61-4FCF-8845-25E5513F0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957440"/>
        <c:axId val="151549056"/>
      </c:barChart>
      <c:lineChart>
        <c:grouping val="standard"/>
        <c:varyColors val="0"/>
        <c:ser>
          <c:idx val="2"/>
          <c:order val="1"/>
          <c:tx>
            <c:strRef>
              <c:f>'DashBoard '!$B$18</c:f>
              <c:strCache>
                <c:ptCount val="1"/>
                <c:pt idx="0">
                  <c:v>Net profit Margin</c:v>
                </c:pt>
              </c:strCache>
            </c:strRef>
          </c:tx>
          <c:marker>
            <c:symbol val="none"/>
          </c:marker>
          <c:cat>
            <c:numRef>
              <c:f>'DashBoard '!$D$9:$I$9</c:f>
              <c:numCache>
                <c:formatCode>General</c:formatCod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numCache>
            </c:numRef>
          </c:cat>
          <c:val>
            <c:numRef>
              <c:f>'DashBoard '!$D$18:$I$18</c:f>
              <c:numCache>
                <c:formatCode>0.00%</c:formatCode>
                <c:ptCount val="6"/>
                <c:pt idx="0">
                  <c:v>0.29382044655036255</c:v>
                </c:pt>
                <c:pt idx="1">
                  <c:v>0.14140596599077571</c:v>
                </c:pt>
                <c:pt idx="2">
                  <c:v>0.14779497999273891</c:v>
                </c:pt>
                <c:pt idx="3">
                  <c:v>0.15279531547115771</c:v>
                </c:pt>
                <c:pt idx="4">
                  <c:v>0.15667434230392813</c:v>
                </c:pt>
                <c:pt idx="5">
                  <c:v>0.15966697980838102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61-4FCF-8845-25E5513F0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552384"/>
        <c:axId val="151550592"/>
      </c:lineChart>
      <c:catAx>
        <c:axId val="15095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1549056"/>
        <c:crosses val="autoZero"/>
        <c:auto val="1"/>
        <c:lblAlgn val="ctr"/>
        <c:lblOffset val="100"/>
        <c:noMultiLvlLbl val="0"/>
      </c:catAx>
      <c:valAx>
        <c:axId val="151549056"/>
        <c:scaling>
          <c:orientation val="minMax"/>
          <c:max val="120000"/>
          <c:min val="0"/>
        </c:scaling>
        <c:delete val="0"/>
        <c:axPos val="l"/>
        <c:numFmt formatCode="&quot;$&quot;#,##0.00" sourceLinked="0"/>
        <c:majorTickMark val="out"/>
        <c:minorTickMark val="none"/>
        <c:tickLblPos val="nextTo"/>
        <c:crossAx val="150957440"/>
        <c:crosses val="autoZero"/>
        <c:crossBetween val="between"/>
        <c:majorUnit val="20000"/>
        <c:minorUnit val="4000"/>
      </c:valAx>
      <c:valAx>
        <c:axId val="151550592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crossAx val="151552384"/>
        <c:crosses val="max"/>
        <c:crossBetween val="between"/>
      </c:valAx>
      <c:catAx>
        <c:axId val="151552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1550592"/>
        <c:crosses val="autoZero"/>
        <c:auto val="1"/>
        <c:lblAlgn val="ctr"/>
        <c:lblOffset val="100"/>
        <c:noMultiLvlLbl val="0"/>
      </c:catAx>
      <c:spPr>
        <a:noFill/>
      </c:spPr>
    </c:plotArea>
    <c:legend>
      <c:legendPos val="r"/>
      <c:overlay val="0"/>
    </c:legend>
    <c:plotVisOnly val="1"/>
    <c:dispBlanksAs val="zero"/>
    <c:showDLblsOverMax val="0"/>
  </c:chart>
  <c:spPr>
    <a:noFill/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16" fmlaLink="'Scenario Analysis'!$F$7" fmlaRange="'Scenario Analysis'!$A$7:$A$9" noThreeD="1" sel="3" val="0"/>
</file>

<file path=xl/ctrlProps/ctrlProp2.xml><?xml version="1.0" encoding="utf-8"?>
<formControlPr xmlns="http://schemas.microsoft.com/office/spreadsheetml/2009/9/main" objectType="Drop" dropStyle="combo" dx="17" fmlaLink="'Scenario Analysis'!$F$7" fmlaRange="'Scenario Analysis'!$A$7:$A$9" noThreeD="1" sel="3" val="0"/>
</file>

<file path=xl/ctrlProps/ctrlProp3.xml><?xml version="1.0" encoding="utf-8"?>
<formControlPr xmlns="http://schemas.microsoft.com/office/spreadsheetml/2009/9/main" objectType="Drop" dropStyle="combo" dx="31" fmlaLink="$F$7" fmlaRange="$A$7:$A$9" noThreeD="1" sel="3" val="0"/>
</file>

<file path=xl/ctrlProps/ctrlProp4.xml><?xml version="1.0" encoding="utf-8"?>
<formControlPr xmlns="http://schemas.microsoft.com/office/spreadsheetml/2009/9/main" objectType="Drop" dropLines="2" dropStyle="combo" dx="16" fmlaLink="$B$18" fmlaRange="$A$19:$A$20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7</xdr:col>
          <xdr:colOff>76200</xdr:colOff>
          <xdr:row>2</xdr:row>
          <xdr:rowOff>47625</xdr:rowOff>
        </xdr:to>
        <xdr:sp macro="" textlink="">
          <xdr:nvSpPr>
            <xdr:cNvPr id="70657" name="Drop Down 1" hidden="1">
              <a:extLst>
                <a:ext uri="{63B3BB69-23CF-44E3-9099-C40C66FF867C}">
                  <a14:compatExt spid="_x0000_s70657"/>
                </a:ext>
                <a:ext uri="{FF2B5EF4-FFF2-40B4-BE49-F238E27FC236}">
                  <a16:creationId xmlns:a16="http://schemas.microsoft.com/office/drawing/2014/main" id="{00000000-0008-0000-0000-0000011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123825</xdr:colOff>
      <xdr:row>1</xdr:row>
      <xdr:rowOff>57150</xdr:rowOff>
    </xdr:from>
    <xdr:to>
      <xdr:col>4</xdr:col>
      <xdr:colOff>187568</xdr:colOff>
      <xdr:row>7</xdr:row>
      <xdr:rowOff>27517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6625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228600"/>
          <a:ext cx="2305049" cy="941917"/>
        </a:xfrm>
        <a:prstGeom prst="rect">
          <a:avLst/>
        </a:prstGeom>
        <a:effectLst>
          <a:glow rad="127000">
            <a:schemeClr val="accent1">
              <a:alpha val="0"/>
            </a:schemeClr>
          </a:glow>
        </a:effectLst>
      </xdr:spPr>
    </xdr:pic>
    <xdr:clientData/>
  </xdr:twoCellAnchor>
  <xdr:twoCellAnchor>
    <xdr:from>
      <xdr:col>19</xdr:col>
      <xdr:colOff>1038225</xdr:colOff>
      <xdr:row>1</xdr:row>
      <xdr:rowOff>123825</xdr:rowOff>
    </xdr:from>
    <xdr:to>
      <xdr:col>25</xdr:col>
      <xdr:colOff>609600</xdr:colOff>
      <xdr:row>6</xdr:row>
      <xdr:rowOff>85725</xdr:rowOff>
    </xdr:to>
    <xdr:sp macro="" textlink="">
      <xdr:nvSpPr>
        <xdr:cNvPr id="4" name="Rounded Rectangle 3" title="=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887325" y="295275"/>
          <a:ext cx="4000500" cy="771525"/>
        </a:xfrm>
        <a:prstGeom prst="round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600" b="1">
              <a:latin typeface="Arial Narrow" panose="020B0606020202030204" pitchFamily="34" charset="0"/>
            </a:rPr>
            <a:t>Last 5</a:t>
          </a:r>
          <a:r>
            <a:rPr lang="en-AU" sz="1600" b="1" baseline="0">
              <a:latin typeface="Arial Narrow" panose="020B0606020202030204" pitchFamily="34" charset="0"/>
            </a:rPr>
            <a:t> Years Earnings Growth (YoY)</a:t>
          </a:r>
          <a:endParaRPr lang="en-AU" sz="1600" b="1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21</xdr:col>
      <xdr:colOff>104775</xdr:colOff>
      <xdr:row>4</xdr:row>
      <xdr:rowOff>9525</xdr:rowOff>
    </xdr:from>
    <xdr:to>
      <xdr:col>25</xdr:col>
      <xdr:colOff>257175</xdr:colOff>
      <xdr:row>6</xdr:row>
      <xdr:rowOff>0</xdr:rowOff>
    </xdr:to>
    <xdr:sp macro="" textlink="$I$20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3611225" y="666750"/>
          <a:ext cx="29241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9BDB1E0F-0525-44C7-B157-E5BDA5EC853C}" type="TxLink">
            <a:rPr lang="en-US" sz="1400" b="1" i="0" u="none" strike="noStrike">
              <a:solidFill>
                <a:srgbClr val="000000"/>
              </a:solidFill>
              <a:latin typeface="Times New Roman"/>
              <a:cs typeface="Times New Roman"/>
            </a:rPr>
            <a:pPr algn="ctr"/>
            <a:t>1.30%</a:t>
          </a:fld>
          <a:endParaRPr lang="en-AU" sz="1400" b="1"/>
        </a:p>
      </xdr:txBody>
    </xdr:sp>
    <xdr:clientData/>
  </xdr:twoCellAnchor>
  <xdr:twoCellAnchor>
    <xdr:from>
      <xdr:col>9</xdr:col>
      <xdr:colOff>385082</xdr:colOff>
      <xdr:row>10</xdr:row>
      <xdr:rowOff>66674</xdr:rowOff>
    </xdr:from>
    <xdr:to>
      <xdr:col>18</xdr:col>
      <xdr:colOff>462643</xdr:colOff>
      <xdr:row>30</xdr:row>
      <xdr:rowOff>76200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238125</xdr:colOff>
      <xdr:row>1</xdr:row>
      <xdr:rowOff>114300</xdr:rowOff>
    </xdr:from>
    <xdr:to>
      <xdr:col>19</xdr:col>
      <xdr:colOff>1038225</xdr:colOff>
      <xdr:row>6</xdr:row>
      <xdr:rowOff>76200</xdr:rowOff>
    </xdr:to>
    <xdr:sp macro="" textlink="">
      <xdr:nvSpPr>
        <xdr:cNvPr id="24" name="Rounded Rectangle 23" title="=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8886825" y="285750"/>
          <a:ext cx="4000500" cy="771525"/>
        </a:xfrm>
        <a:prstGeom prst="round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600" b="1">
              <a:latin typeface="Arial Narrow" panose="020B0606020202030204" pitchFamily="34" charset="0"/>
            </a:rPr>
            <a:t>Indicative Share Price</a:t>
          </a:r>
        </a:p>
        <a:p>
          <a:pPr algn="ctr"/>
          <a:endParaRPr lang="en-AU" sz="1600" b="1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15</xdr:col>
      <xdr:colOff>0</xdr:colOff>
      <xdr:row>3</xdr:row>
      <xdr:rowOff>95250</xdr:rowOff>
    </xdr:from>
    <xdr:to>
      <xdr:col>19</xdr:col>
      <xdr:colOff>82502</xdr:colOff>
      <xdr:row>6</xdr:row>
      <xdr:rowOff>35354</xdr:rowOff>
    </xdr:to>
    <xdr:sp macro="" textlink="'3 way Model - TNE '!C367">
      <xdr:nvSpPr>
        <xdr:cNvPr id="25" name="Rectangle: Rounded Corners 1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9715500" y="590550"/>
          <a:ext cx="2216102" cy="42587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2CDEB016-EDE7-4512-A4F2-EDC6A4508C8D}" type="TxLink">
            <a:rPr lang="en-US" sz="1200" b="1" i="0" u="none" strike="noStrike">
              <a:solidFill>
                <a:srgbClr val="000000"/>
              </a:solidFill>
              <a:latin typeface="Arial Narrow"/>
            </a:rPr>
            <a:pPr algn="ctr"/>
            <a:t>$7.27</a:t>
          </a:fld>
          <a:endParaRPr lang="en-US" sz="1200" b="1" i="0" u="none" strike="noStrike">
            <a:solidFill>
              <a:srgbClr val="000000"/>
            </a:solidFill>
            <a:latin typeface="Arial Narrow"/>
          </a:endParaRPr>
        </a:p>
      </xdr:txBody>
    </xdr:sp>
    <xdr:clientData/>
  </xdr:twoCellAnchor>
  <xdr:twoCellAnchor>
    <xdr:from>
      <xdr:col>7</xdr:col>
      <xdr:colOff>95250</xdr:colOff>
      <xdr:row>1</xdr:row>
      <xdr:rowOff>95250</xdr:rowOff>
    </xdr:from>
    <xdr:to>
      <xdr:col>13</xdr:col>
      <xdr:colOff>190500</xdr:colOff>
      <xdr:row>6</xdr:row>
      <xdr:rowOff>57150</xdr:rowOff>
    </xdr:to>
    <xdr:sp macro="" textlink="">
      <xdr:nvSpPr>
        <xdr:cNvPr id="26" name="Rounded Rectangle 25" title="=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099538" y="263769"/>
          <a:ext cx="3817327" cy="767862"/>
        </a:xfrm>
        <a:prstGeom prst="round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600" b="1">
              <a:latin typeface="Arial Narrow" panose="020B0606020202030204" pitchFamily="34" charset="0"/>
            </a:rPr>
            <a:t>Enterprise Value </a:t>
          </a:r>
        </a:p>
        <a:p>
          <a:pPr algn="ctr"/>
          <a:endParaRPr lang="en-AU" sz="1600" b="1">
            <a:latin typeface="Arial Narrow" panose="020B0606020202030204" pitchFamily="34" charset="0"/>
          </a:endParaRPr>
        </a:p>
        <a:p>
          <a:pPr algn="ctr"/>
          <a:endParaRPr lang="en-AU" sz="1600" b="1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7</xdr:col>
      <xdr:colOff>590549</xdr:colOff>
      <xdr:row>3</xdr:row>
      <xdr:rowOff>95250</xdr:rowOff>
    </xdr:from>
    <xdr:to>
      <xdr:col>11</xdr:col>
      <xdr:colOff>390524</xdr:colOff>
      <xdr:row>6</xdr:row>
      <xdr:rowOff>47625</xdr:rowOff>
    </xdr:to>
    <xdr:sp macro="" textlink="'3 way Model - TNE '!C362">
      <xdr:nvSpPr>
        <xdr:cNvPr id="27" name="Rectangle: Rounded Corners 1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486399" y="590550"/>
          <a:ext cx="2486025" cy="4381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BBF06B6-C347-4917-B9F7-3BB85F57C560}" type="TxLink">
            <a:rPr lang="en-US" sz="1400" b="1" i="0" u="none" strike="noStrike">
              <a:solidFill>
                <a:srgbClr val="000000"/>
              </a:solidFill>
              <a:latin typeface="Arial Narrow"/>
            </a:rPr>
            <a:pPr algn="ctr"/>
            <a:t> 2,209,289 </a:t>
          </a:fld>
          <a:endParaRPr lang="en-AU" sz="1400" b="1"/>
        </a:p>
      </xdr:txBody>
    </xdr:sp>
    <xdr:clientData/>
  </xdr:twoCellAnchor>
  <xdr:twoCellAnchor>
    <xdr:from>
      <xdr:col>18</xdr:col>
      <xdr:colOff>523875</xdr:colOff>
      <xdr:row>15</xdr:row>
      <xdr:rowOff>114300</xdr:rowOff>
    </xdr:from>
    <xdr:to>
      <xdr:col>25</xdr:col>
      <xdr:colOff>904875</xdr:colOff>
      <xdr:row>30</xdr:row>
      <xdr:rowOff>142875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952500</xdr:colOff>
      <xdr:row>19</xdr:row>
      <xdr:rowOff>133350</xdr:rowOff>
    </xdr:from>
    <xdr:to>
      <xdr:col>24</xdr:col>
      <xdr:colOff>828675</xdr:colOff>
      <xdr:row>21</xdr:row>
      <xdr:rowOff>114300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7259300" y="3276600"/>
          <a:ext cx="952500" cy="304800"/>
        </a:xfrm>
        <a:prstGeom prst="rect">
          <a:avLst/>
        </a:prstGeom>
        <a:solidFill>
          <a:srgbClr val="FFFFFF">
            <a:alpha val="0"/>
          </a:srgb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Comps-High</a:t>
          </a:r>
          <a:r>
            <a:rPr lang="en-AU" sz="800"/>
            <a:t> </a:t>
          </a:r>
        </a:p>
      </xdr:txBody>
    </xdr:sp>
    <xdr:clientData/>
  </xdr:twoCellAnchor>
  <xdr:twoCellAnchor>
    <xdr:from>
      <xdr:col>20</xdr:col>
      <xdr:colOff>590550</xdr:colOff>
      <xdr:row>24</xdr:row>
      <xdr:rowOff>76199</xdr:rowOff>
    </xdr:from>
    <xdr:to>
      <xdr:col>21</xdr:col>
      <xdr:colOff>161925</xdr:colOff>
      <xdr:row>26</xdr:row>
      <xdr:rowOff>9524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3668375" y="4029074"/>
          <a:ext cx="647700" cy="257175"/>
        </a:xfrm>
        <a:prstGeom prst="rect">
          <a:avLst/>
        </a:prstGeom>
        <a:solidFill>
          <a:schemeClr val="bg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</a:t>
          </a:r>
          <a:r>
            <a:rPr lang="en-AU"/>
            <a:t> </a:t>
          </a:r>
          <a:endParaRPr lang="en-AU" sz="1100"/>
        </a:p>
      </xdr:txBody>
    </xdr:sp>
    <xdr:clientData/>
  </xdr:twoCellAnchor>
  <xdr:twoCellAnchor>
    <xdr:from>
      <xdr:col>21</xdr:col>
      <xdr:colOff>1009650</xdr:colOff>
      <xdr:row>23</xdr:row>
      <xdr:rowOff>76200</xdr:rowOff>
    </xdr:from>
    <xdr:to>
      <xdr:col>22</xdr:col>
      <xdr:colOff>790575</xdr:colOff>
      <xdr:row>25</xdr:row>
      <xdr:rowOff>95250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5163800" y="3867150"/>
          <a:ext cx="857250" cy="342900"/>
        </a:xfrm>
        <a:prstGeom prst="rect">
          <a:avLst/>
        </a:prstGeom>
        <a:solidFill>
          <a:schemeClr val="bg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800"/>
            <a:t>DCF -Bear </a:t>
          </a:r>
        </a:p>
      </xdr:txBody>
    </xdr:sp>
    <xdr:clientData/>
  </xdr:twoCellAnchor>
  <xdr:twoCellAnchor>
    <xdr:from>
      <xdr:col>22</xdr:col>
      <xdr:colOff>761999</xdr:colOff>
      <xdr:row>23</xdr:row>
      <xdr:rowOff>57150</xdr:rowOff>
    </xdr:from>
    <xdr:to>
      <xdr:col>23</xdr:col>
      <xdr:colOff>723899</xdr:colOff>
      <xdr:row>25</xdr:row>
      <xdr:rowOff>38100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5992474" y="3848100"/>
          <a:ext cx="1038225" cy="304800"/>
        </a:xfrm>
        <a:prstGeom prst="rect">
          <a:avLst/>
        </a:prstGeom>
        <a:solidFill>
          <a:schemeClr val="bg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800"/>
            <a:t>DCF-Consensus</a:t>
          </a:r>
        </a:p>
      </xdr:txBody>
    </xdr:sp>
    <xdr:clientData/>
  </xdr:twoCellAnchor>
  <xdr:twoCellAnchor>
    <xdr:from>
      <xdr:col>24</xdr:col>
      <xdr:colOff>57150</xdr:colOff>
      <xdr:row>24</xdr:row>
      <xdr:rowOff>47625</xdr:rowOff>
    </xdr:from>
    <xdr:to>
      <xdr:col>24</xdr:col>
      <xdr:colOff>981075</xdr:colOff>
      <xdr:row>26</xdr:row>
      <xdr:rowOff>28575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7440275" y="4000500"/>
          <a:ext cx="923925" cy="304800"/>
        </a:xfrm>
        <a:prstGeom prst="rect">
          <a:avLst/>
        </a:prstGeom>
        <a:solidFill>
          <a:schemeClr val="bg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Comps-Low</a:t>
          </a:r>
          <a:r>
            <a:rPr lang="en-AU"/>
            <a:t> </a:t>
          </a:r>
          <a:endParaRPr lang="en-AU" sz="1100"/>
        </a:p>
      </xdr:txBody>
    </xdr:sp>
    <xdr:clientData/>
  </xdr:twoCellAnchor>
  <xdr:twoCellAnchor>
    <xdr:from>
      <xdr:col>10</xdr:col>
      <xdr:colOff>66675</xdr:colOff>
      <xdr:row>34</xdr:row>
      <xdr:rowOff>47625</xdr:rowOff>
    </xdr:from>
    <xdr:to>
      <xdr:col>18</xdr:col>
      <xdr:colOff>76200</xdr:colOff>
      <xdr:row>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123826</xdr:colOff>
      <xdr:row>33</xdr:row>
      <xdr:rowOff>36634</xdr:rowOff>
    </xdr:from>
    <xdr:to>
      <xdr:col>9</xdr:col>
      <xdr:colOff>424961</xdr:colOff>
      <xdr:row>54</xdr:row>
      <xdr:rowOff>73269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439615</xdr:colOff>
      <xdr:row>33</xdr:row>
      <xdr:rowOff>87923</xdr:rowOff>
    </xdr:from>
    <xdr:to>
      <xdr:col>25</xdr:col>
      <xdr:colOff>937846</xdr:colOff>
      <xdr:row>53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0.32956</cdr:x>
      <cdr:y>0.47547</cdr:y>
    </cdr:from>
    <cdr:to>
      <cdr:x>0.41876</cdr:x>
      <cdr:y>0.65031</cdr:y>
    </cdr:to>
    <cdr:sp macro="" textlink="">
      <cdr:nvSpPr>
        <cdr:cNvPr id="3" name="TextBox 33"/>
        <cdr:cNvSpPr txBox="1"/>
      </cdr:nvSpPr>
      <cdr:spPr>
        <a:xfrm xmlns:a="http://schemas.openxmlformats.org/drawingml/2006/main">
          <a:off x="2498725" y="1200150"/>
          <a:ext cx="676275" cy="4413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0"/>
          </a:schemeClr>
        </a:solidFill>
        <a:ln xmlns:a="http://schemas.openxmlformats.org/drawingml/2006/main" w="9525" cmpd="sng">
          <a:solidFill>
            <a:schemeClr val="lt1">
              <a:shade val="50000"/>
              <a:alpha val="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800"/>
            <a:t>DCF -Bull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2962275</xdr:colOff>
          <xdr:row>0</xdr:row>
          <xdr:rowOff>19050</xdr:rowOff>
        </xdr:from>
        <xdr:to>
          <xdr:col>0</xdr:col>
          <xdr:colOff>4257675</xdr:colOff>
          <xdr:row>0</xdr:row>
          <xdr:rowOff>200025</xdr:rowOff>
        </xdr:to>
        <xdr:sp macro="" textlink="">
          <xdr:nvSpPr>
            <xdr:cNvPr id="5121" name="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1800225</xdr:colOff>
          <xdr:row>0</xdr:row>
          <xdr:rowOff>0</xdr:rowOff>
        </xdr:from>
        <xdr:to>
          <xdr:col>0</xdr:col>
          <xdr:colOff>2895600</xdr:colOff>
          <xdr:row>0</xdr:row>
          <xdr:rowOff>180975</xdr:rowOff>
        </xdr:to>
        <xdr:sp macro="" textlink="">
          <xdr:nvSpPr>
            <xdr:cNvPr id="7171" name="Drop Down 90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2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19050</xdr:rowOff>
        </xdr:from>
        <xdr:to>
          <xdr:col>1</xdr:col>
          <xdr:colOff>0</xdr:colOff>
          <xdr:row>18</xdr:row>
          <xdr:rowOff>0</xdr:rowOff>
        </xdr:to>
        <xdr:sp macro="" textlink="">
          <xdr:nvSpPr>
            <xdr:cNvPr id="13313" name="Drop Down 2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4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9525</xdr:colOff>
      <xdr:row>14</xdr:row>
      <xdr:rowOff>76200</xdr:rowOff>
    </xdr:from>
    <xdr:to>
      <xdr:col>29</xdr:col>
      <xdr:colOff>27374</xdr:colOff>
      <xdr:row>46</xdr:row>
      <xdr:rowOff>151708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3925" y="2343150"/>
          <a:ext cx="9609524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57"/>
  <sheetViews>
    <sheetView showGridLines="0" zoomScale="60" zoomScaleNormal="60" workbookViewId="0">
      <selection activeCell="AA31" sqref="AA31"/>
    </sheetView>
  </sheetViews>
  <sheetFormatPr defaultRowHeight="12.75" x14ac:dyDescent="0.2"/>
  <cols>
    <col min="2" max="2" width="17" customWidth="1"/>
    <col min="4" max="7" width="13" bestFit="1" customWidth="1"/>
    <col min="8" max="8" width="13.83203125" bestFit="1" customWidth="1"/>
    <col min="9" max="9" width="14.6640625" bestFit="1" customWidth="1"/>
    <col min="20" max="20" width="21.5" customWidth="1"/>
    <col min="21" max="24" width="18.83203125" bestFit="1" customWidth="1"/>
    <col min="25" max="25" width="19.83203125" bestFit="1" customWidth="1"/>
    <col min="26" max="26" width="17.1640625" customWidth="1"/>
    <col min="27" max="27" width="194.33203125" bestFit="1" customWidth="1"/>
  </cols>
  <sheetData>
    <row r="1" spans="2:26" ht="13.5" thickBot="1" x14ac:dyDescent="0.25"/>
    <row r="2" spans="2:26" x14ac:dyDescent="0.2">
      <c r="B2" s="1082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2"/>
    </row>
    <row r="3" spans="2:26" x14ac:dyDescent="0.2">
      <c r="B3" s="160"/>
      <c r="Z3" s="161"/>
    </row>
    <row r="4" spans="2:26" x14ac:dyDescent="0.2">
      <c r="B4" s="160"/>
      <c r="Z4" s="161"/>
    </row>
    <row r="5" spans="2:26" x14ac:dyDescent="0.2">
      <c r="B5" s="160"/>
      <c r="Z5" s="161"/>
    </row>
    <row r="6" spans="2:26" x14ac:dyDescent="0.2">
      <c r="B6" s="160"/>
      <c r="Z6" s="161"/>
    </row>
    <row r="7" spans="2:26" x14ac:dyDescent="0.2">
      <c r="B7" s="160"/>
      <c r="Z7" s="161"/>
    </row>
    <row r="8" spans="2:26" x14ac:dyDescent="0.2">
      <c r="B8" s="160"/>
      <c r="Z8" s="161"/>
    </row>
    <row r="9" spans="2:26" ht="16.5" thickBot="1" x14ac:dyDescent="0.3">
      <c r="B9" s="1147" t="s">
        <v>788</v>
      </c>
      <c r="C9" s="1148"/>
      <c r="D9" s="1148">
        <v>2020</v>
      </c>
      <c r="E9" s="1148">
        <v>2021</v>
      </c>
      <c r="F9" s="1148">
        <v>2022</v>
      </c>
      <c r="G9" s="1148">
        <v>2023</v>
      </c>
      <c r="H9" s="1148">
        <v>2024</v>
      </c>
      <c r="I9" s="1148">
        <v>2025</v>
      </c>
      <c r="L9" s="1151" t="s">
        <v>789</v>
      </c>
      <c r="M9" s="1150"/>
      <c r="N9" s="1150"/>
      <c r="O9" s="1150"/>
      <c r="P9" s="1150"/>
      <c r="Q9" s="1150"/>
      <c r="T9" s="1173" t="s">
        <v>790</v>
      </c>
      <c r="U9" s="1153"/>
      <c r="V9" s="1151"/>
      <c r="W9" s="1170"/>
      <c r="X9" s="1151"/>
      <c r="Y9" s="1151"/>
      <c r="Z9" s="1152"/>
    </row>
    <row r="10" spans="2:26" x14ac:dyDescent="0.2">
      <c r="B10" s="1154" t="s">
        <v>944</v>
      </c>
      <c r="T10" s="1082"/>
      <c r="U10" s="1174" t="s">
        <v>791</v>
      </c>
      <c r="V10" s="1171" t="s">
        <v>964</v>
      </c>
      <c r="W10" s="1171" t="s">
        <v>965</v>
      </c>
      <c r="X10" s="171" t="s">
        <v>792</v>
      </c>
      <c r="Y10" s="171" t="s">
        <v>793</v>
      </c>
      <c r="Z10" s="172" t="s">
        <v>794</v>
      </c>
    </row>
    <row r="11" spans="2:26" x14ac:dyDescent="0.2">
      <c r="B11" s="1149" t="s">
        <v>542</v>
      </c>
      <c r="D11" s="1160">
        <f>'3 way Model - TNE '!G78</f>
        <v>334296</v>
      </c>
      <c r="E11" s="1160">
        <f>'3 way Model - TNE '!H78</f>
        <v>367725.60000000003</v>
      </c>
      <c r="F11" s="1160">
        <f>'3 way Model - TNE '!I78</f>
        <v>404498.16000000009</v>
      </c>
      <c r="G11" s="1160">
        <f>'3 way Model - TNE '!J78</f>
        <v>444947.97600000014</v>
      </c>
      <c r="H11" s="1160">
        <f>'3 way Model - TNE '!K78</f>
        <v>489442.77360000019</v>
      </c>
      <c r="I11" s="1160">
        <f>'3 way Model - TNE '!L78</f>
        <v>538387.05096000026</v>
      </c>
      <c r="T11" s="160" t="s">
        <v>751</v>
      </c>
      <c r="U11" s="1166">
        <f>'3 way Model - TNE '!G119</f>
        <v>7.94</v>
      </c>
      <c r="V11" s="1166">
        <v>12</v>
      </c>
      <c r="W11" s="1166">
        <v>4.6399999999999997</v>
      </c>
      <c r="X11" s="1166">
        <v>7.76</v>
      </c>
      <c r="Y11" s="1167">
        <f>'Comps Output'!B30</f>
        <v>10.750400707664529</v>
      </c>
      <c r="Z11" s="1168">
        <f>'Comps Output'!B29</f>
        <v>6.607867719652444</v>
      </c>
    </row>
    <row r="12" spans="2:26" x14ac:dyDescent="0.2">
      <c r="B12" s="1149" t="s">
        <v>945</v>
      </c>
      <c r="D12" s="1155"/>
      <c r="E12" s="1156">
        <f>E11/D11-1</f>
        <v>0.10000000000000009</v>
      </c>
      <c r="F12" s="1156">
        <f t="shared" ref="F12:I12" si="0">F11/E11-1</f>
        <v>0.10000000000000009</v>
      </c>
      <c r="G12" s="1156">
        <f t="shared" si="0"/>
        <v>0.10000000000000009</v>
      </c>
      <c r="H12" s="1156">
        <f t="shared" si="0"/>
        <v>0.10000000000000009</v>
      </c>
      <c r="I12" s="1156">
        <f t="shared" si="0"/>
        <v>0.10000000000000009</v>
      </c>
      <c r="T12" s="160" t="s">
        <v>795</v>
      </c>
      <c r="U12" s="492">
        <f>'3 way Model - TNE '!$C$349</f>
        <v>320954416</v>
      </c>
      <c r="V12" s="492">
        <f>'3 way Model - TNE '!$C$349</f>
        <v>320954416</v>
      </c>
      <c r="W12" s="492">
        <f>'3 way Model - TNE '!$C$349</f>
        <v>320954416</v>
      </c>
      <c r="X12" s="492">
        <f>'3 way Model - TNE '!$C$349</f>
        <v>320954416</v>
      </c>
      <c r="Y12" s="492">
        <f>'3 way Model - TNE '!$C$349</f>
        <v>320954416</v>
      </c>
      <c r="Z12" s="1181">
        <f>'3 way Model - TNE '!$C$349</f>
        <v>320954416</v>
      </c>
    </row>
    <row r="13" spans="2:26" x14ac:dyDescent="0.2">
      <c r="B13" s="160"/>
      <c r="D13" s="393"/>
      <c r="E13" s="393"/>
      <c r="F13" s="393"/>
      <c r="G13" s="393"/>
      <c r="H13" s="393"/>
      <c r="I13" s="393"/>
      <c r="T13" s="160" t="s">
        <v>748</v>
      </c>
      <c r="U13" s="1169">
        <v>0</v>
      </c>
      <c r="V13" s="1169">
        <v>0</v>
      </c>
      <c r="W13" s="1169">
        <v>0</v>
      </c>
      <c r="X13" s="1169">
        <v>0</v>
      </c>
      <c r="Y13" s="1169">
        <v>0</v>
      </c>
      <c r="Z13" s="1180">
        <v>0</v>
      </c>
    </row>
    <row r="14" spans="2:26" x14ac:dyDescent="0.2">
      <c r="B14" s="1149" t="s">
        <v>946</v>
      </c>
      <c r="D14" s="1160">
        <f>'3 way Model - TNE '!G102</f>
        <v>139691</v>
      </c>
      <c r="E14" s="1160">
        <f>'3 way Model - TNE '!H102</f>
        <v>84657.320799999987</v>
      </c>
      <c r="F14" s="1160">
        <f>'3 way Model - TNE '!I102</f>
        <v>93393.052880000003</v>
      </c>
      <c r="G14" s="1160">
        <f>'3 way Model - TNE '!J102</f>
        <v>103122.35816800004</v>
      </c>
      <c r="H14" s="1160">
        <f>'3 way Model - TNE '!K102</f>
        <v>113834.5939848001</v>
      </c>
      <c r="I14" s="1160">
        <f>'3 way Model - TNE '!L102</f>
        <v>125569.0533832801</v>
      </c>
      <c r="T14" s="160" t="s">
        <v>796</v>
      </c>
      <c r="U14" s="1169">
        <v>0</v>
      </c>
      <c r="V14" s="1169">
        <v>0</v>
      </c>
      <c r="W14" s="1169">
        <v>0</v>
      </c>
      <c r="X14" s="1169">
        <v>0</v>
      </c>
      <c r="Y14" s="1169">
        <v>0</v>
      </c>
      <c r="Z14" s="1180">
        <v>0</v>
      </c>
    </row>
    <row r="15" spans="2:26" ht="13.5" thickBot="1" x14ac:dyDescent="0.25">
      <c r="B15" s="1149" t="s">
        <v>947</v>
      </c>
      <c r="D15" s="1156">
        <f>'3 way Model - TNE '!G103</f>
        <v>0.41786620240744732</v>
      </c>
      <c r="E15" s="1156">
        <f>'3 way Model - TNE '!H103</f>
        <v>0.23021873048816829</v>
      </c>
      <c r="F15" s="1156">
        <f>'3 way Model - TNE '!I103</f>
        <v>0.23088622425377653</v>
      </c>
      <c r="G15" s="1156">
        <f>'3 way Model - TNE '!J103</f>
        <v>0.23176273121871668</v>
      </c>
      <c r="H15" s="1156">
        <f>'3 way Model - TNE '!K103</f>
        <v>0.23257998713008285</v>
      </c>
      <c r="I15" s="1156">
        <f>'3 way Model - TNE '!L103</f>
        <v>0.23323193445937709</v>
      </c>
      <c r="T15" s="1145" t="s">
        <v>509</v>
      </c>
      <c r="U15" s="1172">
        <f>U11*U12+U13-U14</f>
        <v>2548378063.04</v>
      </c>
      <c r="V15" s="1172">
        <f t="shared" ref="V15:Z15" si="1">V11*V12+V13-V14</f>
        <v>3851452992</v>
      </c>
      <c r="W15" s="1172">
        <f t="shared" si="1"/>
        <v>1489228490.24</v>
      </c>
      <c r="X15" s="1172">
        <f t="shared" si="1"/>
        <v>2490606268.1599998</v>
      </c>
      <c r="Y15" s="1172">
        <f t="shared" si="1"/>
        <v>3450388580.8944554</v>
      </c>
      <c r="Z15" s="1182">
        <f t="shared" si="1"/>
        <v>2120824324.9663019</v>
      </c>
    </row>
    <row r="16" spans="2:26" x14ac:dyDescent="0.2">
      <c r="B16" s="160" t="s">
        <v>966</v>
      </c>
      <c r="D16" s="393"/>
      <c r="E16" s="393"/>
      <c r="F16" s="393"/>
      <c r="G16" s="393"/>
      <c r="H16" s="393"/>
      <c r="I16" s="393"/>
      <c r="Z16" s="161"/>
    </row>
    <row r="17" spans="1:37" x14ac:dyDescent="0.2">
      <c r="B17" s="1149" t="s">
        <v>797</v>
      </c>
      <c r="D17" s="1158">
        <f>'3 way Model - TNE '!G108</f>
        <v>98223</v>
      </c>
      <c r="E17" s="1158">
        <f>'3 way Model - TNE '!H108</f>
        <v>51998.593687537599</v>
      </c>
      <c r="F17" s="1158">
        <f>'3 way Model - TNE '!I108</f>
        <v>59782.797464299714</v>
      </c>
      <c r="G17" s="1158">
        <f>'3 way Model - TNE '!J108</f>
        <v>67985.966361173138</v>
      </c>
      <c r="H17" s="1158">
        <f>'3 way Model - TNE '!K108</f>
        <v>76683.124649190431</v>
      </c>
      <c r="I17" s="1158">
        <f>'3 way Model - TNE '!L108</f>
        <v>85962.634394724155</v>
      </c>
      <c r="Z17" s="161"/>
    </row>
    <row r="18" spans="1:37" x14ac:dyDescent="0.2">
      <c r="B18" s="1149" t="s">
        <v>948</v>
      </c>
      <c r="D18" s="1159">
        <f>'3 way Model - TNE '!G109</f>
        <v>0.29382044655036255</v>
      </c>
      <c r="E18" s="1159">
        <f>'3 way Model - TNE '!H109</f>
        <v>0.14140596599077571</v>
      </c>
      <c r="F18" s="1159">
        <f>'3 way Model - TNE '!I109</f>
        <v>0.14779497999273891</v>
      </c>
      <c r="G18" s="1159">
        <f>'3 way Model - TNE '!J109</f>
        <v>0.15279531547115771</v>
      </c>
      <c r="H18" s="1159">
        <f>'3 way Model - TNE '!K109</f>
        <v>0.15667434230392813</v>
      </c>
      <c r="I18" s="1159">
        <f>'3 way Model - TNE '!L109</f>
        <v>0.15966697980838102</v>
      </c>
      <c r="Z18" s="161"/>
    </row>
    <row r="19" spans="1:37" x14ac:dyDescent="0.2">
      <c r="B19" s="1149" t="s">
        <v>949</v>
      </c>
      <c r="D19" s="1155"/>
      <c r="E19" s="1156">
        <f>E17/D17-1</f>
        <v>-0.47060674498297139</v>
      </c>
      <c r="F19" s="1156">
        <f t="shared" ref="F19:I19" si="2">F17/E17-1</f>
        <v>0.14970027504085626</v>
      </c>
      <c r="G19" s="1156">
        <f t="shared" si="2"/>
        <v>0.13721621009408413</v>
      </c>
      <c r="H19" s="1156">
        <f t="shared" si="2"/>
        <v>0.12792578753406159</v>
      </c>
      <c r="I19" s="1156">
        <f t="shared" si="2"/>
        <v>0.12101110626341294</v>
      </c>
      <c r="Z19" s="161"/>
    </row>
    <row r="20" spans="1:37" x14ac:dyDescent="0.2">
      <c r="B20" s="1149" t="s">
        <v>950</v>
      </c>
      <c r="D20" s="1155"/>
      <c r="E20" s="1155"/>
      <c r="F20" s="1155"/>
      <c r="G20" s="1155"/>
      <c r="H20" s="1155"/>
      <c r="I20" s="1157">
        <f>AVERAGE(E19:I19)</f>
        <v>1.3049326789888705E-2</v>
      </c>
      <c r="Z20" s="161"/>
    </row>
    <row r="21" spans="1:37" x14ac:dyDescent="0.2">
      <c r="B21" s="160"/>
      <c r="D21" s="393"/>
      <c r="E21" s="393"/>
      <c r="F21" s="393"/>
      <c r="G21" s="393"/>
      <c r="H21" s="393"/>
      <c r="I21" s="393"/>
      <c r="Z21" s="161"/>
    </row>
    <row r="22" spans="1:37" x14ac:dyDescent="0.2">
      <c r="B22" s="1154" t="s">
        <v>958</v>
      </c>
      <c r="D22" s="393"/>
      <c r="E22" s="393"/>
      <c r="F22" s="393"/>
      <c r="G22" s="393"/>
      <c r="H22" s="393"/>
      <c r="I22" s="393"/>
      <c r="Z22" s="161"/>
    </row>
    <row r="23" spans="1:37" x14ac:dyDescent="0.2">
      <c r="A23" s="1064"/>
      <c r="B23" s="1149" t="s">
        <v>951</v>
      </c>
      <c r="D23" s="1161">
        <f>'3 way Model - TNE '!G145</f>
        <v>375909</v>
      </c>
      <c r="E23" s="1161">
        <f>'3 way Model - TNE '!H145</f>
        <v>450515.55450475903</v>
      </c>
      <c r="F23" s="1161">
        <f>'3 way Model - TNE '!I145</f>
        <v>500420.93528868898</v>
      </c>
      <c r="G23" s="1161">
        <f>'3 way Model - TNE '!J145</f>
        <v>556426.67069798592</v>
      </c>
      <c r="H23" s="1161">
        <f>'3 way Model - TNE '!K145</f>
        <v>619014.87581575697</v>
      </c>
      <c r="I23" s="1161">
        <f>'3 way Model - TNE '!L145</f>
        <v>688731.15077930642</v>
      </c>
      <c r="Z23" s="161"/>
    </row>
    <row r="24" spans="1:37" x14ac:dyDescent="0.2">
      <c r="A24" s="1064"/>
      <c r="B24" s="1149" t="s">
        <v>953</v>
      </c>
      <c r="D24" s="1161">
        <f>'3 way Model - TNE '!G161</f>
        <v>233741</v>
      </c>
      <c r="E24" s="1161">
        <f>'3 way Model - TNE '!H161</f>
        <v>285755.75217924436</v>
      </c>
      <c r="F24" s="1161">
        <f>'3 way Model - TNE '!I161</f>
        <v>309797.28739716881</v>
      </c>
      <c r="G24" s="1161">
        <f>'3 way Model - TNE '!J161</f>
        <v>336480.83613688574</v>
      </c>
      <c r="H24" s="1161">
        <f>'3 way Model - TNE '!K161</f>
        <v>366070.59975057427</v>
      </c>
      <c r="I24" s="1161">
        <f>'3 way Model - TNE '!L161</f>
        <v>398857.1997256318</v>
      </c>
      <c r="Z24" s="161"/>
    </row>
    <row r="25" spans="1:37" x14ac:dyDescent="0.2">
      <c r="A25" s="1064"/>
      <c r="B25" s="1149" t="s">
        <v>952</v>
      </c>
      <c r="D25" s="1161">
        <f>'3 way Model - TNE '!G167</f>
        <v>142168</v>
      </c>
      <c r="E25" s="1161">
        <f ca="1">'3 way Model - TNE '!H167</f>
        <v>132622.52792551473</v>
      </c>
      <c r="F25" s="1161">
        <f ca="1">'3 way Model - TNE '!I167</f>
        <v>158888.8716515202</v>
      </c>
      <c r="G25" s="1161">
        <f ca="1">'3 way Model - TNE '!J167</f>
        <v>188654.0062971001</v>
      </c>
      <c r="H25" s="1161">
        <f ca="1">'3 way Model - TNE '!K167</f>
        <v>222139.89057478274</v>
      </c>
      <c r="I25" s="1161">
        <f ca="1">'3 way Model - TNE '!L167</f>
        <v>259605.95261423461</v>
      </c>
      <c r="Z25" s="161"/>
    </row>
    <row r="26" spans="1:37" x14ac:dyDescent="0.2">
      <c r="B26" s="160"/>
      <c r="D26" s="393"/>
      <c r="E26" s="393"/>
      <c r="F26" s="393"/>
      <c r="G26" s="393"/>
      <c r="H26" s="393"/>
      <c r="I26" s="393"/>
      <c r="Z26" s="161"/>
      <c r="AA26" s="1165" t="s">
        <v>960</v>
      </c>
      <c r="AB26" s="1165"/>
      <c r="AC26" s="1165"/>
      <c r="AD26" s="1165"/>
      <c r="AE26" s="1165"/>
      <c r="AF26" s="1165"/>
      <c r="AG26" s="1165"/>
      <c r="AH26" s="1165"/>
      <c r="AI26" s="1165"/>
      <c r="AJ26" s="1165"/>
      <c r="AK26" s="1165"/>
    </row>
    <row r="27" spans="1:37" ht="15" x14ac:dyDescent="0.2">
      <c r="B27" s="1154" t="s">
        <v>959</v>
      </c>
      <c r="D27" s="393"/>
      <c r="E27" s="393"/>
      <c r="F27" s="393"/>
      <c r="G27" s="393"/>
      <c r="H27" s="393"/>
      <c r="I27" s="393"/>
      <c r="Z27" s="161"/>
      <c r="AA27" s="1165" t="s">
        <v>963</v>
      </c>
      <c r="AB27" s="1165"/>
      <c r="AC27" s="1165"/>
      <c r="AD27" s="1165"/>
      <c r="AE27" s="1165"/>
      <c r="AF27" s="1165"/>
      <c r="AG27" s="1165"/>
      <c r="AH27" s="1165"/>
      <c r="AI27" s="1165"/>
      <c r="AJ27" s="1165"/>
      <c r="AK27" s="1165"/>
    </row>
    <row r="28" spans="1:37" ht="15.75" x14ac:dyDescent="0.2">
      <c r="B28" s="1149" t="s">
        <v>954</v>
      </c>
      <c r="D28" s="1158">
        <f>'3 way Model - TNE '!G192</f>
        <v>160244</v>
      </c>
      <c r="E28" s="1158">
        <f>'3 way Model - TNE '!H192</f>
        <v>89527.367413775923</v>
      </c>
      <c r="F28" s="1158">
        <f>'3 way Model - TNE '!I192</f>
        <v>90658.075616495276</v>
      </c>
      <c r="G28" s="1158">
        <f>'3 way Model - TNE '!J192</f>
        <v>99357.493497519288</v>
      </c>
      <c r="H28" s="1158">
        <f>'3 way Model - TNE '!K192</f>
        <v>109474.8397266352</v>
      </c>
      <c r="I28" s="1158">
        <f>'3 way Model - TNE '!L192</f>
        <v>120435.17036149728</v>
      </c>
      <c r="Z28" s="161"/>
      <c r="AA28" s="1165" t="s">
        <v>961</v>
      </c>
      <c r="AB28" s="1165"/>
      <c r="AC28" s="1165"/>
      <c r="AD28" s="1165"/>
      <c r="AE28" s="1165"/>
      <c r="AF28" s="1165"/>
      <c r="AG28" s="1165"/>
      <c r="AH28" s="1165"/>
      <c r="AI28" s="1165"/>
      <c r="AJ28" s="1165"/>
      <c r="AK28" s="1165"/>
    </row>
    <row r="29" spans="1:37" x14ac:dyDescent="0.2">
      <c r="B29" s="1149" t="s">
        <v>955</v>
      </c>
      <c r="D29" s="1162">
        <f>'3 way Model - TNE '!G200</f>
        <v>-45061</v>
      </c>
      <c r="E29" s="1162">
        <f>'3 way Model - TNE '!H200</f>
        <v>-2707</v>
      </c>
      <c r="F29" s="1162">
        <f>'3 way Model - TNE '!I200</f>
        <v>-2707</v>
      </c>
      <c r="G29" s="1162">
        <f>'3 way Model - TNE '!J200</f>
        <v>-2707</v>
      </c>
      <c r="H29" s="1162">
        <f>'3 way Model - TNE '!K200</f>
        <v>-2707</v>
      </c>
      <c r="I29" s="1162">
        <f>'3 way Model - TNE '!L200</f>
        <v>-2707</v>
      </c>
      <c r="Z29" s="161"/>
    </row>
    <row r="30" spans="1:37" x14ac:dyDescent="0.2">
      <c r="B30" s="1149" t="s">
        <v>956</v>
      </c>
      <c r="D30" s="1162">
        <f>'3 way Model - TNE '!G205</f>
        <v>-38252</v>
      </c>
      <c r="E30" s="1162">
        <f>'3 way Model - TNE '!H205</f>
        <v>-31982.870562022861</v>
      </c>
      <c r="F30" s="1162">
        <f>'3 way Model - TNE '!I205</f>
        <v>-36752.43901829423</v>
      </c>
      <c r="G30" s="1162">
        <f>'3 way Model - TNE '!J205</f>
        <v>-41780.41552359327</v>
      </c>
      <c r="H30" s="1162">
        <f>'3 way Model - TNE '!K205</f>
        <v>-47112.78256030778</v>
      </c>
      <c r="I30" s="1162">
        <f>'3 way Model - TNE '!L205</f>
        <v>-52803.668762952286</v>
      </c>
      <c r="Z30" s="161"/>
    </row>
    <row r="31" spans="1:37" x14ac:dyDescent="0.2">
      <c r="B31" s="1149" t="s">
        <v>957</v>
      </c>
      <c r="D31" s="1163">
        <f>'3 way Model - TNE '!G208</f>
        <v>125244</v>
      </c>
      <c r="E31" s="1164">
        <f>'3 way Model - TNE '!H208</f>
        <v>180081.49685175307</v>
      </c>
      <c r="F31" s="1164">
        <f>'3 way Model - TNE '!I208</f>
        <v>231280.1334499541</v>
      </c>
      <c r="G31" s="1164">
        <f>'3 way Model - TNE '!J208</f>
        <v>286150.21142388013</v>
      </c>
      <c r="H31" s="1164">
        <f>'3 way Model - TNE '!K208</f>
        <v>345805.26859020756</v>
      </c>
      <c r="I31" s="1164">
        <f>'3 way Model - TNE '!L208</f>
        <v>410729.77018875256</v>
      </c>
      <c r="Z31" s="161"/>
      <c r="AA31" s="1165" t="s">
        <v>962</v>
      </c>
    </row>
    <row r="32" spans="1:37" x14ac:dyDescent="0.2">
      <c r="B32" s="160"/>
      <c r="Z32" s="161"/>
    </row>
    <row r="33" spans="2:26" x14ac:dyDescent="0.2">
      <c r="B33" s="1178" t="s">
        <v>800</v>
      </c>
      <c r="C33" s="1150"/>
      <c r="D33" s="1150"/>
      <c r="E33" s="1150"/>
      <c r="F33" s="1150"/>
      <c r="G33" s="1150"/>
      <c r="H33" s="1150"/>
      <c r="I33" s="1150"/>
      <c r="K33" s="1176"/>
      <c r="L33" s="1177" t="s">
        <v>798</v>
      </c>
      <c r="M33" s="1176"/>
      <c r="N33" s="1176"/>
      <c r="O33" s="1151"/>
      <c r="P33" s="1151"/>
      <c r="Q33" s="1151"/>
      <c r="R33" s="1151"/>
      <c r="T33" s="1175" t="s">
        <v>799</v>
      </c>
      <c r="U33" s="1150"/>
      <c r="V33" s="1150"/>
      <c r="W33" s="1150"/>
      <c r="X33" s="1150"/>
      <c r="Y33" s="1150"/>
      <c r="Z33" s="161"/>
    </row>
    <row r="34" spans="2:26" x14ac:dyDescent="0.2">
      <c r="B34" s="160"/>
      <c r="Z34" s="161"/>
    </row>
    <row r="35" spans="2:26" x14ac:dyDescent="0.2">
      <c r="B35" s="160"/>
      <c r="Z35" s="161"/>
    </row>
    <row r="36" spans="2:26" x14ac:dyDescent="0.2">
      <c r="B36" s="160"/>
      <c r="Z36" s="161"/>
    </row>
    <row r="37" spans="2:26" x14ac:dyDescent="0.2">
      <c r="B37" s="160"/>
      <c r="Z37" s="161"/>
    </row>
    <row r="38" spans="2:26" x14ac:dyDescent="0.2">
      <c r="B38" s="160"/>
      <c r="Z38" s="161"/>
    </row>
    <row r="39" spans="2:26" x14ac:dyDescent="0.2">
      <c r="B39" s="160"/>
      <c r="Z39" s="161"/>
    </row>
    <row r="40" spans="2:26" x14ac:dyDescent="0.2">
      <c r="B40" s="160"/>
      <c r="Z40" s="161"/>
    </row>
    <row r="41" spans="2:26" x14ac:dyDescent="0.2">
      <c r="B41" s="160"/>
      <c r="Z41" s="161"/>
    </row>
    <row r="42" spans="2:26" x14ac:dyDescent="0.2">
      <c r="B42" s="160"/>
      <c r="Z42" s="161"/>
    </row>
    <row r="43" spans="2:26" x14ac:dyDescent="0.2">
      <c r="B43" s="160"/>
      <c r="Z43" s="161"/>
    </row>
    <row r="44" spans="2:26" x14ac:dyDescent="0.2">
      <c r="B44" s="160"/>
      <c r="Z44" s="161"/>
    </row>
    <row r="45" spans="2:26" x14ac:dyDescent="0.2">
      <c r="B45" s="160"/>
      <c r="Z45" s="161"/>
    </row>
    <row r="46" spans="2:26" x14ac:dyDescent="0.2">
      <c r="B46" s="160"/>
      <c r="Z46" s="161"/>
    </row>
    <row r="47" spans="2:26" x14ac:dyDescent="0.2">
      <c r="B47" s="160"/>
      <c r="Z47" s="161"/>
    </row>
    <row r="48" spans="2:26" x14ac:dyDescent="0.2">
      <c r="B48" s="160"/>
      <c r="Z48" s="161"/>
    </row>
    <row r="49" spans="2:26" x14ac:dyDescent="0.2">
      <c r="B49" s="160"/>
      <c r="Z49" s="161"/>
    </row>
    <row r="50" spans="2:26" x14ac:dyDescent="0.2">
      <c r="B50" s="160"/>
      <c r="Z50" s="161"/>
    </row>
    <row r="51" spans="2:26" x14ac:dyDescent="0.2">
      <c r="B51" s="160"/>
      <c r="Z51" s="161"/>
    </row>
    <row r="52" spans="2:26" x14ac:dyDescent="0.2">
      <c r="B52" s="160"/>
      <c r="Z52" s="161"/>
    </row>
    <row r="53" spans="2:26" x14ac:dyDescent="0.2">
      <c r="B53" s="160"/>
      <c r="Z53" s="161"/>
    </row>
    <row r="54" spans="2:26" x14ac:dyDescent="0.2">
      <c r="B54" s="160"/>
      <c r="Z54" s="161"/>
    </row>
    <row r="55" spans="2:26" x14ac:dyDescent="0.2">
      <c r="B55" s="160"/>
      <c r="Z55" s="161"/>
    </row>
    <row r="56" spans="2:26" x14ac:dyDescent="0.2">
      <c r="B56" s="160"/>
      <c r="L56" s="1179"/>
      <c r="Z56" s="161"/>
    </row>
    <row r="57" spans="2:26" ht="13.5" thickBot="1" x14ac:dyDescent="0.25">
      <c r="B57" s="1145"/>
      <c r="C57" s="1146"/>
      <c r="D57" s="1146"/>
      <c r="E57" s="1146"/>
      <c r="F57" s="1146"/>
      <c r="G57" s="1146"/>
      <c r="H57" s="1146"/>
      <c r="I57" s="1146"/>
      <c r="J57" s="1146"/>
      <c r="K57" s="1146"/>
      <c r="L57" s="1146"/>
      <c r="M57" s="1146"/>
      <c r="N57" s="1146"/>
      <c r="O57" s="1146"/>
      <c r="P57" s="1146"/>
      <c r="Q57" s="1146"/>
      <c r="R57" s="1146"/>
      <c r="S57" s="1146"/>
      <c r="T57" s="1146"/>
      <c r="U57" s="1146"/>
      <c r="V57" s="1146"/>
      <c r="W57" s="1146"/>
      <c r="X57" s="1146"/>
      <c r="Y57" s="1146"/>
      <c r="Z57" s="1035"/>
    </row>
  </sheetData>
  <pageMargins left="0.7" right="0.7" top="0.75" bottom="0.75" header="0.3" footer="0.3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0657" r:id="rId4" name="Drop Down 1">
              <controlPr defaultSize="0" autoLine="0" autoPict="0">
                <anchor moveWithCells="1">
                  <from>
                    <xdr:col>5</xdr:col>
                    <xdr:colOff>0</xdr:colOff>
                    <xdr:row>1</xdr:row>
                    <xdr:rowOff>0</xdr:rowOff>
                  </from>
                  <to>
                    <xdr:col>7</xdr:col>
                    <xdr:colOff>76200</xdr:colOff>
                    <xdr:row>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09"/>
  <sheetViews>
    <sheetView showGridLines="0" topLeftCell="D1" zoomScale="85" zoomScaleNormal="85" workbookViewId="0">
      <pane ySplit="2" topLeftCell="A386" activePane="bottomLeft" state="frozen"/>
      <selection pane="bottomLeft" activeCell="S402" sqref="S402"/>
    </sheetView>
  </sheetViews>
  <sheetFormatPr defaultRowHeight="12.75" outlineLevelRow="1" x14ac:dyDescent="0.2"/>
  <cols>
    <col min="1" max="1" width="74.83203125" bestFit="1" customWidth="1"/>
    <col min="2" max="2" width="16.33203125" customWidth="1"/>
    <col min="3" max="3" width="15.1640625" customWidth="1"/>
    <col min="4" max="4" width="14.6640625" bestFit="1" customWidth="1"/>
    <col min="5" max="5" width="23.83203125" bestFit="1" customWidth="1"/>
    <col min="6" max="6" width="15.33203125" bestFit="1" customWidth="1"/>
    <col min="7" max="7" width="16.83203125" bestFit="1" customWidth="1"/>
    <col min="8" max="8" width="15.6640625" bestFit="1" customWidth="1"/>
    <col min="9" max="9" width="21.33203125" bestFit="1" customWidth="1"/>
    <col min="10" max="10" width="24.1640625" bestFit="1" customWidth="1"/>
    <col min="11" max="11" width="14.6640625" bestFit="1" customWidth="1"/>
    <col min="12" max="12" width="17.83203125" bestFit="1" customWidth="1"/>
    <col min="13" max="13" width="14.1640625" bestFit="1" customWidth="1"/>
    <col min="14" max="14" width="13.5" bestFit="1" customWidth="1"/>
  </cols>
  <sheetData>
    <row r="1" spans="1:14" ht="19.5" thickBot="1" x14ac:dyDescent="0.35">
      <c r="A1" s="405" t="s">
        <v>406</v>
      </c>
      <c r="B1" s="406" t="s">
        <v>407</v>
      </c>
      <c r="C1" s="407" t="str">
        <f>C353</f>
        <v>Entry</v>
      </c>
      <c r="D1" s="408" t="s">
        <v>408</v>
      </c>
      <c r="E1" s="408"/>
      <c r="F1" s="408"/>
      <c r="G1" s="408"/>
      <c r="H1" s="408" t="s">
        <v>409</v>
      </c>
      <c r="I1" s="409"/>
      <c r="J1" s="409"/>
      <c r="K1" s="409"/>
      <c r="L1" s="409"/>
    </row>
    <row r="2" spans="1:14" ht="21" thickBot="1" x14ac:dyDescent="0.35">
      <c r="A2" s="445" t="s">
        <v>573</v>
      </c>
      <c r="B2" s="446" t="s">
        <v>411</v>
      </c>
      <c r="C2" s="447">
        <f>C367</f>
        <v>7.2737207125853667</v>
      </c>
      <c r="D2" s="448">
        <v>2017</v>
      </c>
      <c r="E2" s="448">
        <v>2018</v>
      </c>
      <c r="F2" s="448">
        <v>2019</v>
      </c>
      <c r="G2" s="926">
        <v>2020</v>
      </c>
      <c r="H2" s="522">
        <f>G2+1</f>
        <v>2021</v>
      </c>
      <c r="I2" s="522">
        <f>H2+1</f>
        <v>2022</v>
      </c>
      <c r="J2" s="522">
        <f>I2+1</f>
        <v>2023</v>
      </c>
      <c r="K2" s="522">
        <f>J2+1</f>
        <v>2024</v>
      </c>
      <c r="L2" s="522">
        <f>K2+1</f>
        <v>2025</v>
      </c>
    </row>
    <row r="3" spans="1:14" x14ac:dyDescent="0.2">
      <c r="G3" s="895"/>
    </row>
    <row r="4" spans="1:14" s="1295" customFormat="1" ht="18.75" x14ac:dyDescent="0.3">
      <c r="A4" s="1292" t="s">
        <v>412</v>
      </c>
      <c r="B4" s="1293"/>
      <c r="C4" s="1293"/>
      <c r="D4" s="1293"/>
      <c r="E4" s="1293"/>
      <c r="F4" s="1293"/>
      <c r="G4" s="1294"/>
      <c r="H4" s="1293"/>
      <c r="I4" s="1293"/>
      <c r="J4" s="1293"/>
      <c r="K4" s="1293"/>
      <c r="L4" s="1293"/>
    </row>
    <row r="5" spans="1:14" ht="16.5" x14ac:dyDescent="0.3">
      <c r="A5" s="411"/>
      <c r="B5" s="411"/>
      <c r="C5" s="411"/>
      <c r="D5" s="411"/>
      <c r="E5" s="411"/>
      <c r="F5" s="411"/>
      <c r="G5" s="927"/>
    </row>
    <row r="6" spans="1:14" ht="16.5" x14ac:dyDescent="0.3">
      <c r="A6" s="412" t="s">
        <v>413</v>
      </c>
      <c r="B6" s="413"/>
      <c r="C6" s="413"/>
      <c r="D6" s="413"/>
      <c r="E6" s="413"/>
      <c r="F6" s="413"/>
      <c r="G6" s="928"/>
    </row>
    <row r="7" spans="1:14" ht="16.5" x14ac:dyDescent="0.3">
      <c r="A7" s="411" t="s">
        <v>596</v>
      </c>
      <c r="B7" s="411"/>
      <c r="C7" s="519">
        <f>C71/B71-1</f>
        <v>0.14685236405020552</v>
      </c>
      <c r="D7" s="519">
        <f>D71/C71-1</f>
        <v>0.10461030404581018</v>
      </c>
      <c r="E7" s="519">
        <f>E71/D71-1</f>
        <v>-6.8544141145630122E-2</v>
      </c>
      <c r="F7" s="519">
        <f>F71/E71-1</f>
        <v>0.126507476609655</v>
      </c>
      <c r="G7" s="889">
        <f>G71/F71-1</f>
        <v>0.1652736548839624</v>
      </c>
      <c r="H7" s="554">
        <f>'Scenario Analysis'!I14</f>
        <v>0.1</v>
      </c>
      <c r="I7" s="554">
        <f>'Scenario Analysis'!J14</f>
        <v>0.1</v>
      </c>
      <c r="J7" s="554">
        <f>'Scenario Analysis'!K14</f>
        <v>0.1</v>
      </c>
      <c r="K7" s="554">
        <f>'Scenario Analysis'!L14</f>
        <v>0.1</v>
      </c>
      <c r="L7" s="796">
        <f>'Scenario Analysis'!M14</f>
        <v>0.1</v>
      </c>
      <c r="M7" s="887"/>
      <c r="N7" s="887"/>
    </row>
    <row r="8" spans="1:14" ht="16.5" x14ac:dyDescent="0.3">
      <c r="A8" s="411" t="s">
        <v>597</v>
      </c>
      <c r="B8" s="519">
        <f t="shared" ref="B8:G8" si="0">B77/B71</f>
        <v>2.0172668715805576E-2</v>
      </c>
      <c r="C8" s="519">
        <f t="shared" si="0"/>
        <v>1.2745847635470384E-2</v>
      </c>
      <c r="D8" s="519">
        <f t="shared" si="0"/>
        <v>6.0639308409976217E-3</v>
      </c>
      <c r="E8" s="519">
        <f t="shared" si="0"/>
        <v>5.9370170244556087E-3</v>
      </c>
      <c r="F8" s="519">
        <f t="shared" si="0"/>
        <v>5.0737910271795193E-3</v>
      </c>
      <c r="G8" s="890">
        <f t="shared" si="0"/>
        <v>6.624590479861245E-3</v>
      </c>
      <c r="H8" s="797">
        <f>'Scenario Analysis'!I15</f>
        <v>0</v>
      </c>
      <c r="I8" s="797">
        <f>'Scenario Analysis'!J15</f>
        <v>0</v>
      </c>
      <c r="J8" s="797">
        <f>'Scenario Analysis'!K15</f>
        <v>0</v>
      </c>
      <c r="K8" s="797">
        <f>'Scenario Analysis'!L15</f>
        <v>0</v>
      </c>
      <c r="L8" s="798">
        <f>'Scenario Analysis'!M15</f>
        <v>0</v>
      </c>
      <c r="M8" s="887"/>
      <c r="N8" s="887"/>
    </row>
    <row r="9" spans="1:14" ht="16.5" x14ac:dyDescent="0.3">
      <c r="A9" s="411" t="s">
        <v>598</v>
      </c>
      <c r="B9" s="519">
        <f t="shared" ref="B9:G9" si="1">-B79/B78</f>
        <v>9.9271227665916867E-2</v>
      </c>
      <c r="C9" s="519">
        <f t="shared" si="1"/>
        <v>9.6238022954163963E-2</v>
      </c>
      <c r="D9" s="519">
        <f t="shared" si="1"/>
        <v>9.0633954613490067E-2</v>
      </c>
      <c r="E9" s="519">
        <f t="shared" si="1"/>
        <v>9.6317747975370446E-2</v>
      </c>
      <c r="F9" s="519">
        <f t="shared" si="1"/>
        <v>7.6843317972350236E-2</v>
      </c>
      <c r="G9" s="890">
        <f t="shared" si="1"/>
        <v>5.7224734965419868E-2</v>
      </c>
      <c r="H9" s="797">
        <f>'Scenario Analysis'!I16</f>
        <v>9.0999999999999998E-2</v>
      </c>
      <c r="I9" s="797">
        <f>'Scenario Analysis'!J16</f>
        <v>9.0999999999999998E-2</v>
      </c>
      <c r="J9" s="797">
        <f>'Scenario Analysis'!K16</f>
        <v>9.0999999999999998E-2</v>
      </c>
      <c r="K9" s="797">
        <f>'Scenario Analysis'!L16</f>
        <v>9.0999999999999998E-2</v>
      </c>
      <c r="L9" s="798">
        <f>'Scenario Analysis'!M16</f>
        <v>9.0999999999999998E-2</v>
      </c>
      <c r="M9" s="887"/>
      <c r="N9" s="887"/>
    </row>
    <row r="10" spans="1:14" ht="16.5" x14ac:dyDescent="0.3">
      <c r="A10" s="411" t="s">
        <v>599</v>
      </c>
      <c r="B10" s="519">
        <f t="shared" ref="B10:G10" si="2">-B80/B78</f>
        <v>1.458001865364569E-2</v>
      </c>
      <c r="C10" s="519">
        <f t="shared" si="2"/>
        <v>3.0419487747873647E-2</v>
      </c>
      <c r="D10" s="519">
        <f t="shared" si="2"/>
        <v>3.5172532415014654E-2</v>
      </c>
      <c r="E10" s="519">
        <f t="shared" si="2"/>
        <v>4.6697132708032899E-2</v>
      </c>
      <c r="F10" s="519">
        <f t="shared" si="2"/>
        <v>5.9227063259321325E-2</v>
      </c>
      <c r="G10" s="890">
        <f t="shared" si="2"/>
        <v>5.8268719936822456E-2</v>
      </c>
      <c r="H10" s="797">
        <f>'Scenario Analysis'!I17</f>
        <v>6.2E-2</v>
      </c>
      <c r="I10" s="797">
        <f>'Scenario Analysis'!J17</f>
        <v>6.2E-2</v>
      </c>
      <c r="J10" s="797">
        <f>'Scenario Analysis'!K17</f>
        <v>6.2E-2</v>
      </c>
      <c r="K10" s="797">
        <f>'Scenario Analysis'!L17</f>
        <v>6.2E-2</v>
      </c>
      <c r="L10" s="798">
        <f>'Scenario Analysis'!M17</f>
        <v>6.2E-2</v>
      </c>
      <c r="M10" s="887"/>
      <c r="N10" s="887"/>
    </row>
    <row r="11" spans="1:14" ht="16.5" x14ac:dyDescent="0.3">
      <c r="A11" s="411" t="s">
        <v>601</v>
      </c>
      <c r="B11" s="520">
        <f t="shared" ref="B11:G11" si="3">B82</f>
        <v>-8376</v>
      </c>
      <c r="C11" s="520">
        <f t="shared" si="3"/>
        <v>-9033</v>
      </c>
      <c r="D11" s="520">
        <f t="shared" si="3"/>
        <v>-7750</v>
      </c>
      <c r="E11" s="520">
        <f t="shared" si="3"/>
        <v>-9588</v>
      </c>
      <c r="F11" s="520">
        <f t="shared" si="3"/>
        <v>-10808</v>
      </c>
      <c r="G11" s="891">
        <f t="shared" si="3"/>
        <v>-3259</v>
      </c>
      <c r="H11" s="799">
        <f>'Scenario Analysis'!I18</f>
        <v>-4700</v>
      </c>
      <c r="I11" s="799">
        <f>'Scenario Analysis'!J18</f>
        <v>-4900</v>
      </c>
      <c r="J11" s="799">
        <f>'Scenario Analysis'!K18</f>
        <v>-5000</v>
      </c>
      <c r="K11" s="799">
        <f>'Scenario Analysis'!L18</f>
        <v>-5100</v>
      </c>
      <c r="L11" s="800">
        <f>'Scenario Analysis'!M18</f>
        <v>-5259</v>
      </c>
      <c r="M11" s="938"/>
      <c r="N11" s="938"/>
    </row>
    <row r="12" spans="1:14" ht="16.5" x14ac:dyDescent="0.3">
      <c r="A12" s="411" t="s">
        <v>600</v>
      </c>
      <c r="B12" s="519">
        <f t="shared" ref="B12:G12" si="4">-B83/B78</f>
        <v>5.6248971306303838E-2</v>
      </c>
      <c r="C12" s="519">
        <f t="shared" si="4"/>
        <v>5.4875551164976027E-2</v>
      </c>
      <c r="D12" s="519">
        <f t="shared" si="4"/>
        <v>6.0094491185824127E-2</v>
      </c>
      <c r="E12" s="519">
        <f t="shared" si="4"/>
        <v>7.4466287609385007E-2</v>
      </c>
      <c r="F12" s="519">
        <f t="shared" si="4"/>
        <v>6.0344225666806313E-2</v>
      </c>
      <c r="G12" s="890">
        <f t="shared" si="4"/>
        <v>5.4777801708665377E-2</v>
      </c>
      <c r="H12" s="797">
        <f>'Scenario Analysis'!I19</f>
        <v>6.0999999999999999E-2</v>
      </c>
      <c r="I12" s="797">
        <f>'Scenario Analysis'!J19</f>
        <v>6.0999999999999999E-2</v>
      </c>
      <c r="J12" s="797">
        <f>'Scenario Analysis'!K19</f>
        <v>6.0999999999999999E-2</v>
      </c>
      <c r="K12" s="797">
        <f>'Scenario Analysis'!L19</f>
        <v>6.0999999999999999E-2</v>
      </c>
      <c r="L12" s="798">
        <f>'Scenario Analysis'!M19</f>
        <v>6.0999999999999999E-2</v>
      </c>
      <c r="M12" s="887"/>
      <c r="N12" s="887"/>
    </row>
    <row r="13" spans="1:14" ht="16.5" x14ac:dyDescent="0.3">
      <c r="A13" s="411" t="s">
        <v>602</v>
      </c>
      <c r="B13" s="519">
        <f t="shared" ref="B13:G13" si="5">-B96/B78</f>
        <v>3.4216638320440369E-2</v>
      </c>
      <c r="C13" s="519">
        <f t="shared" si="5"/>
        <v>3.7194098418588215E-2</v>
      </c>
      <c r="D13" s="519">
        <f t="shared" si="5"/>
        <v>3.8788229223466898E-2</v>
      </c>
      <c r="E13" s="519">
        <f t="shared" si="5"/>
        <v>4.0626191103025254E-2</v>
      </c>
      <c r="F13" s="519">
        <f t="shared" si="5"/>
        <v>3.7508727831308479E-2</v>
      </c>
      <c r="G13" s="890">
        <f t="shared" si="5"/>
        <v>2.3987723454662935E-2</v>
      </c>
      <c r="H13" s="797">
        <f>'Scenario Analysis'!I21</f>
        <v>3.6999999999999998E-2</v>
      </c>
      <c r="I13" s="797">
        <f>'Scenario Analysis'!J21</f>
        <v>3.6999999999999998E-2</v>
      </c>
      <c r="J13" s="797">
        <f>'Scenario Analysis'!K21</f>
        <v>3.6999999999999998E-2</v>
      </c>
      <c r="K13" s="797">
        <f>'Scenario Analysis'!L21</f>
        <v>3.6999999999999998E-2</v>
      </c>
      <c r="L13" s="798">
        <f>'Scenario Analysis'!M21</f>
        <v>3.6999999999999998E-2</v>
      </c>
      <c r="M13" s="887"/>
      <c r="N13" s="887"/>
    </row>
    <row r="14" spans="1:14" ht="16.5" x14ac:dyDescent="0.3">
      <c r="A14" s="411" t="s">
        <v>603</v>
      </c>
      <c r="B14" s="519">
        <f t="shared" ref="B14:G14" si="6">-B97/B78</f>
        <v>1.4799473308827563E-2</v>
      </c>
      <c r="C14" s="519">
        <f t="shared" si="6"/>
        <v>1.1047394164277281E-2</v>
      </c>
      <c r="D14" s="519">
        <f t="shared" si="6"/>
        <v>2.058165875580506E-2</v>
      </c>
      <c r="E14" s="519">
        <f t="shared" si="6"/>
        <v>1.5984848187165755E-2</v>
      </c>
      <c r="F14" s="519">
        <f t="shared" si="6"/>
        <v>2.1826560536237955E-2</v>
      </c>
      <c r="G14" s="890">
        <f t="shared" si="6"/>
        <v>1.5842247588963073E-2</v>
      </c>
      <c r="H14" s="797">
        <f>'Scenario Analysis'!I22</f>
        <v>1.7999999999999999E-2</v>
      </c>
      <c r="I14" s="797">
        <f>'Scenario Analysis'!J22</f>
        <v>1.7999999999999999E-2</v>
      </c>
      <c r="J14" s="797">
        <f>'Scenario Analysis'!K22</f>
        <v>1.7999999999999999E-2</v>
      </c>
      <c r="K14" s="797">
        <f>'Scenario Analysis'!L22</f>
        <v>1.7999999999999999E-2</v>
      </c>
      <c r="L14" s="798">
        <f>'Scenario Analysis'!M22</f>
        <v>1.7999999999999999E-2</v>
      </c>
      <c r="M14" s="887"/>
      <c r="N14" s="887"/>
    </row>
    <row r="15" spans="1:14" ht="16.5" x14ac:dyDescent="0.3">
      <c r="A15" s="411" t="s">
        <v>604</v>
      </c>
      <c r="B15" s="519">
        <f t="shared" ref="B15:G15" si="7">-B98/B78</f>
        <v>0.50326895996781329</v>
      </c>
      <c r="C15" s="519">
        <f t="shared" si="7"/>
        <v>0.49798006569806197</v>
      </c>
      <c r="D15" s="519">
        <f t="shared" si="7"/>
        <v>0.49259111519361176</v>
      </c>
      <c r="E15" s="519">
        <f t="shared" si="7"/>
        <v>0.56284898090698687</v>
      </c>
      <c r="F15" s="519">
        <f t="shared" si="7"/>
        <v>0.4113147605083089</v>
      </c>
      <c r="G15" s="890">
        <f t="shared" si="7"/>
        <v>0.357811639983727</v>
      </c>
      <c r="H15" s="797">
        <f>'Scenario Analysis'!I23</f>
        <v>0.48699999999999999</v>
      </c>
      <c r="I15" s="797">
        <f>'Scenario Analysis'!J23</f>
        <v>0.48699999999999999</v>
      </c>
      <c r="J15" s="797">
        <f>'Scenario Analysis'!K23</f>
        <v>0.48699999999999999</v>
      </c>
      <c r="K15" s="797">
        <f>'Scenario Analysis'!L23</f>
        <v>0.48699999999999999</v>
      </c>
      <c r="L15" s="798">
        <f>'Scenario Analysis'!M23</f>
        <v>0.48699999999999999</v>
      </c>
      <c r="M15" s="887"/>
      <c r="N15" s="887"/>
    </row>
    <row r="16" spans="1:14" ht="16.5" x14ac:dyDescent="0.3">
      <c r="A16" s="411" t="s">
        <v>605</v>
      </c>
      <c r="B16" s="519">
        <f t="shared" ref="B16:G16" si="8">-B99/B78</f>
        <v>7.0774126296154058E-3</v>
      </c>
      <c r="C16" s="519">
        <f t="shared" si="8"/>
        <v>6.0075978443325379E-3</v>
      </c>
      <c r="D16" s="519">
        <f t="shared" si="8"/>
        <v>5.7675487551829257E-3</v>
      </c>
      <c r="E16" s="519">
        <f t="shared" si="8"/>
        <v>6.2674122071114495E-3</v>
      </c>
      <c r="F16" s="519">
        <f t="shared" si="8"/>
        <v>7.0451054322022066E-3</v>
      </c>
      <c r="G16" s="890">
        <f t="shared" si="8"/>
        <v>9.886447938354033E-3</v>
      </c>
      <c r="H16" s="797">
        <f>'Scenario Analysis'!I24</f>
        <v>7.0000000000000001E-3</v>
      </c>
      <c r="I16" s="797">
        <f>'Scenario Analysis'!J24</f>
        <v>7.0000000000000001E-3</v>
      </c>
      <c r="J16" s="797">
        <f>'Scenario Analysis'!K24</f>
        <v>7.0000000000000001E-3</v>
      </c>
      <c r="K16" s="797">
        <f>'Scenario Analysis'!L24</f>
        <v>7.0000000000000001E-3</v>
      </c>
      <c r="L16" s="798">
        <f>'Scenario Analysis'!M24</f>
        <v>7.0000000000000001E-3</v>
      </c>
      <c r="M16" s="887"/>
      <c r="N16" s="887"/>
    </row>
    <row r="17" spans="1:14" ht="16.5" x14ac:dyDescent="0.3">
      <c r="A17" s="411" t="s">
        <v>606</v>
      </c>
      <c r="B17" s="519">
        <f t="shared" ref="B17:G17" si="9">-B100/B78</f>
        <v>6.6750790951153056E-4</v>
      </c>
      <c r="C17" s="519">
        <f t="shared" si="9"/>
        <v>4.0559316997164862E-4</v>
      </c>
      <c r="D17" s="519">
        <f t="shared" si="9"/>
        <v>1.7566138340658656E-4</v>
      </c>
      <c r="E17" s="519">
        <f t="shared" si="9"/>
        <v>1.5521177566200769E-3</v>
      </c>
      <c r="F17" s="519">
        <f t="shared" si="9"/>
        <v>8.378718056137411E-5</v>
      </c>
      <c r="G17" s="890">
        <f t="shared" si="9"/>
        <v>4.4720846196185417E-3</v>
      </c>
      <c r="H17" s="797">
        <f>'Scenario Analysis'!I25</f>
        <v>1E-3</v>
      </c>
      <c r="I17" s="797">
        <f>'Scenario Analysis'!J25</f>
        <v>1E-3</v>
      </c>
      <c r="J17" s="797">
        <f>'Scenario Analysis'!K25</f>
        <v>1E-3</v>
      </c>
      <c r="K17" s="797">
        <f>'Scenario Analysis'!L25</f>
        <v>1E-3</v>
      </c>
      <c r="L17" s="798">
        <f>'Scenario Analysis'!M25</f>
        <v>1E-3</v>
      </c>
      <c r="M17" s="887"/>
      <c r="N17" s="887"/>
    </row>
    <row r="18" spans="1:14" ht="16.5" x14ac:dyDescent="0.3">
      <c r="A18" s="411" t="s">
        <v>414</v>
      </c>
      <c r="B18" s="519">
        <f t="shared" ref="B18:G18" si="10">-B106/B104</f>
        <v>0.23033079537144577</v>
      </c>
      <c r="C18" s="519">
        <f t="shared" si="10"/>
        <v>0.22344102178812922</v>
      </c>
      <c r="D18" s="519">
        <f t="shared" si="10"/>
        <v>0.2331132904738103</v>
      </c>
      <c r="E18" s="519">
        <f t="shared" si="10"/>
        <v>0.12596204214852721</v>
      </c>
      <c r="F18" s="519">
        <f t="shared" si="10"/>
        <v>0.23471965858958752</v>
      </c>
      <c r="G18" s="890">
        <f t="shared" si="10"/>
        <v>0.16582022624588102</v>
      </c>
      <c r="H18" s="797">
        <f>'Scenario Analysis'!I26</f>
        <v>0.23899999999999999</v>
      </c>
      <c r="I18" s="797">
        <f>'Scenario Analysis'!J26</f>
        <v>0.23899999999999999</v>
      </c>
      <c r="J18" s="797">
        <f>'Scenario Analysis'!K26</f>
        <v>0.23899999999999999</v>
      </c>
      <c r="K18" s="797">
        <f>'Scenario Analysis'!L26</f>
        <v>0.23899999999999999</v>
      </c>
      <c r="L18" s="798">
        <f>'Scenario Analysis'!M26</f>
        <v>0.23899999999999999</v>
      </c>
      <c r="M18" s="887"/>
      <c r="N18" s="887"/>
    </row>
    <row r="19" spans="1:14" ht="16.5" x14ac:dyDescent="0.3">
      <c r="A19" s="411" t="s">
        <v>415</v>
      </c>
      <c r="B19" s="519">
        <f t="shared" ref="B19:G19" si="11">-B112/B108</f>
        <v>0.72287271203018022</v>
      </c>
      <c r="C19" s="519">
        <f>-C112/C108</f>
        <v>0.6762287151702786</v>
      </c>
      <c r="D19" s="519">
        <f t="shared" si="11"/>
        <v>0.68256394120555586</v>
      </c>
      <c r="E19" s="519">
        <f t="shared" si="11"/>
        <v>1.5214605135770596</v>
      </c>
      <c r="F19" s="519">
        <f t="shared" si="11"/>
        <v>0.61325031218460802</v>
      </c>
      <c r="G19" s="890">
        <f t="shared" si="11"/>
        <v>0.39693350844506886</v>
      </c>
      <c r="H19" s="797">
        <f>'Scenario Analysis'!I27</f>
        <v>0.60799999999999998</v>
      </c>
      <c r="I19" s="797">
        <f>'Scenario Analysis'!J27</f>
        <v>0.60799999999999998</v>
      </c>
      <c r="J19" s="797">
        <f>'Scenario Analysis'!K27</f>
        <v>0.60799999999999998</v>
      </c>
      <c r="K19" s="797">
        <f>'Scenario Analysis'!L27</f>
        <v>0.60799999999999998</v>
      </c>
      <c r="L19" s="798">
        <f>'Scenario Analysis'!M27</f>
        <v>0.60799999999999998</v>
      </c>
      <c r="M19" s="887"/>
      <c r="N19" s="887"/>
    </row>
    <row r="20" spans="1:14" ht="16.5" x14ac:dyDescent="0.3">
      <c r="A20" s="411" t="s">
        <v>416</v>
      </c>
      <c r="B20" s="519"/>
      <c r="C20" s="519">
        <f>C116/B116-1</f>
        <v>8.5647559046111432E-3</v>
      </c>
      <c r="D20" s="519">
        <f>D116/C116-1</f>
        <v>1.8210412788997044E-3</v>
      </c>
      <c r="E20" s="519">
        <f>E116/D116-1</f>
        <v>6.1720969335226084E-3</v>
      </c>
      <c r="F20" s="519">
        <f>F116/E116-1</f>
        <v>4.4742308235332651E-3</v>
      </c>
      <c r="G20" s="890">
        <f>G116/F116-1</f>
        <v>4.5510051861095135E-3</v>
      </c>
      <c r="H20" s="797">
        <f>'Scenario Analysis'!I28</f>
        <v>0</v>
      </c>
      <c r="I20" s="797">
        <f>'Scenario Analysis'!J28</f>
        <v>0</v>
      </c>
      <c r="J20" s="797">
        <f>'Scenario Analysis'!K28</f>
        <v>0</v>
      </c>
      <c r="K20" s="797">
        <f>'Scenario Analysis'!L28</f>
        <v>0</v>
      </c>
      <c r="L20" s="798">
        <f>'Scenario Analysis'!M28</f>
        <v>0</v>
      </c>
      <c r="M20" s="887"/>
      <c r="N20" s="887"/>
    </row>
    <row r="21" spans="1:14" ht="16.5" x14ac:dyDescent="0.3">
      <c r="A21" s="411" t="s">
        <v>417</v>
      </c>
      <c r="B21" s="519">
        <f t="shared" ref="B21:G21" si="12">B118/B116-1</f>
        <v>2.3876755036503994E-2</v>
      </c>
      <c r="C21" s="519">
        <f t="shared" si="12"/>
        <v>3.2002579805552545E-2</v>
      </c>
      <c r="D21" s="519">
        <f t="shared" si="12"/>
        <v>5.2180002110648882E-3</v>
      </c>
      <c r="E21" s="519">
        <f t="shared" si="12"/>
        <v>2.8199414063834194E-3</v>
      </c>
      <c r="F21" s="519">
        <f t="shared" si="12"/>
        <v>7.202286860797491E-3</v>
      </c>
      <c r="G21" s="890">
        <f t="shared" si="12"/>
        <v>7.2024607724829881E-3</v>
      </c>
      <c r="H21" s="797">
        <f>'Scenario Analysis'!I29</f>
        <v>7.0000000000000001E-3</v>
      </c>
      <c r="I21" s="797">
        <f>'Scenario Analysis'!J29</f>
        <v>7.0000000000000001E-3</v>
      </c>
      <c r="J21" s="797">
        <f>'Scenario Analysis'!K29</f>
        <v>7.0000000000000001E-3</v>
      </c>
      <c r="K21" s="797">
        <f>'Scenario Analysis'!L29</f>
        <v>7.0000000000000001E-3</v>
      </c>
      <c r="L21" s="798">
        <f>'Scenario Analysis'!M29</f>
        <v>7.0000000000000001E-3</v>
      </c>
      <c r="M21" s="887"/>
      <c r="N21" s="887"/>
    </row>
    <row r="22" spans="1:14" x14ac:dyDescent="0.2">
      <c r="G22" s="895"/>
      <c r="L22" s="801"/>
      <c r="M22" s="887"/>
      <c r="N22" s="887"/>
    </row>
    <row r="23" spans="1:14" ht="16.5" x14ac:dyDescent="0.3">
      <c r="A23" s="412" t="s">
        <v>418</v>
      </c>
      <c r="G23" s="895"/>
      <c r="L23" s="801"/>
      <c r="M23" s="887"/>
      <c r="N23" s="887"/>
    </row>
    <row r="24" spans="1:14" ht="16.5" x14ac:dyDescent="0.3">
      <c r="A24" s="421" t="s">
        <v>445</v>
      </c>
      <c r="B24" s="488"/>
      <c r="C24" s="488"/>
      <c r="D24" s="488"/>
      <c r="E24" s="488"/>
      <c r="F24" s="488"/>
      <c r="G24" s="923"/>
      <c r="L24" s="801"/>
      <c r="M24" s="887"/>
      <c r="N24" s="887"/>
    </row>
    <row r="25" spans="1:14" ht="16.5" x14ac:dyDescent="0.3">
      <c r="A25" s="411" t="s">
        <v>628</v>
      </c>
      <c r="B25" s="519">
        <f t="shared" ref="B25:G25" si="13">B128/B71</f>
        <v>8.4048899481807288E-3</v>
      </c>
      <c r="C25" s="519">
        <f t="shared" si="13"/>
        <v>2.3657497031120366E-2</v>
      </c>
      <c r="D25" s="519">
        <f t="shared" si="13"/>
        <v>3.0264427148148421E-2</v>
      </c>
      <c r="E25" s="519">
        <f t="shared" si="13"/>
        <v>4.2895145638743186E-2</v>
      </c>
      <c r="F25" s="519">
        <f t="shared" si="13"/>
        <v>4.4948314701362131E-2</v>
      </c>
      <c r="G25" s="890">
        <f t="shared" si="13"/>
        <v>3.2674286953170165E-2</v>
      </c>
      <c r="H25" s="797">
        <f>'Scenario Analysis'!I87</f>
        <v>3.5999999999999997E-2</v>
      </c>
      <c r="I25" s="797">
        <f>'Scenario Analysis'!J87</f>
        <v>3.5999999999999997E-2</v>
      </c>
      <c r="J25" s="797">
        <f>'Scenario Analysis'!K87</f>
        <v>3.5999999999999997E-2</v>
      </c>
      <c r="K25" s="797">
        <f>'Scenario Analysis'!L87</f>
        <v>3.5999999999999997E-2</v>
      </c>
      <c r="L25" s="798">
        <f>'Scenario Analysis'!M87</f>
        <v>3.5999999999999997E-2</v>
      </c>
      <c r="M25" s="887"/>
      <c r="N25" s="887"/>
    </row>
    <row r="26" spans="1:14" ht="16.5" x14ac:dyDescent="0.3">
      <c r="A26" s="411" t="s">
        <v>629</v>
      </c>
      <c r="B26" s="519">
        <f t="shared" ref="B26:G26" si="14">B129/B71</f>
        <v>0.17851295948208715</v>
      </c>
      <c r="C26" s="519">
        <f t="shared" si="14"/>
        <v>0.16935628182394952</v>
      </c>
      <c r="D26" s="519">
        <f t="shared" si="14"/>
        <v>0.19610023342636024</v>
      </c>
      <c r="E26" s="519">
        <f t="shared" si="14"/>
        <v>0.2354015391973564</v>
      </c>
      <c r="F26" s="519">
        <f t="shared" si="14"/>
        <v>0.17204572727846901</v>
      </c>
      <c r="G26" s="890">
        <f t="shared" si="14"/>
        <v>0.11260599344767779</v>
      </c>
      <c r="H26" s="797">
        <f>'Scenario Analysis'!I88</f>
        <v>0.17899999999999999</v>
      </c>
      <c r="I26" s="797">
        <f>'Scenario Analysis'!J88</f>
        <v>0.17899999999999999</v>
      </c>
      <c r="J26" s="797">
        <f>'Scenario Analysis'!K88</f>
        <v>0.17899999999999999</v>
      </c>
      <c r="K26" s="797">
        <f>'Scenario Analysis'!L88</f>
        <v>0.17899999999999999</v>
      </c>
      <c r="L26" s="798">
        <f>'Scenario Analysis'!M88</f>
        <v>0.17899999999999999</v>
      </c>
      <c r="M26" s="887"/>
      <c r="N26" s="887"/>
    </row>
    <row r="27" spans="1:14" ht="16.5" x14ac:dyDescent="0.3">
      <c r="A27" s="411" t="s">
        <v>619</v>
      </c>
      <c r="B27" s="520">
        <f t="shared" ref="B27:G30" si="15">B130</f>
        <v>10230</v>
      </c>
      <c r="C27" s="520">
        <f t="shared" si="15"/>
        <v>16421</v>
      </c>
      <c r="D27" s="520">
        <f t="shared" si="15"/>
        <v>14305</v>
      </c>
      <c r="E27" s="520">
        <f t="shared" si="15"/>
        <v>0</v>
      </c>
      <c r="F27" s="520">
        <f t="shared" si="15"/>
        <v>0</v>
      </c>
      <c r="G27" s="891">
        <f t="shared" si="15"/>
        <v>0</v>
      </c>
      <c r="H27" s="797">
        <f>'Scenario Analysis'!I89</f>
        <v>0</v>
      </c>
      <c r="I27" s="797">
        <f>'Scenario Analysis'!J89</f>
        <v>0</v>
      </c>
      <c r="J27" s="797">
        <f>'Scenario Analysis'!K89</f>
        <v>0</v>
      </c>
      <c r="K27" s="797">
        <f>'Scenario Analysis'!L89</f>
        <v>0</v>
      </c>
      <c r="L27" s="798">
        <f>'Scenario Analysis'!M89</f>
        <v>0</v>
      </c>
      <c r="M27" s="938"/>
      <c r="N27" s="938"/>
    </row>
    <row r="28" spans="1:14" ht="16.5" x14ac:dyDescent="0.3">
      <c r="A28" s="411" t="s">
        <v>588</v>
      </c>
      <c r="B28" s="520">
        <f t="shared" si="15"/>
        <v>0</v>
      </c>
      <c r="C28" s="520">
        <f t="shared" si="15"/>
        <v>0</v>
      </c>
      <c r="D28" s="520">
        <f t="shared" si="15"/>
        <v>0</v>
      </c>
      <c r="E28" s="520">
        <f t="shared" si="15"/>
        <v>1879</v>
      </c>
      <c r="F28" s="520">
        <f t="shared" si="15"/>
        <v>24607</v>
      </c>
      <c r="G28" s="891">
        <f t="shared" si="15"/>
        <v>22051</v>
      </c>
      <c r="H28" s="802">
        <f>'Scenario Analysis'!I90</f>
        <v>22051</v>
      </c>
      <c r="I28" s="802">
        <f>'Scenario Analysis'!J90</f>
        <v>22051</v>
      </c>
      <c r="J28" s="802">
        <f>'Scenario Analysis'!K90</f>
        <v>22051</v>
      </c>
      <c r="K28" s="802">
        <f>'Scenario Analysis'!L90</f>
        <v>22051</v>
      </c>
      <c r="L28" s="803">
        <f>'Scenario Analysis'!M90</f>
        <v>22051</v>
      </c>
      <c r="M28" s="642"/>
      <c r="N28" s="938"/>
    </row>
    <row r="29" spans="1:14" ht="16.5" x14ac:dyDescent="0.3">
      <c r="A29" s="411" t="s">
        <v>784</v>
      </c>
      <c r="B29" s="572">
        <f t="shared" si="15"/>
        <v>355</v>
      </c>
      <c r="C29" s="572">
        <f t="shared" si="15"/>
        <v>793</v>
      </c>
      <c r="D29" s="572">
        <f t="shared" si="15"/>
        <v>798</v>
      </c>
      <c r="E29" s="572">
        <f t="shared" si="15"/>
        <v>959</v>
      </c>
      <c r="F29" s="572">
        <f t="shared" si="15"/>
        <v>463</v>
      </c>
      <c r="G29" s="896">
        <f t="shared" si="15"/>
        <v>397</v>
      </c>
      <c r="H29" s="799">
        <f>'Scenario Analysis'!I91</f>
        <v>397</v>
      </c>
      <c r="I29" s="799">
        <f>'Scenario Analysis'!J91</f>
        <v>397</v>
      </c>
      <c r="J29" s="799">
        <f>'Scenario Analysis'!K91</f>
        <v>397</v>
      </c>
      <c r="K29" s="799">
        <f>'Scenario Analysis'!L91</f>
        <v>397</v>
      </c>
      <c r="L29" s="800">
        <f>'Scenario Analysis'!M91</f>
        <v>397</v>
      </c>
      <c r="M29" s="938"/>
      <c r="N29" s="938"/>
    </row>
    <row r="30" spans="1:14" ht="16.5" x14ac:dyDescent="0.3">
      <c r="A30" s="411" t="s">
        <v>587</v>
      </c>
      <c r="B30" s="520">
        <f t="shared" si="15"/>
        <v>0</v>
      </c>
      <c r="C30" s="520">
        <f t="shared" si="15"/>
        <v>0</v>
      </c>
      <c r="D30" s="520" t="str">
        <f t="shared" si="15"/>
        <v>-</v>
      </c>
      <c r="E30" s="520">
        <f t="shared" si="15"/>
        <v>1574</v>
      </c>
      <c r="F30" s="520">
        <f t="shared" si="15"/>
        <v>6783</v>
      </c>
      <c r="G30" s="891">
        <f t="shared" si="15"/>
        <v>8077</v>
      </c>
      <c r="H30" s="802">
        <f>'Scenario Analysis'!I92</f>
        <v>8077</v>
      </c>
      <c r="I30" s="802">
        <f>'Scenario Analysis'!J92</f>
        <v>8077</v>
      </c>
      <c r="J30" s="802">
        <f>'Scenario Analysis'!K92</f>
        <v>8077</v>
      </c>
      <c r="K30" s="802">
        <f>'Scenario Analysis'!L92</f>
        <v>8077</v>
      </c>
      <c r="L30" s="803">
        <f>'Scenario Analysis'!M92</f>
        <v>8077</v>
      </c>
      <c r="M30" s="642"/>
      <c r="N30" s="451"/>
    </row>
    <row r="31" spans="1:14" ht="16.5" x14ac:dyDescent="0.3">
      <c r="A31" s="411" t="s">
        <v>694</v>
      </c>
      <c r="B31" s="411"/>
      <c r="C31" s="411"/>
      <c r="D31" s="411"/>
      <c r="E31" s="519">
        <f>E134/(E134+E142)</f>
        <v>0.2533134216912451</v>
      </c>
      <c r="F31" s="519">
        <f>F134/(F134+F142)</f>
        <v>0.27982444473999202</v>
      </c>
      <c r="G31" s="1199">
        <f>G134/(G134+G142)</f>
        <v>0.29586627965168649</v>
      </c>
      <c r="H31" s="1200">
        <f>'Scenario Analysis'!I93</f>
        <v>0.27600000000000002</v>
      </c>
      <c r="I31" s="797">
        <f>'Scenario Analysis'!J93</f>
        <v>0.27600000000000002</v>
      </c>
      <c r="J31" s="797">
        <f>'Scenario Analysis'!K93</f>
        <v>0.27600000000000002</v>
      </c>
      <c r="K31" s="797">
        <f>'Scenario Analysis'!L93</f>
        <v>0.27600000000000002</v>
      </c>
      <c r="L31" s="798">
        <f>'Scenario Analysis'!M93</f>
        <v>0.27600000000000002</v>
      </c>
      <c r="M31" s="887"/>
      <c r="N31" s="887"/>
    </row>
    <row r="32" spans="1:14" s="410" customFormat="1" ht="16.5" x14ac:dyDescent="0.3">
      <c r="A32" s="421" t="s">
        <v>630</v>
      </c>
      <c r="B32" s="411"/>
      <c r="C32" s="411"/>
      <c r="D32" s="417"/>
      <c r="E32" s="417"/>
      <c r="F32" s="417"/>
      <c r="G32" s="1201"/>
      <c r="H32" s="417"/>
      <c r="I32" s="428"/>
      <c r="J32" s="428"/>
      <c r="K32" s="428"/>
      <c r="L32" s="804"/>
      <c r="M32" s="887"/>
      <c r="N32" s="939"/>
    </row>
    <row r="33" spans="1:14" ht="16.5" x14ac:dyDescent="0.3">
      <c r="A33" s="411" t="s">
        <v>619</v>
      </c>
      <c r="B33" s="520">
        <f t="shared" ref="B33:G35" si="16">B139</f>
        <v>1880</v>
      </c>
      <c r="C33" s="520">
        <f t="shared" si="16"/>
        <v>3980</v>
      </c>
      <c r="D33" s="520">
        <f t="shared" si="16"/>
        <v>11914</v>
      </c>
      <c r="E33" s="520" t="str">
        <f t="shared" si="16"/>
        <v>-</v>
      </c>
      <c r="F33" s="520" t="str">
        <f t="shared" si="16"/>
        <v>-</v>
      </c>
      <c r="G33" s="891" t="str">
        <f t="shared" si="16"/>
        <v>-</v>
      </c>
      <c r="H33" s="802" t="str">
        <f>'Scenario Analysis'!I95</f>
        <v>-</v>
      </c>
      <c r="I33" s="802" t="str">
        <f>'Scenario Analysis'!J95</f>
        <v>-</v>
      </c>
      <c r="J33" s="802" t="str">
        <f>'Scenario Analysis'!K95</f>
        <v>-</v>
      </c>
      <c r="K33" s="802" t="str">
        <f>'Scenario Analysis'!L95</f>
        <v>-</v>
      </c>
      <c r="L33" s="803" t="str">
        <f>'Scenario Analysis'!M95</f>
        <v>-</v>
      </c>
      <c r="M33" s="887"/>
      <c r="N33" s="887"/>
    </row>
    <row r="34" spans="1:14" ht="16.5" x14ac:dyDescent="0.3">
      <c r="A34" s="411" t="s">
        <v>588</v>
      </c>
      <c r="B34" s="520">
        <f t="shared" si="16"/>
        <v>0</v>
      </c>
      <c r="C34" s="520">
        <f t="shared" si="16"/>
        <v>0</v>
      </c>
      <c r="D34" s="520">
        <f t="shared" si="16"/>
        <v>0</v>
      </c>
      <c r="E34" s="520">
        <f t="shared" si="16"/>
        <v>245</v>
      </c>
      <c r="F34" s="520" t="str">
        <f t="shared" si="16"/>
        <v>-</v>
      </c>
      <c r="G34" s="891" t="str">
        <f t="shared" si="16"/>
        <v>-</v>
      </c>
      <c r="H34" s="802" t="str">
        <f>'Scenario Analysis'!I96</f>
        <v>-</v>
      </c>
      <c r="I34" s="802" t="str">
        <f>'Scenario Analysis'!J96</f>
        <v>-</v>
      </c>
      <c r="J34" s="802" t="str">
        <f>'Scenario Analysis'!K96</f>
        <v>-</v>
      </c>
      <c r="K34" s="802" t="str">
        <f>'Scenario Analysis'!L96</f>
        <v>-</v>
      </c>
      <c r="L34" s="803" t="str">
        <f>'Scenario Analysis'!M96</f>
        <v>-</v>
      </c>
      <c r="M34" s="887"/>
      <c r="N34" s="887"/>
    </row>
    <row r="35" spans="1:14" ht="16.5" x14ac:dyDescent="0.3">
      <c r="A35" s="411" t="s">
        <v>620</v>
      </c>
      <c r="B35" s="520">
        <f t="shared" si="16"/>
        <v>7314</v>
      </c>
      <c r="C35" s="520">
        <f t="shared" si="16"/>
        <v>7512</v>
      </c>
      <c r="D35" s="520">
        <f t="shared" si="16"/>
        <v>5482</v>
      </c>
      <c r="E35" s="520">
        <f t="shared" si="16"/>
        <v>42278</v>
      </c>
      <c r="F35" s="520">
        <f t="shared" si="16"/>
        <v>32153</v>
      </c>
      <c r="G35" s="891">
        <f t="shared" si="16"/>
        <v>28605</v>
      </c>
      <c r="H35" s="802">
        <f>'Scenario Analysis'!I97</f>
        <v>28605</v>
      </c>
      <c r="I35" s="802">
        <f>'Scenario Analysis'!J97</f>
        <v>28700</v>
      </c>
      <c r="J35" s="802">
        <f>'Scenario Analysis'!K97</f>
        <v>29100</v>
      </c>
      <c r="K35" s="802">
        <f>'Scenario Analysis'!L97</f>
        <v>29400</v>
      </c>
      <c r="L35" s="803">
        <f>'Scenario Analysis'!M97</f>
        <v>29800</v>
      </c>
      <c r="M35" s="642"/>
      <c r="N35" s="451"/>
    </row>
    <row r="36" spans="1:14" ht="16.5" x14ac:dyDescent="0.3">
      <c r="A36" s="411" t="s">
        <v>694</v>
      </c>
      <c r="B36" s="560"/>
      <c r="C36" s="560"/>
      <c r="D36" s="560"/>
      <c r="E36" s="519">
        <f>E142/(E142+E134)</f>
        <v>0.74668657830875484</v>
      </c>
      <c r="F36" s="519">
        <f>F142/(F142+F134)</f>
        <v>0.72017555526000798</v>
      </c>
      <c r="G36" s="1199">
        <f>G142/(G142+G134)</f>
        <v>0.70413372034831345</v>
      </c>
      <c r="H36" s="1200">
        <f>'Scenario Analysis'!I98</f>
        <v>0.72399999999999998</v>
      </c>
      <c r="I36" s="797">
        <f>'Scenario Analysis'!J98</f>
        <v>0.72399999999999998</v>
      </c>
      <c r="J36" s="797">
        <f>'Scenario Analysis'!K98</f>
        <v>0.72399999999999998</v>
      </c>
      <c r="K36" s="797">
        <f>'Scenario Analysis'!L98</f>
        <v>0.72399999999999998</v>
      </c>
      <c r="L36" s="798">
        <f>'Scenario Analysis'!M98</f>
        <v>0.72399999999999998</v>
      </c>
      <c r="M36" s="887"/>
      <c r="N36" s="887"/>
    </row>
    <row r="37" spans="1:14" ht="16.5" customHeight="1" x14ac:dyDescent="0.3">
      <c r="A37" s="421" t="s">
        <v>448</v>
      </c>
      <c r="G37" s="895"/>
      <c r="L37" s="801"/>
      <c r="M37" s="887"/>
      <c r="N37" s="887"/>
    </row>
    <row r="38" spans="1:14" ht="16.5" x14ac:dyDescent="0.3">
      <c r="A38" s="411" t="s">
        <v>691</v>
      </c>
      <c r="B38" s="519">
        <f t="shared" ref="B38:G38" si="17">B147/B71</f>
        <v>0.10273368812354536</v>
      </c>
      <c r="C38" s="519">
        <f t="shared" si="17"/>
        <v>9.9994306258235591E-2</v>
      </c>
      <c r="D38" s="519">
        <f t="shared" si="17"/>
        <v>0.14084004035256953</v>
      </c>
      <c r="E38" s="519">
        <f t="shared" si="17"/>
        <v>0.2079813746842748</v>
      </c>
      <c r="F38" s="519">
        <f t="shared" si="17"/>
        <v>0.16593331789441182</v>
      </c>
      <c r="G38" s="1199">
        <f t="shared" si="17"/>
        <v>0.11178394199267681</v>
      </c>
      <c r="H38" s="1200">
        <f>'Scenario Analysis'!I100</f>
        <v>0.14000000000000001</v>
      </c>
      <c r="I38" s="797">
        <f>'Scenario Analysis'!J100</f>
        <v>0.14000000000000001</v>
      </c>
      <c r="J38" s="797">
        <f>'Scenario Analysis'!K100</f>
        <v>0.14000000000000001</v>
      </c>
      <c r="K38" s="797">
        <f>'Scenario Analysis'!L100</f>
        <v>0.14000000000000001</v>
      </c>
      <c r="L38" s="798">
        <f>'Scenario Analysis'!M100</f>
        <v>0.14000000000000001</v>
      </c>
      <c r="M38" s="887"/>
      <c r="N38" s="887"/>
    </row>
    <row r="39" spans="1:14" ht="16.5" x14ac:dyDescent="0.3">
      <c r="A39" s="411" t="s">
        <v>695</v>
      </c>
      <c r="B39" s="519">
        <f t="shared" ref="B39:G39" si="18">B148/-B98</f>
        <v>8.3005532490892736E-2</v>
      </c>
      <c r="C39" s="519">
        <f t="shared" si="18"/>
        <v>9.026982565359741E-2</v>
      </c>
      <c r="D39" s="519">
        <f t="shared" si="18"/>
        <v>8.3728324987741645E-2</v>
      </c>
      <c r="E39" s="519">
        <f t="shared" si="18"/>
        <v>9.2550963418039658E-2</v>
      </c>
      <c r="F39" s="519">
        <f t="shared" si="18"/>
        <v>0.10406817352334553</v>
      </c>
      <c r="G39" s="1199">
        <f t="shared" si="18"/>
        <v>0.17178447519123854</v>
      </c>
      <c r="H39" s="1200">
        <f>'Scenario Analysis'!I101</f>
        <v>0.108</v>
      </c>
      <c r="I39" s="797">
        <f>'Scenario Analysis'!J101</f>
        <v>0.108</v>
      </c>
      <c r="J39" s="797">
        <f>'Scenario Analysis'!K101</f>
        <v>0.108</v>
      </c>
      <c r="K39" s="797">
        <f>'Scenario Analysis'!L101</f>
        <v>0.108</v>
      </c>
      <c r="L39" s="798">
        <f>'Scenario Analysis'!M101</f>
        <v>0.108</v>
      </c>
      <c r="M39" s="887"/>
      <c r="N39" s="887"/>
    </row>
    <row r="40" spans="1:14" ht="16.5" x14ac:dyDescent="0.3">
      <c r="A40" s="411" t="s">
        <v>692</v>
      </c>
      <c r="B40" s="519">
        <f t="shared" ref="B40:G40" si="19">B149/B78</f>
        <v>0</v>
      </c>
      <c r="C40" s="519">
        <f t="shared" si="19"/>
        <v>0</v>
      </c>
      <c r="D40" s="519">
        <f t="shared" si="19"/>
        <v>0</v>
      </c>
      <c r="E40" s="519">
        <f t="shared" si="19"/>
        <v>0.53658872022979198</v>
      </c>
      <c r="F40" s="519">
        <f t="shared" si="19"/>
        <v>0.51514453288646833</v>
      </c>
      <c r="G40" s="1199">
        <f t="shared" si="19"/>
        <v>0.43119869815971473</v>
      </c>
      <c r="H40" s="1200">
        <f>'Scenario Analysis'!I102</f>
        <v>0.51126818884963221</v>
      </c>
      <c r="I40" s="797">
        <f>'Scenario Analysis'!J102</f>
        <v>0.51126818884963221</v>
      </c>
      <c r="J40" s="797">
        <f>'Scenario Analysis'!K102</f>
        <v>0.51126818884963221</v>
      </c>
      <c r="K40" s="797">
        <f>'Scenario Analysis'!L102</f>
        <v>0.51126818884963221</v>
      </c>
      <c r="L40" s="798">
        <f>'Scenario Analysis'!M102</f>
        <v>0.51126818884963221</v>
      </c>
      <c r="M40" s="887"/>
      <c r="N40" s="887"/>
    </row>
    <row r="41" spans="1:14" ht="16.5" x14ac:dyDescent="0.3">
      <c r="A41" s="411" t="s">
        <v>621</v>
      </c>
      <c r="B41" s="572">
        <f>B150</f>
        <v>3479</v>
      </c>
      <c r="C41" s="572">
        <f t="shared" ref="C41:G42" si="20">C150</f>
        <v>1085</v>
      </c>
      <c r="D41" s="572">
        <f t="shared" si="20"/>
        <v>392</v>
      </c>
      <c r="E41" s="573">
        <f t="shared" si="20"/>
        <v>0</v>
      </c>
      <c r="F41" s="573">
        <f t="shared" si="20"/>
        <v>0</v>
      </c>
      <c r="G41" s="1202">
        <f t="shared" si="20"/>
        <v>0</v>
      </c>
      <c r="H41" s="1203">
        <f>'Scenario Analysis'!I103</f>
        <v>0</v>
      </c>
      <c r="I41" s="805">
        <f>'Scenario Analysis'!J103</f>
        <v>0</v>
      </c>
      <c r="J41" s="805">
        <f>'Scenario Analysis'!K103</f>
        <v>0</v>
      </c>
      <c r="K41" s="805">
        <f>'Scenario Analysis'!L103</f>
        <v>0</v>
      </c>
      <c r="L41" s="806">
        <f>'Scenario Analysis'!M103</f>
        <v>0</v>
      </c>
      <c r="M41" s="887"/>
      <c r="N41" s="887"/>
    </row>
    <row r="42" spans="1:14" ht="16.5" x14ac:dyDescent="0.3">
      <c r="A42" s="411" t="s">
        <v>693</v>
      </c>
      <c r="B42" s="519"/>
      <c r="C42" s="519">
        <f>(C151-B151)/C78</f>
        <v>3.2981551534427229E-2</v>
      </c>
      <c r="D42" s="519">
        <f>(D151-C151)/D78</f>
        <v>2.5533114000578217E-2</v>
      </c>
      <c r="E42" s="573">
        <f t="shared" si="20"/>
        <v>0</v>
      </c>
      <c r="F42" s="573">
        <f t="shared" si="20"/>
        <v>0</v>
      </c>
      <c r="G42" s="1202">
        <f>G151</f>
        <v>0</v>
      </c>
      <c r="H42" s="1203">
        <f>'Scenario Analysis'!I104</f>
        <v>0</v>
      </c>
      <c r="I42" s="805">
        <f>'Scenario Analysis'!J104</f>
        <v>0</v>
      </c>
      <c r="J42" s="805">
        <f>'Scenario Analysis'!K104</f>
        <v>0</v>
      </c>
      <c r="K42" s="805">
        <f>'Scenario Analysis'!L104</f>
        <v>0</v>
      </c>
      <c r="L42" s="806">
        <f>'Scenario Analysis'!M104</f>
        <v>0</v>
      </c>
      <c r="M42" s="887"/>
      <c r="N42" s="887"/>
    </row>
    <row r="43" spans="1:14" ht="16.5" x14ac:dyDescent="0.3">
      <c r="A43" s="411" t="s">
        <v>427</v>
      </c>
      <c r="B43" s="572">
        <f>B152</f>
        <v>2363</v>
      </c>
      <c r="C43" s="572">
        <f>C152</f>
        <v>29</v>
      </c>
      <c r="D43" s="572">
        <f>D152</f>
        <v>10</v>
      </c>
      <c r="E43" s="572">
        <f>E152</f>
        <v>5</v>
      </c>
      <c r="F43" s="572">
        <f>F152</f>
        <v>5</v>
      </c>
      <c r="G43" s="1204" t="str">
        <f>G152</f>
        <v>-</v>
      </c>
      <c r="H43" s="1205">
        <f>'Scenario Analysis'!I105</f>
        <v>0</v>
      </c>
      <c r="I43" s="799">
        <f>'Scenario Analysis'!J105</f>
        <v>0</v>
      </c>
      <c r="J43" s="799">
        <f>'Scenario Analysis'!K105</f>
        <v>0</v>
      </c>
      <c r="K43" s="799">
        <f>'Scenario Analysis'!L105</f>
        <v>0</v>
      </c>
      <c r="L43" s="800">
        <f>'Scenario Analysis'!M105</f>
        <v>0</v>
      </c>
      <c r="M43" s="887"/>
      <c r="N43" s="887"/>
    </row>
    <row r="44" spans="1:14" ht="16.5" x14ac:dyDescent="0.3">
      <c r="A44" s="411" t="s">
        <v>631</v>
      </c>
      <c r="B44" s="519"/>
      <c r="C44" s="519"/>
      <c r="D44" s="519"/>
      <c r="E44" s="519"/>
      <c r="F44" s="519"/>
      <c r="G44" s="1199">
        <f>G153/(G153+G159)</f>
        <v>7.3198159822797745E-2</v>
      </c>
      <c r="H44" s="1200">
        <f>'Scenario Analysis'!I53</f>
        <v>7.2999999999999995E-2</v>
      </c>
      <c r="I44" s="797">
        <f>'Scenario Analysis'!J53</f>
        <v>7.2999999999999995E-2</v>
      </c>
      <c r="J44" s="797">
        <f>'Scenario Analysis'!K53</f>
        <v>7.2999999999999995E-2</v>
      </c>
      <c r="K44" s="797">
        <f>'Scenario Analysis'!L53</f>
        <v>7.2999999999999995E-2</v>
      </c>
      <c r="L44" s="798">
        <f>'Scenario Analysis'!M53</f>
        <v>7.2999999999999995E-2</v>
      </c>
      <c r="M44" s="887"/>
      <c r="N44" s="887"/>
    </row>
    <row r="45" spans="1:14" ht="16.5" x14ac:dyDescent="0.3">
      <c r="A45" s="421" t="s">
        <v>644</v>
      </c>
      <c r="B45" s="519"/>
      <c r="C45" s="519"/>
      <c r="D45" s="519"/>
      <c r="E45" s="519"/>
      <c r="F45" s="519"/>
      <c r="G45" s="1199"/>
      <c r="H45" s="1200"/>
      <c r="I45" s="797"/>
      <c r="J45" s="797"/>
      <c r="K45" s="797"/>
      <c r="L45" s="798"/>
      <c r="M45" s="887"/>
      <c r="N45" s="887"/>
    </row>
    <row r="46" spans="1:14" ht="16.5" x14ac:dyDescent="0.3">
      <c r="A46" s="411" t="s">
        <v>691</v>
      </c>
      <c r="B46" s="519">
        <f>B155/B78</f>
        <v>3.8921197490901775E-2</v>
      </c>
      <c r="C46" s="519">
        <f>C155/C78</f>
        <v>6.4525455991133171E-2</v>
      </c>
      <c r="D46" s="519">
        <f>D155/D78</f>
        <v>3.0630953731523532E-2</v>
      </c>
      <c r="E46" s="519">
        <v>0</v>
      </c>
      <c r="F46" s="519">
        <v>0</v>
      </c>
      <c r="G46" s="1199">
        <v>0</v>
      </c>
      <c r="H46" s="1206">
        <f>'Scenario Analysis'!I55</f>
        <v>0</v>
      </c>
      <c r="I46" s="807">
        <f>'Scenario Analysis'!J55</f>
        <v>0</v>
      </c>
      <c r="J46" s="807">
        <f>'Scenario Analysis'!K55</f>
        <v>0</v>
      </c>
      <c r="K46" s="807">
        <f>'Scenario Analysis'!L55</f>
        <v>0</v>
      </c>
      <c r="L46" s="808">
        <f>'Scenario Analysis'!M55</f>
        <v>0</v>
      </c>
      <c r="M46" s="887"/>
      <c r="N46" s="887"/>
    </row>
    <row r="47" spans="1:14" ht="16.5" x14ac:dyDescent="0.3">
      <c r="A47" s="411" t="s">
        <v>695</v>
      </c>
      <c r="B47" s="519">
        <f t="shared" ref="B47:G47" si="21">B156/-B98</f>
        <v>4.354224769933774E-2</v>
      </c>
      <c r="C47" s="519">
        <f t="shared" si="21"/>
        <v>3.6732093608373789E-2</v>
      </c>
      <c r="D47" s="519">
        <f t="shared" si="21"/>
        <v>2.4799037161409191E-2</v>
      </c>
      <c r="E47" s="519">
        <f t="shared" si="21"/>
        <v>2.1949176207763196E-2</v>
      </c>
      <c r="F47" s="519">
        <f t="shared" si="21"/>
        <v>3.0691665888623883E-2</v>
      </c>
      <c r="G47" s="1199">
        <f t="shared" si="21"/>
        <v>2.0315177862308239E-2</v>
      </c>
      <c r="H47" s="1200">
        <f>'Scenario Analysis'!I109</f>
        <v>0.03</v>
      </c>
      <c r="I47" s="797">
        <f>'Scenario Analysis'!J109</f>
        <v>0.03</v>
      </c>
      <c r="J47" s="797">
        <f>'Scenario Analysis'!K109</f>
        <v>0.03</v>
      </c>
      <c r="K47" s="797">
        <f>'Scenario Analysis'!L109</f>
        <v>0.03</v>
      </c>
      <c r="L47" s="798">
        <f>'Scenario Analysis'!M109</f>
        <v>0.03</v>
      </c>
      <c r="M47" s="887"/>
      <c r="N47" s="887"/>
    </row>
    <row r="48" spans="1:14" ht="16.5" x14ac:dyDescent="0.3">
      <c r="A48" s="411" t="s">
        <v>427</v>
      </c>
      <c r="B48" s="572">
        <f t="shared" ref="B48:G49" si="22">B157</f>
        <v>29</v>
      </c>
      <c r="C48" s="937" t="str">
        <f t="shared" si="22"/>
        <v>-</v>
      </c>
      <c r="D48" s="937" t="str">
        <f t="shared" si="22"/>
        <v>-</v>
      </c>
      <c r="E48" s="937" t="str">
        <f t="shared" si="22"/>
        <v>-</v>
      </c>
      <c r="F48" s="937" t="str">
        <f t="shared" si="22"/>
        <v>-</v>
      </c>
      <c r="G48" s="1207">
        <f t="shared" si="22"/>
        <v>0</v>
      </c>
      <c r="H48" s="1205">
        <f>'Scenario Analysis'!I110</f>
        <v>0</v>
      </c>
      <c r="I48" s="799">
        <f>'Scenario Analysis'!J110</f>
        <v>0</v>
      </c>
      <c r="J48" s="799">
        <f>'Scenario Analysis'!K110</f>
        <v>0</v>
      </c>
      <c r="K48" s="799">
        <f>'Scenario Analysis'!L110</f>
        <v>0</v>
      </c>
      <c r="L48" s="800">
        <f>'Scenario Analysis'!M110</f>
        <v>0</v>
      </c>
      <c r="M48" s="887"/>
      <c r="N48" s="887"/>
    </row>
    <row r="49" spans="1:14" ht="16.5" x14ac:dyDescent="0.3">
      <c r="A49" s="411" t="s">
        <v>623</v>
      </c>
      <c r="B49" s="520">
        <f t="shared" si="22"/>
        <v>1695</v>
      </c>
      <c r="C49" s="520">
        <f t="shared" si="22"/>
        <v>1625</v>
      </c>
      <c r="D49" s="520">
        <f t="shared" si="22"/>
        <v>1423</v>
      </c>
      <c r="E49" s="520">
        <f t="shared" si="22"/>
        <v>1241</v>
      </c>
      <c r="F49" s="520">
        <f t="shared" si="22"/>
        <v>837</v>
      </c>
      <c r="G49" s="891">
        <f t="shared" si="22"/>
        <v>147</v>
      </c>
      <c r="H49" s="1205">
        <f>'Scenario Analysis'!I111</f>
        <v>147</v>
      </c>
      <c r="I49" s="799">
        <f>'Scenario Analysis'!J111</f>
        <v>147</v>
      </c>
      <c r="J49" s="799">
        <f>'Scenario Analysis'!K111</f>
        <v>147</v>
      </c>
      <c r="K49" s="799">
        <f>'Scenario Analysis'!L111</f>
        <v>147</v>
      </c>
      <c r="L49" s="800">
        <f>'Scenario Analysis'!M111</f>
        <v>147</v>
      </c>
      <c r="M49" s="938"/>
      <c r="N49" s="938"/>
    </row>
    <row r="50" spans="1:14" ht="16.5" x14ac:dyDescent="0.3">
      <c r="A50" s="411" t="s">
        <v>632</v>
      </c>
      <c r="G50" s="1199">
        <f>G159/(G153+G159)</f>
        <v>0.92680184017720224</v>
      </c>
      <c r="H50" s="1200">
        <f>'Scenario Analysis'!I59</f>
        <v>0.92700000000000005</v>
      </c>
      <c r="I50" s="797">
        <f>'Scenario Analysis'!J59</f>
        <v>0.92700000000000005</v>
      </c>
      <c r="J50" s="797">
        <f>'Scenario Analysis'!K59</f>
        <v>0.92700000000000005</v>
      </c>
      <c r="K50" s="797">
        <f>'Scenario Analysis'!L59</f>
        <v>0.92700000000000005</v>
      </c>
      <c r="L50" s="798">
        <f>'Scenario Analysis'!M59</f>
        <v>0.92700000000000005</v>
      </c>
      <c r="M50" s="887"/>
      <c r="N50" s="887"/>
    </row>
    <row r="51" spans="1:14" ht="16.5" x14ac:dyDescent="0.3">
      <c r="A51" s="421" t="s">
        <v>449</v>
      </c>
      <c r="G51" s="895"/>
      <c r="L51" s="801"/>
    </row>
    <row r="52" spans="1:14" ht="16.5" x14ac:dyDescent="0.3">
      <c r="A52" s="411" t="s">
        <v>430</v>
      </c>
      <c r="G52" s="895"/>
      <c r="L52" s="801"/>
    </row>
    <row r="53" spans="1:14" ht="16.5" x14ac:dyDescent="0.3">
      <c r="A53" s="935" t="s">
        <v>431</v>
      </c>
      <c r="B53" s="770"/>
      <c r="C53" s="770"/>
      <c r="D53" s="770"/>
      <c r="E53" s="770"/>
      <c r="F53" s="770"/>
      <c r="G53" s="936"/>
      <c r="H53" s="799">
        <f>'Scenario Analysis'!I62</f>
        <v>0</v>
      </c>
      <c r="I53" s="799">
        <f>'Scenario Analysis'!J62</f>
        <v>0</v>
      </c>
      <c r="J53" s="799">
        <f>'Scenario Analysis'!K62</f>
        <v>0</v>
      </c>
      <c r="K53" s="799">
        <f>'Scenario Analysis'!L62</f>
        <v>0</v>
      </c>
      <c r="L53" s="800">
        <f>'Scenario Analysis'!M62</f>
        <v>0</v>
      </c>
    </row>
    <row r="54" spans="1:14" x14ac:dyDescent="0.2">
      <c r="G54" s="895"/>
      <c r="L54" s="801"/>
    </row>
    <row r="55" spans="1:14" x14ac:dyDescent="0.2">
      <c r="G55" s="895"/>
      <c r="L55" s="801"/>
    </row>
    <row r="56" spans="1:14" x14ac:dyDescent="0.2">
      <c r="C56" s="1064"/>
      <c r="D56" s="1064"/>
      <c r="E56" s="1064"/>
      <c r="F56" s="1064"/>
      <c r="G56" s="1064"/>
      <c r="H56" s="1291"/>
      <c r="L56" s="801"/>
    </row>
    <row r="57" spans="1:14" x14ac:dyDescent="0.2">
      <c r="B57" s="469"/>
      <c r="G57" s="895"/>
      <c r="L57" s="801"/>
    </row>
    <row r="58" spans="1:14" s="1293" customFormat="1" ht="19.5" thickBot="1" x14ac:dyDescent="0.35">
      <c r="A58" s="1292" t="s">
        <v>432</v>
      </c>
      <c r="G58" s="1294"/>
      <c r="H58" s="1301" t="s">
        <v>536</v>
      </c>
      <c r="I58" s="1301"/>
      <c r="J58" s="1301"/>
      <c r="K58" s="1301"/>
      <c r="L58" s="1302"/>
      <c r="M58" s="1296"/>
    </row>
    <row r="59" spans="1:14" ht="25.5" x14ac:dyDescent="0.2">
      <c r="A59" s="90" t="s">
        <v>73</v>
      </c>
      <c r="B59" s="92" t="s">
        <v>47</v>
      </c>
      <c r="C59" s="495" t="s">
        <v>46</v>
      </c>
      <c r="D59" s="496" t="s">
        <v>532</v>
      </c>
      <c r="E59" s="496" t="s">
        <v>533</v>
      </c>
      <c r="F59" s="496" t="s">
        <v>534</v>
      </c>
      <c r="G59" s="897" t="s">
        <v>535</v>
      </c>
      <c r="H59" s="496" t="s">
        <v>537</v>
      </c>
      <c r="I59" s="496" t="s">
        <v>538</v>
      </c>
      <c r="J59" s="496" t="s">
        <v>539</v>
      </c>
      <c r="K59" s="496" t="s">
        <v>540</v>
      </c>
      <c r="L59" s="809" t="s">
        <v>541</v>
      </c>
    </row>
    <row r="60" spans="1:14" x14ac:dyDescent="0.2">
      <c r="A60" s="494" t="s">
        <v>519</v>
      </c>
      <c r="B60" s="497">
        <v>218724</v>
      </c>
      <c r="C60" s="498">
        <v>249018</v>
      </c>
      <c r="D60" s="499">
        <v>273253</v>
      </c>
      <c r="E60" s="499">
        <v>298650</v>
      </c>
      <c r="F60" s="499">
        <v>286440</v>
      </c>
      <c r="G60" s="898">
        <v>299018</v>
      </c>
      <c r="H60" s="499">
        <f>H78</f>
        <v>367725.60000000003</v>
      </c>
      <c r="I60" s="499">
        <f>I78</f>
        <v>404498.16000000009</v>
      </c>
      <c r="J60" s="499">
        <f>J78</f>
        <v>444947.97600000014</v>
      </c>
      <c r="K60" s="499">
        <f>K78</f>
        <v>489442.77360000019</v>
      </c>
      <c r="L60" s="810">
        <f>L78</f>
        <v>538387.05096000026</v>
      </c>
    </row>
    <row r="61" spans="1:14" x14ac:dyDescent="0.2">
      <c r="A61" s="79" t="s">
        <v>521</v>
      </c>
      <c r="G61" s="895"/>
      <c r="L61" s="801"/>
    </row>
    <row r="62" spans="1:14" x14ac:dyDescent="0.2">
      <c r="A62" s="480" t="s">
        <v>522</v>
      </c>
      <c r="B62" s="492">
        <v>49294</v>
      </c>
      <c r="C62" s="492">
        <v>56165</v>
      </c>
      <c r="D62" s="492">
        <v>61693</v>
      </c>
      <c r="E62" s="510"/>
      <c r="F62" s="510">
        <v>0</v>
      </c>
      <c r="G62" s="899">
        <v>0</v>
      </c>
      <c r="H62" s="510">
        <v>0</v>
      </c>
      <c r="I62" s="510">
        <v>0</v>
      </c>
      <c r="J62" s="510">
        <v>0</v>
      </c>
      <c r="K62" s="510">
        <v>0</v>
      </c>
      <c r="L62" s="811">
        <v>0</v>
      </c>
    </row>
    <row r="63" spans="1:14" x14ac:dyDescent="0.2">
      <c r="A63" s="480" t="s">
        <v>523</v>
      </c>
      <c r="B63" s="492">
        <v>55449</v>
      </c>
      <c r="C63" s="492">
        <v>60026</v>
      </c>
      <c r="D63" s="492">
        <v>64335</v>
      </c>
      <c r="E63" s="510"/>
      <c r="F63" s="510">
        <v>0</v>
      </c>
      <c r="G63" s="899">
        <v>0</v>
      </c>
      <c r="H63" s="510">
        <v>0</v>
      </c>
      <c r="I63" s="510">
        <v>0</v>
      </c>
      <c r="J63" s="510">
        <v>0</v>
      </c>
      <c r="K63" s="510">
        <v>0</v>
      </c>
      <c r="L63" s="811">
        <v>0</v>
      </c>
    </row>
    <row r="64" spans="1:14" x14ac:dyDescent="0.2">
      <c r="A64" s="480" t="s">
        <v>524</v>
      </c>
      <c r="B64" s="492">
        <v>95346</v>
      </c>
      <c r="C64" s="492">
        <v>108480</v>
      </c>
      <c r="D64" s="492">
        <v>119929</v>
      </c>
      <c r="E64" s="510"/>
      <c r="F64" s="510">
        <v>0</v>
      </c>
      <c r="G64" s="899">
        <v>0</v>
      </c>
      <c r="H64" s="510">
        <v>0</v>
      </c>
      <c r="I64" s="510">
        <v>0</v>
      </c>
      <c r="J64" s="510">
        <v>0</v>
      </c>
      <c r="K64" s="510">
        <v>0</v>
      </c>
      <c r="L64" s="811">
        <v>0</v>
      </c>
    </row>
    <row r="65" spans="1:14" x14ac:dyDescent="0.2">
      <c r="A65" s="480" t="s">
        <v>525</v>
      </c>
      <c r="B65" s="492">
        <v>10186</v>
      </c>
      <c r="C65" s="492">
        <v>11102</v>
      </c>
      <c r="D65" s="492">
        <v>7013</v>
      </c>
      <c r="E65" s="510"/>
      <c r="F65" s="510">
        <v>0</v>
      </c>
      <c r="G65" s="899">
        <v>0</v>
      </c>
      <c r="H65" s="510">
        <v>0</v>
      </c>
      <c r="I65" s="510">
        <v>0</v>
      </c>
      <c r="J65" s="510">
        <v>0</v>
      </c>
      <c r="K65" s="510">
        <v>0</v>
      </c>
      <c r="L65" s="811">
        <v>0</v>
      </c>
    </row>
    <row r="66" spans="1:14" x14ac:dyDescent="0.2">
      <c r="A66" s="480" t="s">
        <v>526</v>
      </c>
      <c r="B66" s="492">
        <v>4124</v>
      </c>
      <c r="C66" s="492">
        <v>10111</v>
      </c>
      <c r="D66" s="492">
        <v>18636</v>
      </c>
      <c r="E66" s="510"/>
      <c r="F66" s="510">
        <v>0</v>
      </c>
      <c r="G66" s="899">
        <v>0</v>
      </c>
      <c r="H66" s="510">
        <v>0</v>
      </c>
      <c r="I66" s="510">
        <v>0</v>
      </c>
      <c r="J66" s="510">
        <v>0</v>
      </c>
      <c r="K66" s="510">
        <v>0</v>
      </c>
      <c r="L66" s="811">
        <v>0</v>
      </c>
    </row>
    <row r="67" spans="1:14" s="410" customFormat="1" x14ac:dyDescent="0.2">
      <c r="A67" s="480" t="s">
        <v>582</v>
      </c>
      <c r="B67" s="510">
        <v>0</v>
      </c>
      <c r="C67" s="510">
        <v>0</v>
      </c>
      <c r="D67" s="510">
        <v>0</v>
      </c>
      <c r="E67" s="492">
        <v>58110</v>
      </c>
      <c r="F67" s="492">
        <v>81466</v>
      </c>
      <c r="G67" s="900">
        <v>140000</v>
      </c>
      <c r="H67" s="877">
        <f>G67/$G$71*$H$78</f>
        <v>155020.18693389866</v>
      </c>
      <c r="I67" s="812">
        <f>H67/$G$71*$H$78</f>
        <v>171651.84540729201</v>
      </c>
      <c r="J67" s="812">
        <f>I67/$G$71*$H$78</f>
        <v>190067.86544705054</v>
      </c>
      <c r="K67" s="812">
        <f>J67/$G$71*$H$78</f>
        <v>210459.68594092052</v>
      </c>
      <c r="L67" s="813">
        <f>K67/$G$71*$H$78</f>
        <v>233039.28469007931</v>
      </c>
      <c r="N67" s="941">
        <f>G67*0.12</f>
        <v>16800</v>
      </c>
    </row>
    <row r="68" spans="1:14" s="410" customFormat="1" x14ac:dyDescent="0.2">
      <c r="A68" s="888" t="s">
        <v>583</v>
      </c>
      <c r="B68" s="510">
        <v>0</v>
      </c>
      <c r="C68" s="510">
        <v>0</v>
      </c>
      <c r="D68" s="510">
        <v>0</v>
      </c>
      <c r="E68" s="492">
        <v>28660</v>
      </c>
      <c r="F68" s="492">
        <v>40622</v>
      </c>
      <c r="G68" s="900">
        <v>27342</v>
      </c>
      <c r="H68" s="812">
        <f t="shared" ref="H68:L70" si="23">G68/$G$71*$H$78</f>
        <v>30275.442508190405</v>
      </c>
      <c r="I68" s="812">
        <f t="shared" si="23"/>
        <v>33523.605408044124</v>
      </c>
      <c r="J68" s="812">
        <f t="shared" si="23"/>
        <v>37120.254121808975</v>
      </c>
      <c r="K68" s="812">
        <f t="shared" si="23"/>
        <v>41102.776664261779</v>
      </c>
      <c r="L68" s="813">
        <f t="shared" si="23"/>
        <v>45512.572299972489</v>
      </c>
    </row>
    <row r="69" spans="1:14" s="410" customFormat="1" x14ac:dyDescent="0.2">
      <c r="A69" s="480" t="s">
        <v>584</v>
      </c>
      <c r="B69" s="510">
        <v>0</v>
      </c>
      <c r="C69" s="510">
        <v>0</v>
      </c>
      <c r="D69" s="510">
        <v>0</v>
      </c>
      <c r="E69" s="492">
        <v>103022</v>
      </c>
      <c r="F69" s="492">
        <v>101307</v>
      </c>
      <c r="G69" s="900">
        <v>102272</v>
      </c>
      <c r="H69" s="812">
        <f t="shared" si="23"/>
        <v>113244.46112931203</v>
      </c>
      <c r="I69" s="812">
        <f t="shared" si="23"/>
        <v>125394.12523924692</v>
      </c>
      <c r="J69" s="812">
        <f t="shared" si="23"/>
        <v>138847.29096429111</v>
      </c>
      <c r="K69" s="812">
        <f t="shared" si="23"/>
        <v>153743.80714678444</v>
      </c>
      <c r="L69" s="813">
        <f t="shared" si="23"/>
        <v>170238.52659874136</v>
      </c>
    </row>
    <row r="70" spans="1:14" s="410" customFormat="1" x14ac:dyDescent="0.2">
      <c r="A70" s="480" t="s">
        <v>585</v>
      </c>
      <c r="B70" s="510">
        <v>0</v>
      </c>
      <c r="C70" s="510">
        <v>0</v>
      </c>
      <c r="D70" s="510">
        <v>0</v>
      </c>
      <c r="E70" s="492">
        <v>63197</v>
      </c>
      <c r="F70" s="492">
        <v>61599</v>
      </c>
      <c r="G70" s="900">
        <v>62482</v>
      </c>
      <c r="H70" s="877">
        <f>G70/$G$71*$H$78</f>
        <v>69185.509428598976</v>
      </c>
      <c r="I70" s="812">
        <f t="shared" si="23"/>
        <v>76608.218605274436</v>
      </c>
      <c r="J70" s="812">
        <f t="shared" si="23"/>
        <v>84827.28834901868</v>
      </c>
      <c r="K70" s="812">
        <f t="shared" si="23"/>
        <v>93928.157835432852</v>
      </c>
      <c r="L70" s="813">
        <f t="shared" si="23"/>
        <v>104005.43275718241</v>
      </c>
    </row>
    <row r="71" spans="1:14" x14ac:dyDescent="0.2">
      <c r="A71" s="449" t="s">
        <v>577</v>
      </c>
      <c r="B71" s="511">
        <f t="shared" ref="B71:L71" si="24">SUM(B62:B70)</f>
        <v>214399</v>
      </c>
      <c r="C71" s="511">
        <f t="shared" si="24"/>
        <v>245884</v>
      </c>
      <c r="D71" s="511">
        <f t="shared" si="24"/>
        <v>271606</v>
      </c>
      <c r="E71" s="511">
        <f t="shared" si="24"/>
        <v>252989</v>
      </c>
      <c r="F71" s="511">
        <f t="shared" si="24"/>
        <v>284994</v>
      </c>
      <c r="G71" s="901">
        <f t="shared" si="24"/>
        <v>332096</v>
      </c>
      <c r="H71" s="511">
        <f t="shared" si="24"/>
        <v>367725.60000000003</v>
      </c>
      <c r="I71" s="511">
        <f t="shared" si="24"/>
        <v>407177.79465985752</v>
      </c>
      <c r="J71" s="511">
        <f t="shared" si="24"/>
        <v>450862.69888216932</v>
      </c>
      <c r="K71" s="511">
        <f t="shared" si="24"/>
        <v>499234.42758739961</v>
      </c>
      <c r="L71" s="814">
        <f t="shared" si="24"/>
        <v>552795.81634597562</v>
      </c>
    </row>
    <row r="72" spans="1:14" x14ac:dyDescent="0.2">
      <c r="A72" t="s">
        <v>433</v>
      </c>
      <c r="B72" s="509"/>
      <c r="C72" s="509"/>
      <c r="D72" s="508"/>
      <c r="E72" s="508"/>
      <c r="F72" s="508"/>
      <c r="G72" s="902"/>
      <c r="H72" s="508"/>
      <c r="I72" s="508"/>
      <c r="J72" s="508"/>
      <c r="K72" s="508"/>
      <c r="L72" s="815"/>
    </row>
    <row r="73" spans="1:14" x14ac:dyDescent="0.2">
      <c r="A73" s="480" t="s">
        <v>527</v>
      </c>
      <c r="B73" s="510">
        <v>1492</v>
      </c>
      <c r="C73" s="510">
        <v>1530</v>
      </c>
      <c r="D73" s="510">
        <v>273</v>
      </c>
      <c r="E73" s="510">
        <v>0</v>
      </c>
      <c r="F73" s="510">
        <v>0</v>
      </c>
      <c r="G73" s="899">
        <v>0</v>
      </c>
      <c r="H73" s="510">
        <v>0</v>
      </c>
      <c r="I73" s="510">
        <v>0</v>
      </c>
      <c r="J73" s="510">
        <v>0</v>
      </c>
      <c r="K73" s="510">
        <v>0</v>
      </c>
      <c r="L73" s="811">
        <v>0</v>
      </c>
    </row>
    <row r="74" spans="1:14" x14ac:dyDescent="0.2">
      <c r="A74" s="480" t="s">
        <v>528</v>
      </c>
      <c r="B74" s="510">
        <v>1608</v>
      </c>
      <c r="C74" s="510">
        <v>876</v>
      </c>
      <c r="D74" s="510">
        <v>728</v>
      </c>
      <c r="E74" s="492">
        <v>735</v>
      </c>
      <c r="F74" s="510">
        <v>634</v>
      </c>
      <c r="G74" s="899">
        <v>800</v>
      </c>
      <c r="H74" s="510">
        <v>0</v>
      </c>
      <c r="I74" s="510">
        <v>0</v>
      </c>
      <c r="J74" s="510">
        <v>0</v>
      </c>
      <c r="K74" s="510">
        <v>0</v>
      </c>
      <c r="L74" s="811">
        <v>0</v>
      </c>
    </row>
    <row r="75" spans="1:14" x14ac:dyDescent="0.2">
      <c r="A75" s="480" t="s">
        <v>529</v>
      </c>
      <c r="B75" s="510">
        <v>167</v>
      </c>
      <c r="C75" s="510">
        <v>62</v>
      </c>
      <c r="D75" s="510">
        <v>0</v>
      </c>
      <c r="E75" s="510">
        <v>0</v>
      </c>
      <c r="F75" s="510">
        <v>0</v>
      </c>
      <c r="G75" s="899">
        <v>200</v>
      </c>
      <c r="H75" s="510">
        <v>0</v>
      </c>
      <c r="I75" s="510">
        <v>0</v>
      </c>
      <c r="J75" s="510">
        <v>0</v>
      </c>
      <c r="K75" s="510">
        <v>0</v>
      </c>
      <c r="L75" s="811">
        <v>0</v>
      </c>
    </row>
    <row r="76" spans="1:14" x14ac:dyDescent="0.2">
      <c r="A76" s="480" t="s">
        <v>530</v>
      </c>
      <c r="B76" s="510">
        <v>1058</v>
      </c>
      <c r="C76" s="510">
        <v>666</v>
      </c>
      <c r="D76" s="510">
        <v>646</v>
      </c>
      <c r="E76" s="510">
        <v>767</v>
      </c>
      <c r="F76" s="510">
        <v>812</v>
      </c>
      <c r="G76" s="899">
        <v>1200</v>
      </c>
      <c r="H76" s="510">
        <v>0</v>
      </c>
      <c r="I76" s="510">
        <v>0</v>
      </c>
      <c r="J76" s="510">
        <v>0</v>
      </c>
      <c r="K76" s="510">
        <v>0</v>
      </c>
      <c r="L76" s="811">
        <v>0</v>
      </c>
    </row>
    <row r="77" spans="1:14" x14ac:dyDescent="0.2">
      <c r="A77" s="482" t="s">
        <v>531</v>
      </c>
      <c r="B77" s="506">
        <f>SUM(B73:B76)</f>
        <v>4325</v>
      </c>
      <c r="C77" s="507">
        <f>SUM(C73:C76)</f>
        <v>3134</v>
      </c>
      <c r="D77" s="507">
        <f t="shared" ref="D77:L77" si="25">SUM(D73:D76)</f>
        <v>1647</v>
      </c>
      <c r="E77" s="507">
        <f t="shared" si="25"/>
        <v>1502</v>
      </c>
      <c r="F77" s="507">
        <f t="shared" si="25"/>
        <v>1446</v>
      </c>
      <c r="G77" s="903">
        <f t="shared" si="25"/>
        <v>2200</v>
      </c>
      <c r="H77" s="506">
        <f t="shared" si="25"/>
        <v>0</v>
      </c>
      <c r="I77" s="507">
        <f t="shared" si="25"/>
        <v>0</v>
      </c>
      <c r="J77" s="507">
        <f t="shared" si="25"/>
        <v>0</v>
      </c>
      <c r="K77" s="507">
        <f t="shared" si="25"/>
        <v>0</v>
      </c>
      <c r="L77" s="816">
        <f t="shared" si="25"/>
        <v>0</v>
      </c>
    </row>
    <row r="78" spans="1:14" x14ac:dyDescent="0.2">
      <c r="A78" s="481" t="s">
        <v>542</v>
      </c>
      <c r="B78" s="515">
        <f t="shared" ref="B78:G78" si="26">SUM(B77,B71)</f>
        <v>218724</v>
      </c>
      <c r="C78" s="516">
        <f t="shared" si="26"/>
        <v>249018</v>
      </c>
      <c r="D78" s="516">
        <f t="shared" si="26"/>
        <v>273253</v>
      </c>
      <c r="E78" s="516">
        <f t="shared" si="26"/>
        <v>254491</v>
      </c>
      <c r="F78" s="516">
        <f t="shared" si="26"/>
        <v>286440</v>
      </c>
      <c r="G78" s="904">
        <f t="shared" si="26"/>
        <v>334296</v>
      </c>
      <c r="H78" s="515">
        <f>G78*(1+H7)</f>
        <v>367725.60000000003</v>
      </c>
      <c r="I78" s="516">
        <f>H78*(1+I7)</f>
        <v>404498.16000000009</v>
      </c>
      <c r="J78" s="516">
        <f>I78*(1+J7)</f>
        <v>444947.97600000014</v>
      </c>
      <c r="K78" s="516">
        <f>J78*(1+K7)</f>
        <v>489442.77360000019</v>
      </c>
      <c r="L78" s="817">
        <f>K78*(1+L7)</f>
        <v>538387.05096000026</v>
      </c>
    </row>
    <row r="79" spans="1:14" x14ac:dyDescent="0.2">
      <c r="A79" s="480" t="s">
        <v>31</v>
      </c>
      <c r="B79" s="492">
        <v>-21713</v>
      </c>
      <c r="C79" s="492">
        <v>-23965</v>
      </c>
      <c r="D79" s="492">
        <v>-24766</v>
      </c>
      <c r="E79" s="492">
        <v>-24512</v>
      </c>
      <c r="F79" s="492">
        <v>-22011</v>
      </c>
      <c r="G79" s="900">
        <v>-19130</v>
      </c>
      <c r="H79" s="469">
        <f>-H78*H9</f>
        <v>-33463.029600000002</v>
      </c>
      <c r="I79" s="469">
        <f>-I78*I9</f>
        <v>-36809.33256000001</v>
      </c>
      <c r="J79" s="469">
        <f>-J78*J9</f>
        <v>-40490.265816000014</v>
      </c>
      <c r="K79" s="469">
        <f>-K78*K9</f>
        <v>-44539.292397600017</v>
      </c>
      <c r="L79" s="818">
        <f>-L78*L9</f>
        <v>-48993.221637360024</v>
      </c>
    </row>
    <row r="80" spans="1:14" x14ac:dyDescent="0.2">
      <c r="A80" s="480" t="s">
        <v>32</v>
      </c>
      <c r="B80" s="492">
        <v>-3189</v>
      </c>
      <c r="C80" s="492">
        <v>-7575</v>
      </c>
      <c r="D80" s="492">
        <v>-9611</v>
      </c>
      <c r="E80" s="492">
        <v>-11884</v>
      </c>
      <c r="F80" s="492">
        <v>-16965</v>
      </c>
      <c r="G80" s="900">
        <v>-19479</v>
      </c>
      <c r="H80" s="469">
        <f>-H78*H10</f>
        <v>-22798.987200000003</v>
      </c>
      <c r="I80" s="469">
        <f>-I78*I10</f>
        <v>-25078.885920000004</v>
      </c>
      <c r="J80" s="469">
        <f>-J78*J10</f>
        <v>-27586.774512000007</v>
      </c>
      <c r="K80" s="469">
        <f>-K78*K10</f>
        <v>-30345.451963200012</v>
      </c>
      <c r="L80" s="818">
        <f>-L78*L10</f>
        <v>-33379.997159520019</v>
      </c>
    </row>
    <row r="81" spans="1:12" x14ac:dyDescent="0.2">
      <c r="A81" s="93" t="s">
        <v>107</v>
      </c>
      <c r="B81" s="502">
        <f t="shared" ref="B81:L81" si="27">SUM(B79:B80)</f>
        <v>-24902</v>
      </c>
      <c r="C81" s="502">
        <f t="shared" si="27"/>
        <v>-31540</v>
      </c>
      <c r="D81" s="502">
        <f t="shared" si="27"/>
        <v>-34377</v>
      </c>
      <c r="E81" s="502">
        <f t="shared" si="27"/>
        <v>-36396</v>
      </c>
      <c r="F81" s="502">
        <f t="shared" si="27"/>
        <v>-38976</v>
      </c>
      <c r="G81" s="905">
        <f t="shared" si="27"/>
        <v>-38609</v>
      </c>
      <c r="H81" s="564">
        <f t="shared" si="27"/>
        <v>-56262.016800000005</v>
      </c>
      <c r="I81" s="564">
        <f t="shared" si="27"/>
        <v>-61888.21848000001</v>
      </c>
      <c r="J81" s="564">
        <f t="shared" si="27"/>
        <v>-68077.040328000017</v>
      </c>
      <c r="K81" s="564">
        <f t="shared" si="27"/>
        <v>-74884.744360800032</v>
      </c>
      <c r="L81" s="819">
        <f t="shared" si="27"/>
        <v>-82373.218796880043</v>
      </c>
    </row>
    <row r="82" spans="1:12" x14ac:dyDescent="0.2">
      <c r="A82" s="475" t="s">
        <v>33</v>
      </c>
      <c r="B82" s="492">
        <v>-8376</v>
      </c>
      <c r="C82" s="492">
        <v>-9033</v>
      </c>
      <c r="D82" s="492">
        <v>-7750</v>
      </c>
      <c r="E82" s="492">
        <v>-9588</v>
      </c>
      <c r="F82" s="492">
        <v>-10808</v>
      </c>
      <c r="G82" s="900">
        <v>-3259</v>
      </c>
      <c r="H82" s="469">
        <f>H11</f>
        <v>-4700</v>
      </c>
      <c r="I82" s="469">
        <f>I11</f>
        <v>-4900</v>
      </c>
      <c r="J82" s="469">
        <f>J11</f>
        <v>-5000</v>
      </c>
      <c r="K82" s="469">
        <f>K11</f>
        <v>-5100</v>
      </c>
      <c r="L82" s="818">
        <f>L11</f>
        <v>-5259</v>
      </c>
    </row>
    <row r="83" spans="1:12" x14ac:dyDescent="0.2">
      <c r="A83" s="476" t="s">
        <v>34</v>
      </c>
      <c r="B83" s="492">
        <v>-12303</v>
      </c>
      <c r="C83" s="492">
        <v>-13665</v>
      </c>
      <c r="D83" s="492">
        <v>-16421</v>
      </c>
      <c r="E83" s="492">
        <v>-18951</v>
      </c>
      <c r="F83" s="492">
        <v>-17285</v>
      </c>
      <c r="G83" s="900">
        <v>-18312</v>
      </c>
      <c r="H83" s="469">
        <f>-H78*H12</f>
        <v>-22431.261600000002</v>
      </c>
      <c r="I83" s="469">
        <f>-I78*I12</f>
        <v>-24674.387760000005</v>
      </c>
      <c r="J83" s="469">
        <f>-J78*J12</f>
        <v>-27141.826536000008</v>
      </c>
      <c r="K83" s="469">
        <f>-K78*K12</f>
        <v>-29856.009189600012</v>
      </c>
      <c r="L83" s="818">
        <f>-L78*L12</f>
        <v>-32841.610108560017</v>
      </c>
    </row>
    <row r="84" spans="1:12" x14ac:dyDescent="0.2">
      <c r="A84" s="476" t="s">
        <v>35</v>
      </c>
      <c r="B84" s="492">
        <v>-4157</v>
      </c>
      <c r="C84" s="492">
        <v>-3924</v>
      </c>
      <c r="D84" s="492">
        <v>-4237</v>
      </c>
      <c r="E84" s="492">
        <v>-5102</v>
      </c>
      <c r="F84" s="492">
        <v>-6127</v>
      </c>
      <c r="G84" s="900">
        <v>-18638</v>
      </c>
      <c r="H84" s="469">
        <f>H216+H233+H252+H263+H273+H280+H287</f>
        <v>-13753.946346993976</v>
      </c>
      <c r="I84" s="469">
        <f>I216+I233+I252+I263+I273+I280+I287</f>
        <v>-12003.356214271096</v>
      </c>
      <c r="J84" s="469">
        <f>J216+J233+J252+J263+J273+J280+J287</f>
        <v>-10670.053004629292</v>
      </c>
      <c r="K84" s="469">
        <f>K216+K233+K252+K263+K273+K280+K287</f>
        <v>-9642.2335325561708</v>
      </c>
      <c r="L84" s="818">
        <f>L216+L233+L252+L263+L273+L280+L287</f>
        <v>-8840.2462673956361</v>
      </c>
    </row>
    <row r="85" spans="1:12" x14ac:dyDescent="0.2">
      <c r="A85" s="452" t="s">
        <v>543</v>
      </c>
      <c r="B85" s="492"/>
      <c r="C85" s="492"/>
      <c r="D85" s="492"/>
      <c r="E85" s="492"/>
      <c r="F85" s="492"/>
      <c r="G85" s="900"/>
      <c r="L85" s="801"/>
    </row>
    <row r="86" spans="1:12" x14ac:dyDescent="0.2">
      <c r="A86" s="483" t="s">
        <v>546</v>
      </c>
      <c r="B86" s="492">
        <v>2799</v>
      </c>
      <c r="C86" s="492">
        <v>3188</v>
      </c>
      <c r="D86" s="492">
        <v>3688</v>
      </c>
      <c r="E86" s="492">
        <v>3896</v>
      </c>
      <c r="F86" s="492">
        <v>3710</v>
      </c>
      <c r="G86" s="900">
        <v>3905</v>
      </c>
      <c r="H86" s="469">
        <f>-H216</f>
        <v>2984.8474144975798</v>
      </c>
      <c r="I86" s="469">
        <f>-I216</f>
        <v>2893.046495559131</v>
      </c>
      <c r="J86" s="469">
        <f>-J216</f>
        <v>2831.796556165998</v>
      </c>
      <c r="K86" s="469">
        <f>-K216</f>
        <v>2790.9303522211562</v>
      </c>
      <c r="L86" s="818">
        <f>-L216</f>
        <v>2763.6642578966835</v>
      </c>
    </row>
    <row r="87" spans="1:12" s="410" customFormat="1" ht="14.25" x14ac:dyDescent="0.2">
      <c r="A87" s="483" t="s">
        <v>580</v>
      </c>
      <c r="B87" s="1298"/>
      <c r="C87" s="1298"/>
      <c r="D87" s="1298"/>
      <c r="E87" s="1298"/>
      <c r="F87" s="1298"/>
      <c r="G87" s="900">
        <v>5791</v>
      </c>
      <c r="H87" s="812">
        <f>-H233</f>
        <v>2378.6</v>
      </c>
      <c r="I87" s="812">
        <f>-I233</f>
        <v>2378.6</v>
      </c>
      <c r="J87" s="812">
        <f>-J233</f>
        <v>2378.6</v>
      </c>
      <c r="K87" s="812">
        <f>-K233</f>
        <v>2378.6</v>
      </c>
      <c r="L87" s="813">
        <f>-L233</f>
        <v>2378.6</v>
      </c>
    </row>
    <row r="88" spans="1:12" s="410" customFormat="1" x14ac:dyDescent="0.2">
      <c r="A88" s="501" t="s">
        <v>581</v>
      </c>
      <c r="B88" s="503">
        <f>SUM(B86:B87)</f>
        <v>2799</v>
      </c>
      <c r="C88" s="503">
        <f t="shared" ref="C88:L88" si="28">SUM(C86:C87)</f>
        <v>3188</v>
      </c>
      <c r="D88" s="503">
        <f t="shared" si="28"/>
        <v>3688</v>
      </c>
      <c r="E88" s="503">
        <f t="shared" si="28"/>
        <v>3896</v>
      </c>
      <c r="F88" s="503">
        <f t="shared" si="28"/>
        <v>3710</v>
      </c>
      <c r="G88" s="906">
        <f t="shared" si="28"/>
        <v>9696</v>
      </c>
      <c r="H88" s="503">
        <f t="shared" si="28"/>
        <v>5363.4474144975793</v>
      </c>
      <c r="I88" s="503">
        <f t="shared" si="28"/>
        <v>5271.6464955591309</v>
      </c>
      <c r="J88" s="503">
        <f t="shared" si="28"/>
        <v>5210.3965561659979</v>
      </c>
      <c r="K88" s="503">
        <f t="shared" si="28"/>
        <v>5169.5303522211561</v>
      </c>
      <c r="L88" s="820">
        <f t="shared" si="28"/>
        <v>5142.2642578966834</v>
      </c>
    </row>
    <row r="89" spans="1:12" x14ac:dyDescent="0.2">
      <c r="A89" s="452" t="s">
        <v>570</v>
      </c>
      <c r="B89" s="492"/>
      <c r="C89" s="492"/>
      <c r="D89" s="492"/>
      <c r="E89" s="492"/>
      <c r="F89" s="492"/>
      <c r="G89" s="900"/>
      <c r="L89" s="801"/>
    </row>
    <row r="90" spans="1:12" x14ac:dyDescent="0.2">
      <c r="A90" s="483" t="s">
        <v>547</v>
      </c>
      <c r="B90" s="492">
        <v>680</v>
      </c>
      <c r="C90" s="492">
        <v>206</v>
      </c>
      <c r="D90" s="492">
        <v>10</v>
      </c>
      <c r="E90" s="492">
        <v>18</v>
      </c>
      <c r="F90" s="492"/>
      <c r="G90" s="900"/>
      <c r="L90" s="801"/>
    </row>
    <row r="91" spans="1:12" x14ac:dyDescent="0.2">
      <c r="A91" s="476" t="s">
        <v>425</v>
      </c>
      <c r="B91" s="492">
        <v>678</v>
      </c>
      <c r="C91" s="492">
        <v>530</v>
      </c>
      <c r="D91" s="492">
        <v>539</v>
      </c>
      <c r="E91" s="492">
        <v>1188</v>
      </c>
      <c r="F91" s="492">
        <v>2417</v>
      </c>
      <c r="G91" s="900"/>
      <c r="H91" s="565">
        <f>-(H273+H280)</f>
        <v>55</v>
      </c>
      <c r="I91" s="565">
        <f>-(I273+I280)</f>
        <v>55</v>
      </c>
      <c r="J91" s="565">
        <f>-(J273+J280)</f>
        <v>55</v>
      </c>
      <c r="K91" s="565">
        <f>-(K273+K280)</f>
        <v>55</v>
      </c>
      <c r="L91" s="821">
        <f>-(L273+L280)</f>
        <v>55</v>
      </c>
    </row>
    <row r="92" spans="1:12" s="410" customFormat="1" x14ac:dyDescent="0.2">
      <c r="A92" s="483" t="s">
        <v>578</v>
      </c>
      <c r="B92" s="492"/>
      <c r="C92" s="492"/>
      <c r="D92" s="492"/>
      <c r="E92" s="492"/>
      <c r="F92" s="492"/>
      <c r="G92" s="900">
        <v>291</v>
      </c>
      <c r="H92" s="492">
        <f>-H263</f>
        <v>269.03061763264009</v>
      </c>
      <c r="I92" s="492">
        <f>-I263</f>
        <v>251.03969711963987</v>
      </c>
      <c r="J92" s="492">
        <f>-J263</f>
        <v>234.25188584287935</v>
      </c>
      <c r="K92" s="492">
        <f>-K263</f>
        <v>218.58672811732117</v>
      </c>
      <c r="L92" s="822">
        <f>-L263</f>
        <v>203.96914858172562</v>
      </c>
    </row>
    <row r="93" spans="1:12" s="410" customFormat="1" x14ac:dyDescent="0.2">
      <c r="A93" s="483" t="s">
        <v>579</v>
      </c>
      <c r="B93" s="492"/>
      <c r="C93" s="492"/>
      <c r="D93" s="492"/>
      <c r="E93" s="492"/>
      <c r="F93" s="492"/>
      <c r="G93" s="900">
        <v>8651</v>
      </c>
      <c r="H93" s="492">
        <f>-(H252+H287)</f>
        <v>8066.4683148637578</v>
      </c>
      <c r="I93" s="492">
        <f>-(I252+I287)</f>
        <v>6425.6700215923247</v>
      </c>
      <c r="J93" s="492">
        <f>-(J252+J287)</f>
        <v>5170.4045626204133</v>
      </c>
      <c r="K93" s="492">
        <f>-(K252+K287)</f>
        <v>4199.1164522176932</v>
      </c>
      <c r="L93" s="822">
        <f>-(L252+L287)</f>
        <v>3439.0128609172266</v>
      </c>
    </row>
    <row r="94" spans="1:12" s="97" customFormat="1" x14ac:dyDescent="0.2">
      <c r="A94" s="501" t="s">
        <v>544</v>
      </c>
      <c r="B94" s="503">
        <f>SUM(B90:B93)</f>
        <v>1358</v>
      </c>
      <c r="C94" s="503">
        <f t="shared" ref="C94:L94" si="29">SUM(C90:C93)</f>
        <v>736</v>
      </c>
      <c r="D94" s="503">
        <f t="shared" si="29"/>
        <v>549</v>
      </c>
      <c r="E94" s="503">
        <f t="shared" si="29"/>
        <v>1206</v>
      </c>
      <c r="F94" s="503">
        <f t="shared" si="29"/>
        <v>2417</v>
      </c>
      <c r="G94" s="906">
        <f t="shared" si="29"/>
        <v>8942</v>
      </c>
      <c r="H94" s="503">
        <f>SUM(H90:H93)</f>
        <v>8390.4989324963972</v>
      </c>
      <c r="I94" s="503">
        <f t="shared" si="29"/>
        <v>6731.7097187119643</v>
      </c>
      <c r="J94" s="503">
        <f t="shared" si="29"/>
        <v>5459.6564484632927</v>
      </c>
      <c r="K94" s="503">
        <f t="shared" si="29"/>
        <v>4472.7031803350146</v>
      </c>
      <c r="L94" s="820">
        <f t="shared" si="29"/>
        <v>3697.9820094989523</v>
      </c>
    </row>
    <row r="95" spans="1:12" x14ac:dyDescent="0.2">
      <c r="A95" s="929" t="s">
        <v>545</v>
      </c>
      <c r="B95" s="492">
        <f t="shared" ref="B95:L95" si="30">SUM(B88,B94)</f>
        <v>4157</v>
      </c>
      <c r="C95" s="492">
        <f t="shared" si="30"/>
        <v>3924</v>
      </c>
      <c r="D95" s="492">
        <f t="shared" si="30"/>
        <v>4237</v>
      </c>
      <c r="E95" s="492">
        <f t="shared" si="30"/>
        <v>5102</v>
      </c>
      <c r="F95" s="492">
        <f t="shared" si="30"/>
        <v>6127</v>
      </c>
      <c r="G95" s="900">
        <f t="shared" si="30"/>
        <v>18638</v>
      </c>
      <c r="H95" s="492">
        <f t="shared" si="30"/>
        <v>13753.946346993976</v>
      </c>
      <c r="I95" s="492">
        <f t="shared" si="30"/>
        <v>12003.356214271094</v>
      </c>
      <c r="J95" s="492">
        <f t="shared" si="30"/>
        <v>10670.053004629292</v>
      </c>
      <c r="K95" s="492">
        <f t="shared" si="30"/>
        <v>9642.2335325561708</v>
      </c>
      <c r="L95" s="822">
        <f t="shared" si="30"/>
        <v>8840.2462673956361</v>
      </c>
    </row>
    <row r="96" spans="1:12" x14ac:dyDescent="0.2">
      <c r="A96" s="476" t="s">
        <v>36</v>
      </c>
      <c r="B96" s="492">
        <v>-7484</v>
      </c>
      <c r="C96" s="492">
        <v>-9262</v>
      </c>
      <c r="D96" s="492">
        <v>-10599</v>
      </c>
      <c r="E96" s="492">
        <v>-10339</v>
      </c>
      <c r="F96" s="492">
        <v>-10744</v>
      </c>
      <c r="G96" s="900">
        <v>-8019</v>
      </c>
      <c r="H96" s="492">
        <f>-H13*H78</f>
        <v>-13605.8472</v>
      </c>
      <c r="I96" s="492">
        <f>-I13*I78</f>
        <v>-14966.431920000003</v>
      </c>
      <c r="J96" s="492">
        <f>-J13*J78</f>
        <v>-16463.075112000006</v>
      </c>
      <c r="K96" s="492">
        <f>-K13*K78</f>
        <v>-18109.382623200006</v>
      </c>
      <c r="L96" s="822">
        <f>-L13*L78</f>
        <v>-19920.32088552001</v>
      </c>
    </row>
    <row r="97" spans="1:12" x14ac:dyDescent="0.2">
      <c r="A97" s="476" t="s">
        <v>37</v>
      </c>
      <c r="B97" s="492">
        <v>-3237</v>
      </c>
      <c r="C97" s="492">
        <v>-2751</v>
      </c>
      <c r="D97" s="492">
        <v>-5624</v>
      </c>
      <c r="E97" s="492">
        <v>-4068</v>
      </c>
      <c r="F97" s="492">
        <v>-6252</v>
      </c>
      <c r="G97" s="900">
        <v>-5296</v>
      </c>
      <c r="H97" s="492">
        <f>-H14*H78</f>
        <v>-6619.0608000000002</v>
      </c>
      <c r="I97" s="492">
        <f>-I14*I78</f>
        <v>-7280.9668800000009</v>
      </c>
      <c r="J97" s="492">
        <f>-J14*J78</f>
        <v>-8009.0635680000023</v>
      </c>
      <c r="K97" s="492">
        <f>-K14*K78</f>
        <v>-8809.9699248000034</v>
      </c>
      <c r="L97" s="822">
        <f>-L14*L78</f>
        <v>-9690.9669172800041</v>
      </c>
    </row>
    <row r="98" spans="1:12" x14ac:dyDescent="0.2">
      <c r="A98" s="476" t="s">
        <v>38</v>
      </c>
      <c r="B98" s="492">
        <v>-110077</v>
      </c>
      <c r="C98" s="492">
        <v>-124006</v>
      </c>
      <c r="D98" s="492">
        <v>-134602</v>
      </c>
      <c r="E98" s="492">
        <v>-143240</v>
      </c>
      <c r="F98" s="492">
        <v>-117817</v>
      </c>
      <c r="G98" s="900">
        <v>-119615</v>
      </c>
      <c r="H98" s="492">
        <f>-H15*H78</f>
        <v>-179082.36720000001</v>
      </c>
      <c r="I98" s="492">
        <f>-I15*I78</f>
        <v>-196990.60392000005</v>
      </c>
      <c r="J98" s="492">
        <f>-J15*J78</f>
        <v>-216689.66431200007</v>
      </c>
      <c r="K98" s="492">
        <f>-K15*K78</f>
        <v>-238358.63074320008</v>
      </c>
      <c r="L98" s="822">
        <f>-L15*L78</f>
        <v>-262194.4938175201</v>
      </c>
    </row>
    <row r="99" spans="1:12" x14ac:dyDescent="0.2">
      <c r="A99" s="476" t="s">
        <v>39</v>
      </c>
      <c r="B99" s="492">
        <v>-1548</v>
      </c>
      <c r="C99" s="492">
        <v>-1496</v>
      </c>
      <c r="D99" s="492">
        <v>-1576</v>
      </c>
      <c r="E99" s="492">
        <v>-1595</v>
      </c>
      <c r="F99" s="492">
        <v>-2018</v>
      </c>
      <c r="G99" s="900">
        <v>-3305</v>
      </c>
      <c r="H99" s="492">
        <f>-H16*H78</f>
        <v>-2574.0792000000001</v>
      </c>
      <c r="I99" s="492">
        <f>-I16*I78</f>
        <v>-2831.4871200000007</v>
      </c>
      <c r="J99" s="492">
        <f>-J16*J78</f>
        <v>-3114.6358320000008</v>
      </c>
      <c r="K99" s="492">
        <f>-K16*K78</f>
        <v>-3426.0994152000012</v>
      </c>
      <c r="L99" s="822">
        <f>-L16*L78</f>
        <v>-3768.7093567200018</v>
      </c>
    </row>
    <row r="100" spans="1:12" x14ac:dyDescent="0.2">
      <c r="A100" s="476" t="s">
        <v>40</v>
      </c>
      <c r="B100" s="492">
        <v>-146</v>
      </c>
      <c r="C100" s="492">
        <v>-101</v>
      </c>
      <c r="D100" s="492">
        <v>-48</v>
      </c>
      <c r="E100" s="492">
        <v>-395</v>
      </c>
      <c r="F100" s="492">
        <v>-24</v>
      </c>
      <c r="G100" s="900">
        <v>-1495</v>
      </c>
      <c r="H100" s="492">
        <f>-H17*H78</f>
        <v>-367.72560000000004</v>
      </c>
      <c r="I100" s="492">
        <f>-I17*I78</f>
        <v>-404.4981600000001</v>
      </c>
      <c r="J100" s="492">
        <f>-J17*J78</f>
        <v>-444.94797600000015</v>
      </c>
      <c r="K100" s="492">
        <f>-K17*K78</f>
        <v>-489.44277360000018</v>
      </c>
      <c r="L100" s="822">
        <f>-L17*L78</f>
        <v>-538.38705096000024</v>
      </c>
    </row>
    <row r="101" spans="1:12" x14ac:dyDescent="0.2">
      <c r="A101" s="93" t="s">
        <v>106</v>
      </c>
      <c r="B101" s="942">
        <f t="shared" ref="B101:L101" si="31">SUM(B82:B84,B96:B100)</f>
        <v>-147328</v>
      </c>
      <c r="C101" s="942">
        <f t="shared" si="31"/>
        <v>-164238</v>
      </c>
      <c r="D101" s="942">
        <f t="shared" si="31"/>
        <v>-180857</v>
      </c>
      <c r="E101" s="942">
        <f t="shared" si="31"/>
        <v>-193278</v>
      </c>
      <c r="F101" s="942">
        <f t="shared" si="31"/>
        <v>-171075</v>
      </c>
      <c r="G101" s="943">
        <f t="shared" si="31"/>
        <v>-177939</v>
      </c>
      <c r="H101" s="942">
        <f t="shared" si="31"/>
        <v>-243134.28794699401</v>
      </c>
      <c r="I101" s="942">
        <f t="shared" si="31"/>
        <v>-264051.73197427118</v>
      </c>
      <c r="J101" s="942">
        <f t="shared" si="31"/>
        <v>-287533.26634062937</v>
      </c>
      <c r="K101" s="942">
        <f t="shared" si="31"/>
        <v>-313791.76820215624</v>
      </c>
      <c r="L101" s="944">
        <f t="shared" si="31"/>
        <v>-343053.73440395575</v>
      </c>
    </row>
    <row r="102" spans="1:12" x14ac:dyDescent="0.2">
      <c r="A102" s="93" t="s">
        <v>434</v>
      </c>
      <c r="B102" s="510">
        <f t="shared" ref="B102:L102" si="32">B78+B101+B81+B95-B99</f>
        <v>52199</v>
      </c>
      <c r="C102" s="510">
        <f t="shared" si="32"/>
        <v>58660</v>
      </c>
      <c r="D102" s="510">
        <f t="shared" si="32"/>
        <v>63832</v>
      </c>
      <c r="E102" s="510">
        <f t="shared" si="32"/>
        <v>31514</v>
      </c>
      <c r="F102" s="510">
        <f t="shared" si="32"/>
        <v>84534</v>
      </c>
      <c r="G102" s="899">
        <f>G78+G101+G81+G95-G99</f>
        <v>139691</v>
      </c>
      <c r="H102" s="510">
        <f t="shared" si="32"/>
        <v>84657.320799999987</v>
      </c>
      <c r="I102" s="510">
        <f t="shared" si="32"/>
        <v>93393.052880000003</v>
      </c>
      <c r="J102" s="510">
        <f t="shared" si="32"/>
        <v>103122.35816800004</v>
      </c>
      <c r="K102" s="510">
        <f t="shared" si="32"/>
        <v>113834.5939848001</v>
      </c>
      <c r="L102" s="811">
        <f t="shared" si="32"/>
        <v>125569.0533832801</v>
      </c>
    </row>
    <row r="103" spans="1:12" x14ac:dyDescent="0.2">
      <c r="A103" s="93" t="s">
        <v>435</v>
      </c>
      <c r="B103" s="513">
        <f t="shared" ref="B103:L103" si="33">B102/B78</f>
        <v>0.23865236553830399</v>
      </c>
      <c r="C103" s="513">
        <f t="shared" si="33"/>
        <v>0.23556530050036545</v>
      </c>
      <c r="D103" s="513">
        <f t="shared" si="33"/>
        <v>0.23360036303352572</v>
      </c>
      <c r="E103" s="513">
        <f t="shared" si="33"/>
        <v>0.12383149109398761</v>
      </c>
      <c r="F103" s="513">
        <f t="shared" si="33"/>
        <v>0.29511939673229998</v>
      </c>
      <c r="G103" s="907">
        <f t="shared" si="33"/>
        <v>0.41786620240744732</v>
      </c>
      <c r="H103" s="513">
        <f t="shared" si="33"/>
        <v>0.23021873048816829</v>
      </c>
      <c r="I103" s="513">
        <f t="shared" si="33"/>
        <v>0.23088622425377653</v>
      </c>
      <c r="J103" s="513">
        <f t="shared" si="33"/>
        <v>0.23176273121871668</v>
      </c>
      <c r="K103" s="513">
        <f t="shared" si="33"/>
        <v>0.23257998713008285</v>
      </c>
      <c r="L103" s="824">
        <f t="shared" si="33"/>
        <v>0.23323193445937709</v>
      </c>
    </row>
    <row r="104" spans="1:12" x14ac:dyDescent="0.2">
      <c r="A104" s="453" t="s">
        <v>436</v>
      </c>
      <c r="B104" s="510">
        <f t="shared" ref="B104:L104" si="34">SUM(B78,B81,B101)</f>
        <v>46494</v>
      </c>
      <c r="C104" s="510">
        <f t="shared" si="34"/>
        <v>53240</v>
      </c>
      <c r="D104" s="510">
        <f t="shared" si="34"/>
        <v>58019</v>
      </c>
      <c r="E104" s="510">
        <f t="shared" si="34"/>
        <v>24817</v>
      </c>
      <c r="F104" s="510">
        <f t="shared" si="34"/>
        <v>76389</v>
      </c>
      <c r="G104" s="899">
        <f t="shared" si="34"/>
        <v>117748</v>
      </c>
      <c r="H104" s="510">
        <f t="shared" si="34"/>
        <v>68329.295253006043</v>
      </c>
      <c r="I104" s="510">
        <f t="shared" si="34"/>
        <v>78558.209545728925</v>
      </c>
      <c r="J104" s="510">
        <f t="shared" si="34"/>
        <v>89337.669331370736</v>
      </c>
      <c r="K104" s="510">
        <f t="shared" si="34"/>
        <v>100766.26103704394</v>
      </c>
      <c r="L104" s="811">
        <f t="shared" si="34"/>
        <v>112960.09775916446</v>
      </c>
    </row>
    <row r="105" spans="1:12" x14ac:dyDescent="0.2">
      <c r="A105" s="453" t="s">
        <v>437</v>
      </c>
      <c r="B105" s="513">
        <f t="shared" ref="B105:L105" si="35">B104/B78</f>
        <v>0.21256926537554177</v>
      </c>
      <c r="C105" s="513">
        <f t="shared" si="35"/>
        <v>0.21379980563654033</v>
      </c>
      <c r="D105" s="513">
        <f t="shared" si="35"/>
        <v>0.21232703758055721</v>
      </c>
      <c r="E105" s="513">
        <f t="shared" si="35"/>
        <v>9.7516218648203673E-2</v>
      </c>
      <c r="F105" s="513">
        <f t="shared" si="35"/>
        <v>0.26668412232928362</v>
      </c>
      <c r="G105" s="907">
        <f t="shared" si="35"/>
        <v>0.35222676909086559</v>
      </c>
      <c r="H105" s="513">
        <f t="shared" si="35"/>
        <v>0.18581598684727427</v>
      </c>
      <c r="I105" s="513">
        <f t="shared" si="35"/>
        <v>0.19421153744118122</v>
      </c>
      <c r="J105" s="513">
        <f t="shared" si="35"/>
        <v>0.20078228051400487</v>
      </c>
      <c r="K105" s="513">
        <f t="shared" si="35"/>
        <v>0.20587955624694895</v>
      </c>
      <c r="L105" s="824">
        <f t="shared" si="35"/>
        <v>0.2098120628231025</v>
      </c>
    </row>
    <row r="106" spans="1:12" x14ac:dyDescent="0.2">
      <c r="A106" s="521" t="s">
        <v>438</v>
      </c>
      <c r="B106" s="510">
        <v>-10709</v>
      </c>
      <c r="C106" s="510">
        <v>-11896</v>
      </c>
      <c r="D106" s="510">
        <v>-13525</v>
      </c>
      <c r="E106" s="510">
        <v>-3126</v>
      </c>
      <c r="F106" s="510">
        <v>-17930</v>
      </c>
      <c r="G106" s="899">
        <v>-19525</v>
      </c>
      <c r="H106" s="566">
        <f>-H18*H104</f>
        <v>-16330.701565468444</v>
      </c>
      <c r="I106" s="566">
        <f>-I18*I104</f>
        <v>-18775.412081429211</v>
      </c>
      <c r="J106" s="566">
        <f>-J18*J104</f>
        <v>-21351.702970197606</v>
      </c>
      <c r="K106" s="514">
        <f>-K18*K104</f>
        <v>-24083.136387853501</v>
      </c>
      <c r="L106" s="823">
        <f>-L18*L104</f>
        <v>-26997.463364440304</v>
      </c>
    </row>
    <row r="107" spans="1:12" x14ac:dyDescent="0.2">
      <c r="B107" s="504"/>
      <c r="C107" s="505"/>
      <c r="D107" s="508"/>
      <c r="E107" s="508"/>
      <c r="F107" s="508"/>
      <c r="G107" s="902"/>
      <c r="H107" s="508"/>
      <c r="I107" s="514"/>
      <c r="J107" s="508"/>
      <c r="K107" s="508"/>
      <c r="L107" s="815"/>
    </row>
    <row r="108" spans="1:12" x14ac:dyDescent="0.2">
      <c r="A108" s="454" t="s">
        <v>548</v>
      </c>
      <c r="B108" s="512">
        <f>B104+B106</f>
        <v>35785</v>
      </c>
      <c r="C108" s="512">
        <f t="shared" ref="C108:L108" si="36">C104+C106</f>
        <v>41344</v>
      </c>
      <c r="D108" s="512">
        <f t="shared" si="36"/>
        <v>44494</v>
      </c>
      <c r="E108" s="512">
        <f t="shared" si="36"/>
        <v>21691</v>
      </c>
      <c r="F108" s="512">
        <f t="shared" si="36"/>
        <v>58459</v>
      </c>
      <c r="G108" s="908">
        <f t="shared" si="36"/>
        <v>98223</v>
      </c>
      <c r="H108" s="892">
        <f t="shared" si="36"/>
        <v>51998.593687537599</v>
      </c>
      <c r="I108" s="512">
        <f t="shared" si="36"/>
        <v>59782.797464299714</v>
      </c>
      <c r="J108" s="512">
        <f t="shared" si="36"/>
        <v>67985.966361173138</v>
      </c>
      <c r="K108" s="512">
        <f t="shared" si="36"/>
        <v>76683.124649190431</v>
      </c>
      <c r="L108" s="825">
        <f t="shared" si="36"/>
        <v>85962.634394724155</v>
      </c>
    </row>
    <row r="109" spans="1:12" x14ac:dyDescent="0.2">
      <c r="A109" s="85" t="s">
        <v>439</v>
      </c>
      <c r="B109" s="567">
        <f t="shared" ref="B109:L109" si="37">B108/B78</f>
        <v>0.16360801741006931</v>
      </c>
      <c r="C109" s="567">
        <f t="shared" si="37"/>
        <v>0.16602815860700834</v>
      </c>
      <c r="D109" s="567">
        <f t="shared" si="37"/>
        <v>0.16283078319359715</v>
      </c>
      <c r="E109" s="567">
        <f t="shared" si="37"/>
        <v>8.5232876604673644E-2</v>
      </c>
      <c r="F109" s="567">
        <f t="shared" si="37"/>
        <v>0.20408811618489037</v>
      </c>
      <c r="G109" s="909">
        <f t="shared" si="37"/>
        <v>0.29382044655036255</v>
      </c>
      <c r="H109" s="893">
        <f t="shared" si="37"/>
        <v>0.14140596599077571</v>
      </c>
      <c r="I109" s="567">
        <f t="shared" si="37"/>
        <v>0.14779497999273891</v>
      </c>
      <c r="J109" s="567">
        <f t="shared" si="37"/>
        <v>0.15279531547115771</v>
      </c>
      <c r="K109" s="567">
        <f t="shared" si="37"/>
        <v>0.15667434230392813</v>
      </c>
      <c r="L109" s="826">
        <f t="shared" si="37"/>
        <v>0.15966697980838102</v>
      </c>
    </row>
    <row r="110" spans="1:12" x14ac:dyDescent="0.2">
      <c r="A110" s="85" t="s">
        <v>440</v>
      </c>
      <c r="B110" s="568"/>
      <c r="C110" s="569">
        <f>C108/B108-1</f>
        <v>0.15534441805225652</v>
      </c>
      <c r="D110" s="570">
        <f t="shared" ref="D110:L110" si="38">D108/C108-1</f>
        <v>7.619001547987625E-2</v>
      </c>
      <c r="E110" s="570">
        <f t="shared" si="38"/>
        <v>-0.51249606688542282</v>
      </c>
      <c r="F110" s="570">
        <f t="shared" si="38"/>
        <v>1.6950809091328201</v>
      </c>
      <c r="G110" s="910">
        <f t="shared" si="38"/>
        <v>0.6802032193503138</v>
      </c>
      <c r="H110" s="570">
        <f>H108/G108-1</f>
        <v>-0.47060674498297139</v>
      </c>
      <c r="I110" s="570">
        <f>I108/H108-1</f>
        <v>0.14970027504085626</v>
      </c>
      <c r="J110" s="570">
        <f t="shared" si="38"/>
        <v>0.13721621009408413</v>
      </c>
      <c r="K110" s="570">
        <f t="shared" si="38"/>
        <v>0.12792578753406159</v>
      </c>
      <c r="L110" s="827">
        <f t="shared" si="38"/>
        <v>0.12101110626341294</v>
      </c>
    </row>
    <row r="111" spans="1:12" ht="13.5" thickBot="1" x14ac:dyDescent="0.25">
      <c r="A111" s="85"/>
      <c r="B111" s="945"/>
      <c r="C111" s="460"/>
      <c r="D111" s="460"/>
      <c r="E111" s="460"/>
      <c r="F111" s="460"/>
      <c r="G111" s="911"/>
      <c r="H111" s="460"/>
      <c r="I111" s="460"/>
      <c r="J111" s="460"/>
      <c r="K111" s="460"/>
      <c r="L111" s="828"/>
    </row>
    <row r="112" spans="1:12" x14ac:dyDescent="0.2">
      <c r="A112" s="462" t="s">
        <v>890</v>
      </c>
      <c r="B112" s="455">
        <f>'2015-2016 Annual Report Data'!D84</f>
        <v>-25868</v>
      </c>
      <c r="C112" s="459">
        <f>'2015-2016 Annual Report Data'!C84</f>
        <v>-27958</v>
      </c>
      <c r="D112" s="459">
        <f>'2018 Annual Report Data'!D93</f>
        <v>-30370</v>
      </c>
      <c r="E112" s="459">
        <f>'2019 Annual Report Data'!D96</f>
        <v>-33002</v>
      </c>
      <c r="F112" s="459">
        <f>'2019 Annual Report Data'!C96</f>
        <v>-35850</v>
      </c>
      <c r="G112" s="912">
        <v>-38988</v>
      </c>
      <c r="H112" s="459">
        <f>-H108*H19</f>
        <v>-31615.14496202286</v>
      </c>
      <c r="I112" s="459">
        <f>-I108*I19</f>
        <v>-36347.940858294227</v>
      </c>
      <c r="J112" s="459">
        <f>-J108*J19</f>
        <v>-41335.467547593267</v>
      </c>
      <c r="K112" s="459">
        <f>-K108*K19</f>
        <v>-46623.33978670778</v>
      </c>
      <c r="L112" s="829">
        <f>-L108*L19</f>
        <v>-52265.281711992284</v>
      </c>
    </row>
    <row r="113" spans="1:13" x14ac:dyDescent="0.2">
      <c r="A113" s="484" t="s">
        <v>550</v>
      </c>
      <c r="B113" s="456">
        <v>11.57</v>
      </c>
      <c r="C113" s="45">
        <v>13.26</v>
      </c>
      <c r="D113" s="45">
        <v>14.18</v>
      </c>
      <c r="E113" s="45">
        <v>6.87</v>
      </c>
      <c r="F113" s="45">
        <v>18.43</v>
      </c>
      <c r="G113" s="913">
        <v>19.75</v>
      </c>
      <c r="H113" s="624">
        <f>H108/H116*100000</f>
        <v>16.317896953650632</v>
      </c>
      <c r="I113" s="624">
        <f>I108/I116*100000</f>
        <v>18.760656121057043</v>
      </c>
      <c r="J113" s="624">
        <f>J108/J116*100000</f>
        <v>21.334884308896338</v>
      </c>
      <c r="K113" s="624">
        <f>K108/K116*100000</f>
        <v>24.064124447839038</v>
      </c>
      <c r="L113" s="830">
        <f>L108/L116*100000</f>
        <v>26.976104856647193</v>
      </c>
      <c r="M113" s="53"/>
    </row>
    <row r="114" spans="1:13" ht="13.5" thickBot="1" x14ac:dyDescent="0.25">
      <c r="A114" s="485" t="s">
        <v>549</v>
      </c>
      <c r="B114" s="457">
        <v>11.3</v>
      </c>
      <c r="C114" s="465">
        <v>12.85</v>
      </c>
      <c r="D114" s="465">
        <v>14.1</v>
      </c>
      <c r="E114" s="465">
        <v>6.85</v>
      </c>
      <c r="F114" s="465">
        <v>18.3</v>
      </c>
      <c r="G114" s="914">
        <v>19.61</v>
      </c>
      <c r="H114" s="625">
        <f>H108/H118*100000</f>
        <v>16.204465693794077</v>
      </c>
      <c r="I114" s="625">
        <f>I108/I118*100000</f>
        <v>18.630244410185746</v>
      </c>
      <c r="J114" s="625">
        <f>J108/J118*100000</f>
        <v>21.18657826106886</v>
      </c>
      <c r="K114" s="625">
        <f>K108/K118*100000</f>
        <v>23.896846522183754</v>
      </c>
      <c r="L114" s="831">
        <f>L108/L118*100000</f>
        <v>26.788584763304073</v>
      </c>
      <c r="M114" s="53"/>
    </row>
    <row r="115" spans="1:13" x14ac:dyDescent="0.2">
      <c r="A115" s="85"/>
      <c r="B115" s="461"/>
      <c r="C115" s="460"/>
      <c r="D115" s="460"/>
      <c r="E115" s="460"/>
      <c r="F115" s="460"/>
      <c r="G115" s="911"/>
      <c r="H115" s="460"/>
      <c r="I115" s="460"/>
      <c r="J115" s="460"/>
      <c r="K115" s="460"/>
      <c r="L115" s="828"/>
    </row>
    <row r="116" spans="1:13" x14ac:dyDescent="0.2">
      <c r="A116" s="463" t="s">
        <v>441</v>
      </c>
      <c r="B116" s="537">
        <v>310634422</v>
      </c>
      <c r="C116" s="537">
        <v>313294930</v>
      </c>
      <c r="D116" s="537">
        <v>313865453</v>
      </c>
      <c r="E116" s="537">
        <v>315802661</v>
      </c>
      <c r="F116" s="537">
        <v>317215635</v>
      </c>
      <c r="G116" s="915">
        <v>318659285</v>
      </c>
      <c r="H116" s="510">
        <f>G116-(H99/H119)</f>
        <v>318659897.38282114</v>
      </c>
      <c r="I116" s="510">
        <f>H116-(I99/I119)</f>
        <v>318660483.29300827</v>
      </c>
      <c r="J116" s="510">
        <f>I116-(J99/J119)</f>
        <v>318661050.02886736</v>
      </c>
      <c r="K116" s="510">
        <f>J116-(K99/K119)</f>
        <v>318661602.73317814</v>
      </c>
      <c r="L116" s="811">
        <f>K116-(L99/L119)</f>
        <v>318662145.07815444</v>
      </c>
    </row>
    <row r="117" spans="1:13" x14ac:dyDescent="0.2">
      <c r="A117" s="484" t="s">
        <v>551</v>
      </c>
      <c r="B117" s="537">
        <v>7416942</v>
      </c>
      <c r="C117" s="537">
        <v>10026246</v>
      </c>
      <c r="D117" s="537">
        <v>1637750</v>
      </c>
      <c r="E117" s="537">
        <v>890545</v>
      </c>
      <c r="F117" s="537">
        <v>2284678</v>
      </c>
      <c r="G117" s="915">
        <v>2295131</v>
      </c>
      <c r="H117" s="510">
        <f>H118-H116</f>
        <v>2230619.2816796899</v>
      </c>
      <c r="I117" s="510">
        <f>I118-I116</f>
        <v>2230623.3830510378</v>
      </c>
      <c r="J117" s="510">
        <f>J118-J116</f>
        <v>2230627.350202024</v>
      </c>
      <c r="K117" s="510">
        <f>K118-K116</f>
        <v>2230631.219132185</v>
      </c>
      <c r="L117" s="811">
        <f>L118-L116</f>
        <v>2230635.0155470371</v>
      </c>
    </row>
    <row r="118" spans="1:13" x14ac:dyDescent="0.2">
      <c r="A118" s="463" t="s">
        <v>442</v>
      </c>
      <c r="B118" s="537">
        <f>SUM(B116:B117)</f>
        <v>318051364</v>
      </c>
      <c r="C118" s="537">
        <f>SUM(C116:C117)</f>
        <v>323321176</v>
      </c>
      <c r="D118" s="537">
        <v>315503203</v>
      </c>
      <c r="E118" s="537">
        <v>316693206</v>
      </c>
      <c r="F118" s="537">
        <v>319500313</v>
      </c>
      <c r="G118" s="915">
        <v>320954416</v>
      </c>
      <c r="H118" s="510">
        <f>H116*(1+H21)</f>
        <v>320890516.66450083</v>
      </c>
      <c r="I118" s="510">
        <f>I116*(1+I21)</f>
        <v>320891106.67605931</v>
      </c>
      <c r="J118" s="510">
        <f>J116*(1+J21)</f>
        <v>320891677.37906939</v>
      </c>
      <c r="K118" s="510">
        <f>K116*(1+K21)</f>
        <v>320892233.95231032</v>
      </c>
      <c r="L118" s="811">
        <f>L116*(1+L21)</f>
        <v>320892780.09370148</v>
      </c>
    </row>
    <row r="119" spans="1:13" x14ac:dyDescent="0.2">
      <c r="A119" s="463" t="s">
        <v>443</v>
      </c>
      <c r="B119" s="930"/>
      <c r="C119" s="930"/>
      <c r="D119" s="930"/>
      <c r="E119" s="930"/>
      <c r="F119" s="930"/>
      <c r="G119" s="916">
        <v>7.94</v>
      </c>
      <c r="H119" s="583">
        <f>G119*(1+H110)</f>
        <v>4.2033824448352073</v>
      </c>
      <c r="I119" s="583">
        <f>H119*(1+I110)</f>
        <v>4.8326299529289445</v>
      </c>
      <c r="J119" s="583">
        <f>I119*(1+J110)</f>
        <v>5.4957451198570064</v>
      </c>
      <c r="K119" s="583">
        <f>J119*(1+K110)</f>
        <v>6.1987926424011892</v>
      </c>
      <c r="L119" s="832">
        <f>K119*(1+L110)</f>
        <v>6.9489153975556617</v>
      </c>
    </row>
    <row r="120" spans="1:13" x14ac:dyDescent="0.2">
      <c r="B120" s="946"/>
      <c r="C120" s="39"/>
      <c r="G120" s="917"/>
      <c r="L120" s="801"/>
    </row>
    <row r="121" spans="1:13" x14ac:dyDescent="0.2">
      <c r="A121" s="4"/>
      <c r="B121" s="947"/>
      <c r="C121" s="45"/>
      <c r="G121" s="917"/>
      <c r="L121" s="801"/>
    </row>
    <row r="122" spans="1:13" ht="13.5" thickBot="1" x14ac:dyDescent="0.25">
      <c r="A122" s="464"/>
      <c r="B122" s="948"/>
      <c r="C122" s="465"/>
      <c r="D122" s="458"/>
      <c r="E122" s="458"/>
      <c r="F122" s="458"/>
      <c r="G122" s="918"/>
      <c r="H122" s="458"/>
      <c r="I122" s="458"/>
      <c r="J122" s="458"/>
      <c r="K122" s="458"/>
      <c r="L122" s="833"/>
    </row>
    <row r="123" spans="1:13" x14ac:dyDescent="0.2">
      <c r="G123" s="895"/>
      <c r="L123" s="801"/>
    </row>
    <row r="124" spans="1:13" x14ac:dyDescent="0.2">
      <c r="G124" s="895"/>
      <c r="H124" s="469"/>
      <c r="L124" s="801"/>
    </row>
    <row r="125" spans="1:13" s="1295" customFormat="1" ht="18.75" x14ac:dyDescent="0.3">
      <c r="A125" s="1292" t="s">
        <v>444</v>
      </c>
      <c r="B125" s="1293" t="s">
        <v>888</v>
      </c>
      <c r="C125" s="1293" t="s">
        <v>889</v>
      </c>
      <c r="D125" s="1293" t="s">
        <v>532</v>
      </c>
      <c r="E125" s="1293" t="s">
        <v>533</v>
      </c>
      <c r="F125" s="1293" t="s">
        <v>534</v>
      </c>
      <c r="G125" s="1294" t="s">
        <v>535</v>
      </c>
      <c r="H125" s="1293"/>
      <c r="I125" s="1293"/>
      <c r="J125" s="1293"/>
      <c r="K125" s="1293"/>
      <c r="L125" s="1297"/>
    </row>
    <row r="126" spans="1:13" x14ac:dyDescent="0.2">
      <c r="A126" s="97" t="s">
        <v>643</v>
      </c>
      <c r="G126" s="895"/>
      <c r="L126" s="801"/>
    </row>
    <row r="127" spans="1:13" x14ac:dyDescent="0.2">
      <c r="A127" s="473" t="s">
        <v>2</v>
      </c>
      <c r="B127" s="510">
        <v>75536</v>
      </c>
      <c r="C127" s="510">
        <v>82588</v>
      </c>
      <c r="D127" s="510">
        <v>93383</v>
      </c>
      <c r="E127" s="510">
        <v>104322</v>
      </c>
      <c r="F127" s="510">
        <v>105046</v>
      </c>
      <c r="G127" s="899">
        <v>125244</v>
      </c>
      <c r="H127" s="510">
        <f>H208</f>
        <v>180081.49685175307</v>
      </c>
      <c r="I127" s="510">
        <f>I208</f>
        <v>231280.1334499541</v>
      </c>
      <c r="J127" s="510">
        <f>J208</f>
        <v>286150.21142388013</v>
      </c>
      <c r="K127" s="510">
        <f>K208</f>
        <v>345805.26859020756</v>
      </c>
      <c r="L127" s="811">
        <f>L208</f>
        <v>410729.77018875256</v>
      </c>
    </row>
    <row r="128" spans="1:13" x14ac:dyDescent="0.2">
      <c r="A128" s="473" t="s">
        <v>3</v>
      </c>
      <c r="B128" s="510">
        <v>1802</v>
      </c>
      <c r="C128" s="510">
        <v>5817</v>
      </c>
      <c r="D128" s="510">
        <v>8220</v>
      </c>
      <c r="E128" s="510">
        <v>10852</v>
      </c>
      <c r="F128" s="510">
        <v>12810</v>
      </c>
      <c r="G128" s="899">
        <v>10851</v>
      </c>
      <c r="H128" s="510">
        <f>H25*H78</f>
        <v>13238.1216</v>
      </c>
      <c r="I128" s="510">
        <f>I25*I78</f>
        <v>14561.933760000002</v>
      </c>
      <c r="J128" s="510">
        <f>J25*J78</f>
        <v>16018.127136000005</v>
      </c>
      <c r="K128" s="510">
        <f>K25*K78</f>
        <v>17619.939849600007</v>
      </c>
      <c r="L128" s="811">
        <f>L25*L78</f>
        <v>19381.933834560008</v>
      </c>
    </row>
    <row r="129" spans="1:13" x14ac:dyDescent="0.2">
      <c r="A129" s="473" t="s">
        <v>4</v>
      </c>
      <c r="B129" s="510">
        <v>38273</v>
      </c>
      <c r="C129" s="510">
        <v>41642</v>
      </c>
      <c r="D129" s="510">
        <v>53262</v>
      </c>
      <c r="E129" s="510">
        <v>59554</v>
      </c>
      <c r="F129" s="510">
        <v>49032</v>
      </c>
      <c r="G129" s="899">
        <v>37396</v>
      </c>
      <c r="H129" s="510">
        <f>H26*H78</f>
        <v>65822.882400000002</v>
      </c>
      <c r="I129" s="510">
        <f>I26*I78</f>
        <v>72405.170640000011</v>
      </c>
      <c r="J129" s="510">
        <f>J26*J78</f>
        <v>79645.687704000025</v>
      </c>
      <c r="K129" s="510">
        <f>K26*K78</f>
        <v>87610.256474400026</v>
      </c>
      <c r="L129" s="811">
        <f>L26*L78</f>
        <v>96371.282121840035</v>
      </c>
    </row>
    <row r="130" spans="1:13" x14ac:dyDescent="0.2">
      <c r="A130" s="473" t="s">
        <v>5</v>
      </c>
      <c r="B130" s="510">
        <v>10230</v>
      </c>
      <c r="C130" s="510">
        <v>16421</v>
      </c>
      <c r="D130" s="510">
        <v>14305</v>
      </c>
      <c r="E130" s="510">
        <v>0</v>
      </c>
      <c r="F130" s="510">
        <v>0</v>
      </c>
      <c r="G130" s="899">
        <v>0</v>
      </c>
      <c r="H130" s="510">
        <f t="shared" ref="H130:L131" si="39">H27</f>
        <v>0</v>
      </c>
      <c r="I130" s="510">
        <f t="shared" si="39"/>
        <v>0</v>
      </c>
      <c r="J130" s="510">
        <f t="shared" si="39"/>
        <v>0</v>
      </c>
      <c r="K130" s="510">
        <f t="shared" si="39"/>
        <v>0</v>
      </c>
      <c r="L130" s="811">
        <f t="shared" si="39"/>
        <v>0</v>
      </c>
    </row>
    <row r="131" spans="1:13" x14ac:dyDescent="0.2">
      <c r="A131" s="473" t="s">
        <v>588</v>
      </c>
      <c r="B131" s="510"/>
      <c r="C131" s="510"/>
      <c r="D131" s="510"/>
      <c r="E131" s="510">
        <v>1879</v>
      </c>
      <c r="F131" s="510">
        <v>24607</v>
      </c>
      <c r="G131" s="899">
        <v>22051</v>
      </c>
      <c r="H131" s="510">
        <f t="shared" si="39"/>
        <v>22051</v>
      </c>
      <c r="I131" s="510">
        <f t="shared" si="39"/>
        <v>22051</v>
      </c>
      <c r="J131" s="510">
        <f t="shared" si="39"/>
        <v>22051</v>
      </c>
      <c r="K131" s="510">
        <f t="shared" si="39"/>
        <v>22051</v>
      </c>
      <c r="L131" s="811">
        <f t="shared" si="39"/>
        <v>22051</v>
      </c>
    </row>
    <row r="132" spans="1:13" x14ac:dyDescent="0.2">
      <c r="A132" s="473" t="s">
        <v>6</v>
      </c>
      <c r="B132" s="510">
        <v>355</v>
      </c>
      <c r="C132" s="510">
        <v>793</v>
      </c>
      <c r="D132" s="510">
        <v>798</v>
      </c>
      <c r="E132" s="510">
        <v>959</v>
      </c>
      <c r="F132" s="510">
        <v>463</v>
      </c>
      <c r="G132" s="899">
        <v>397</v>
      </c>
      <c r="H132" s="510">
        <f t="shared" ref="H132:L133" si="40">H29</f>
        <v>397</v>
      </c>
      <c r="I132" s="510">
        <f t="shared" si="40"/>
        <v>397</v>
      </c>
      <c r="J132" s="510">
        <f t="shared" si="40"/>
        <v>397</v>
      </c>
      <c r="K132" s="510">
        <f t="shared" si="40"/>
        <v>397</v>
      </c>
      <c r="L132" s="811">
        <f t="shared" si="40"/>
        <v>397</v>
      </c>
    </row>
    <row r="133" spans="1:13" x14ac:dyDescent="0.2">
      <c r="A133" s="473" t="s">
        <v>587</v>
      </c>
      <c r="B133" s="510"/>
      <c r="C133" s="510"/>
      <c r="D133" s="510" t="s">
        <v>91</v>
      </c>
      <c r="E133" s="510">
        <v>1574</v>
      </c>
      <c r="F133" s="510">
        <v>6783</v>
      </c>
      <c r="G133" s="899">
        <v>8077</v>
      </c>
      <c r="H133" s="510">
        <f t="shared" si="40"/>
        <v>8077</v>
      </c>
      <c r="I133" s="510">
        <f t="shared" si="40"/>
        <v>8077</v>
      </c>
      <c r="J133" s="510">
        <f t="shared" si="40"/>
        <v>8077</v>
      </c>
      <c r="K133" s="510">
        <f t="shared" si="40"/>
        <v>8077</v>
      </c>
      <c r="L133" s="811">
        <f t="shared" si="40"/>
        <v>8077</v>
      </c>
    </row>
    <row r="134" spans="1:13" x14ac:dyDescent="0.2">
      <c r="A134" s="473" t="s">
        <v>586</v>
      </c>
      <c r="B134" s="510"/>
      <c r="C134" s="510"/>
      <c r="D134" s="510"/>
      <c r="E134" s="510">
        <v>1357</v>
      </c>
      <c r="F134" s="510">
        <v>2104</v>
      </c>
      <c r="G134" s="899">
        <v>2956</v>
      </c>
      <c r="H134" s="510">
        <f>H292*H31</f>
        <v>1913.7947066094405</v>
      </c>
      <c r="I134" s="510">
        <f>I292*I31</f>
        <v>1328.2280788384596</v>
      </c>
      <c r="J134" s="510">
        <f>J292*J31</f>
        <v>921.8281476702474</v>
      </c>
      <c r="K134" s="510">
        <f>K292*K31</f>
        <v>639.7750110660844</v>
      </c>
      <c r="L134" s="811">
        <f>L292*L31</f>
        <v>444.02209437742823</v>
      </c>
    </row>
    <row r="135" spans="1:13" s="466" customFormat="1" x14ac:dyDescent="0.2">
      <c r="A135" s="467" t="s">
        <v>553</v>
      </c>
      <c r="B135" s="517">
        <f>SUM(B127:B134)</f>
        <v>126196</v>
      </c>
      <c r="C135" s="517">
        <f t="shared" ref="C135:L135" si="41">SUM(C127:C134)</f>
        <v>147261</v>
      </c>
      <c r="D135" s="517">
        <f t="shared" si="41"/>
        <v>169968</v>
      </c>
      <c r="E135" s="517">
        <f t="shared" si="41"/>
        <v>180497</v>
      </c>
      <c r="F135" s="517">
        <f t="shared" si="41"/>
        <v>200845</v>
      </c>
      <c r="G135" s="517">
        <f t="shared" si="41"/>
        <v>206972</v>
      </c>
      <c r="H135" s="517">
        <f>SUM(H127:H134)</f>
        <v>291581.2955583625</v>
      </c>
      <c r="I135" s="517">
        <f t="shared" si="41"/>
        <v>350100.46592879255</v>
      </c>
      <c r="J135" s="517">
        <f t="shared" si="41"/>
        <v>413260.85441155045</v>
      </c>
      <c r="K135" s="517">
        <f t="shared" si="41"/>
        <v>482200.23992527364</v>
      </c>
      <c r="L135" s="834">
        <f t="shared" si="41"/>
        <v>557452.00823953003</v>
      </c>
    </row>
    <row r="136" spans="1:13" x14ac:dyDescent="0.2">
      <c r="A136" s="473" t="s">
        <v>9</v>
      </c>
      <c r="B136" s="510">
        <v>10012</v>
      </c>
      <c r="C136" s="510">
        <v>11681</v>
      </c>
      <c r="D136" s="510">
        <v>13525</v>
      </c>
      <c r="E136" s="510">
        <v>12280</v>
      </c>
      <c r="F136" s="510">
        <v>10900</v>
      </c>
      <c r="G136" s="899">
        <v>8969</v>
      </c>
      <c r="H136" s="540">
        <f>H224</f>
        <v>8693.1525855024192</v>
      </c>
      <c r="I136" s="540">
        <f>I224</f>
        <v>8509.1060899432887</v>
      </c>
      <c r="J136" s="540">
        <f>J224</f>
        <v>8386.3095337772902</v>
      </c>
      <c r="K136" s="540">
        <f>K224</f>
        <v>8304.3791815561344</v>
      </c>
      <c r="L136" s="835">
        <f>L224</f>
        <v>8249.7149236594505</v>
      </c>
    </row>
    <row r="137" spans="1:13" x14ac:dyDescent="0.2">
      <c r="A137" s="883" t="s">
        <v>425</v>
      </c>
      <c r="B137" s="510">
        <v>37245</v>
      </c>
      <c r="C137" s="510">
        <v>48088</v>
      </c>
      <c r="D137" s="510">
        <v>47549</v>
      </c>
      <c r="E137" s="510">
        <v>45011</v>
      </c>
      <c r="F137" s="469">
        <v>37521</v>
      </c>
      <c r="G137" s="920">
        <v>37986</v>
      </c>
      <c r="H137" s="469">
        <f>H282</f>
        <v>37661.969382367359</v>
      </c>
      <c r="I137" s="469">
        <f>I282</f>
        <v>37355.92968524772</v>
      </c>
      <c r="J137" s="469">
        <f>J282</f>
        <v>37066.677799404839</v>
      </c>
      <c r="K137" s="469">
        <f>K282</f>
        <v>36793.091071287519</v>
      </c>
      <c r="L137" s="818">
        <f>L282</f>
        <v>36534.121922705795</v>
      </c>
    </row>
    <row r="138" spans="1:13" x14ac:dyDescent="0.2">
      <c r="A138" s="883" t="s">
        <v>589</v>
      </c>
      <c r="B138" s="510"/>
      <c r="C138" s="510"/>
      <c r="D138" s="510"/>
      <c r="E138" s="510"/>
      <c r="F138" s="469">
        <v>31590</v>
      </c>
      <c r="G138" s="920">
        <v>62556</v>
      </c>
      <c r="H138" s="469">
        <f>H257</f>
        <v>57546.492893073053</v>
      </c>
      <c r="I138" s="469">
        <f>I257</f>
        <v>53242.441088042251</v>
      </c>
      <c r="J138" s="469">
        <f>J257</f>
        <v>49544.500044147244</v>
      </c>
      <c r="K138" s="469">
        <f>K257</f>
        <v>46367.315246292463</v>
      </c>
      <c r="L138" s="818">
        <f>L257</f>
        <v>43637.552083522532</v>
      </c>
    </row>
    <row r="139" spans="1:13" x14ac:dyDescent="0.2">
      <c r="A139" s="473" t="s">
        <v>5</v>
      </c>
      <c r="B139" s="510">
        <v>1880</v>
      </c>
      <c r="C139" s="510">
        <v>3980</v>
      </c>
      <c r="D139" s="510">
        <v>11914</v>
      </c>
      <c r="E139" s="510" t="s">
        <v>354</v>
      </c>
      <c r="F139" s="510" t="s">
        <v>354</v>
      </c>
      <c r="G139" s="899" t="s">
        <v>354</v>
      </c>
      <c r="H139" s="510" t="s">
        <v>354</v>
      </c>
      <c r="I139" s="510" t="s">
        <v>354</v>
      </c>
      <c r="J139" s="510" t="s">
        <v>354</v>
      </c>
      <c r="K139" s="510" t="s">
        <v>354</v>
      </c>
      <c r="L139" s="811" t="s">
        <v>354</v>
      </c>
    </row>
    <row r="140" spans="1:13" x14ac:dyDescent="0.2">
      <c r="A140" s="473" t="s">
        <v>588</v>
      </c>
      <c r="B140" s="510"/>
      <c r="C140" s="510"/>
      <c r="D140" s="510"/>
      <c r="E140" s="510">
        <v>245</v>
      </c>
      <c r="F140" s="510" t="s">
        <v>354</v>
      </c>
      <c r="G140" s="899" t="s">
        <v>354</v>
      </c>
      <c r="H140" s="510" t="s">
        <v>354</v>
      </c>
      <c r="I140" s="510" t="s">
        <v>354</v>
      </c>
      <c r="J140" s="510" t="s">
        <v>354</v>
      </c>
      <c r="K140" s="510" t="s">
        <v>354</v>
      </c>
      <c r="L140" s="811" t="s">
        <v>354</v>
      </c>
    </row>
    <row r="141" spans="1:13" x14ac:dyDescent="0.2">
      <c r="A141" s="473" t="s">
        <v>11</v>
      </c>
      <c r="B141" s="510">
        <v>7314</v>
      </c>
      <c r="C141" s="510">
        <v>7512</v>
      </c>
      <c r="D141" s="510">
        <v>5482</v>
      </c>
      <c r="E141" s="510">
        <v>42278</v>
      </c>
      <c r="F141" s="510">
        <v>32153</v>
      </c>
      <c r="G141" s="899">
        <v>28605</v>
      </c>
      <c r="H141" s="510">
        <f>H35</f>
        <v>28605</v>
      </c>
      <c r="I141" s="510">
        <f>I35</f>
        <v>28700</v>
      </c>
      <c r="J141" s="510">
        <f>J35</f>
        <v>29100</v>
      </c>
      <c r="K141" s="510">
        <f>K35</f>
        <v>29400</v>
      </c>
      <c r="L141" s="811">
        <f>L35</f>
        <v>29800</v>
      </c>
    </row>
    <row r="142" spans="1:13" x14ac:dyDescent="0.2">
      <c r="A142" s="473" t="s">
        <v>586</v>
      </c>
      <c r="B142" s="510"/>
      <c r="C142" s="510"/>
      <c r="D142" s="510"/>
      <c r="E142" s="510">
        <v>4000</v>
      </c>
      <c r="F142" s="510">
        <v>5415</v>
      </c>
      <c r="G142" s="899">
        <v>7035</v>
      </c>
      <c r="H142" s="510">
        <f>H292*H36</f>
        <v>5020.244085453749</v>
      </c>
      <c r="I142" s="510">
        <f>I292*I36</f>
        <v>3484.192496663205</v>
      </c>
      <c r="J142" s="510">
        <f>J292*J36</f>
        <v>2418.1289091060112</v>
      </c>
      <c r="K142" s="510">
        <f>K292*K36</f>
        <v>1678.2503913472647</v>
      </c>
      <c r="L142" s="811">
        <f>L292*L36</f>
        <v>1164.753609888616</v>
      </c>
    </row>
    <row r="143" spans="1:13" s="410" customFormat="1" ht="14.25" x14ac:dyDescent="0.2">
      <c r="A143" s="473" t="s">
        <v>590</v>
      </c>
      <c r="B143" s="500"/>
      <c r="C143" s="500"/>
      <c r="D143" s="500"/>
      <c r="E143" s="500"/>
      <c r="F143" s="500"/>
      <c r="G143" s="899">
        <v>23786</v>
      </c>
      <c r="H143" s="812">
        <f>H234</f>
        <v>21407.4</v>
      </c>
      <c r="I143" s="812">
        <f>I234</f>
        <v>19028.800000000003</v>
      </c>
      <c r="J143" s="812">
        <f>J234</f>
        <v>16650.200000000004</v>
      </c>
      <c r="K143" s="812">
        <f>K234</f>
        <v>14271.600000000004</v>
      </c>
      <c r="L143" s="813">
        <f>L234</f>
        <v>11893.000000000004</v>
      </c>
    </row>
    <row r="144" spans="1:13" s="466" customFormat="1" x14ac:dyDescent="0.2">
      <c r="A144" s="467" t="s">
        <v>552</v>
      </c>
      <c r="B144" s="517">
        <f t="shared" ref="B144:G144" si="42">SUM(B136:B143)</f>
        <v>56451</v>
      </c>
      <c r="C144" s="517">
        <f t="shared" si="42"/>
        <v>71261</v>
      </c>
      <c r="D144" s="517">
        <f t="shared" si="42"/>
        <v>78470</v>
      </c>
      <c r="E144" s="517">
        <f t="shared" si="42"/>
        <v>103814</v>
      </c>
      <c r="F144" s="517">
        <f t="shared" si="42"/>
        <v>117579</v>
      </c>
      <c r="G144" s="517">
        <f t="shared" si="42"/>
        <v>168937</v>
      </c>
      <c r="H144" s="1208">
        <f>SUM(H136:H143)</f>
        <v>158934.25894639656</v>
      </c>
      <c r="I144" s="517">
        <f>SUM(I136:I143)</f>
        <v>150320.46935989644</v>
      </c>
      <c r="J144" s="517">
        <f>SUM(J136:J143)</f>
        <v>143165.81628643541</v>
      </c>
      <c r="K144" s="517">
        <f>SUM(K136:K143)</f>
        <v>136814.63589048336</v>
      </c>
      <c r="L144" s="834">
        <f>SUM(L136:L143)</f>
        <v>131279.1425397764</v>
      </c>
      <c r="M144" s="628"/>
    </row>
    <row r="145" spans="1:14" x14ac:dyDescent="0.2">
      <c r="A145" s="468" t="s">
        <v>554</v>
      </c>
      <c r="B145" s="468">
        <f t="shared" ref="B145:L145" si="43">SUM(B135,B144)</f>
        <v>182647</v>
      </c>
      <c r="C145" s="468">
        <f t="shared" si="43"/>
        <v>218522</v>
      </c>
      <c r="D145" s="468">
        <f t="shared" si="43"/>
        <v>248438</v>
      </c>
      <c r="E145" s="468">
        <f t="shared" si="43"/>
        <v>284311</v>
      </c>
      <c r="F145" s="468">
        <f t="shared" si="43"/>
        <v>318424</v>
      </c>
      <c r="G145" s="468">
        <f t="shared" si="43"/>
        <v>375909</v>
      </c>
      <c r="H145" s="1209">
        <f>SUM(H135,H144)</f>
        <v>450515.55450475903</v>
      </c>
      <c r="I145" s="468">
        <f t="shared" si="43"/>
        <v>500420.93528868898</v>
      </c>
      <c r="J145" s="468">
        <f t="shared" si="43"/>
        <v>556426.67069798592</v>
      </c>
      <c r="K145" s="468">
        <f t="shared" si="43"/>
        <v>619014.87581575697</v>
      </c>
      <c r="L145" s="836">
        <f t="shared" si="43"/>
        <v>688731.15077930642</v>
      </c>
    </row>
    <row r="146" spans="1:14" x14ac:dyDescent="0.2">
      <c r="A146" s="119" t="s">
        <v>76</v>
      </c>
      <c r="B146" s="111"/>
      <c r="C146" s="14"/>
      <c r="G146" s="895"/>
      <c r="L146" s="801"/>
    </row>
    <row r="147" spans="1:14" x14ac:dyDescent="0.2">
      <c r="A147" s="473" t="s">
        <v>15</v>
      </c>
      <c r="B147" s="510">
        <v>22026</v>
      </c>
      <c r="C147" s="510">
        <v>24587</v>
      </c>
      <c r="D147" s="510">
        <v>38253</v>
      </c>
      <c r="E147" s="510">
        <v>52617</v>
      </c>
      <c r="F147" s="510">
        <v>47290</v>
      </c>
      <c r="G147" s="899">
        <v>37123</v>
      </c>
      <c r="H147" s="510">
        <f>H38*H78</f>
        <v>51481.58400000001</v>
      </c>
      <c r="I147" s="510">
        <f>I38*I78</f>
        <v>56629.742400000017</v>
      </c>
      <c r="J147" s="510">
        <f>J38*J78</f>
        <v>62292.716640000028</v>
      </c>
      <c r="K147" s="510">
        <f>K38*K78</f>
        <v>68521.988304000028</v>
      </c>
      <c r="L147" s="811">
        <f>L38*L78</f>
        <v>75374.187134400039</v>
      </c>
    </row>
    <row r="148" spans="1:14" x14ac:dyDescent="0.2">
      <c r="A148" s="473" t="s">
        <v>16</v>
      </c>
      <c r="B148" s="510">
        <v>9137</v>
      </c>
      <c r="C148" s="510">
        <v>11194</v>
      </c>
      <c r="D148" s="510">
        <v>11270</v>
      </c>
      <c r="E148" s="510">
        <v>13257</v>
      </c>
      <c r="F148" s="510">
        <v>12261</v>
      </c>
      <c r="G148" s="899">
        <v>20548</v>
      </c>
      <c r="H148" s="510">
        <f>-H39*H98</f>
        <v>19340.895657600002</v>
      </c>
      <c r="I148" s="510">
        <f>-I39*I98</f>
        <v>21274.985223360007</v>
      </c>
      <c r="J148" s="510">
        <f>-J39*J98</f>
        <v>23402.483745696009</v>
      </c>
      <c r="K148" s="510">
        <f>-K39*K98</f>
        <v>25742.732120265609</v>
      </c>
      <c r="L148" s="811">
        <f>-L39*L98</f>
        <v>28317.00533229217</v>
      </c>
    </row>
    <row r="149" spans="1:14" x14ac:dyDescent="0.2">
      <c r="A149" s="884" t="s">
        <v>591</v>
      </c>
      <c r="B149" s="510"/>
      <c r="C149" s="510"/>
      <c r="D149" s="510"/>
      <c r="E149" s="510">
        <v>136557</v>
      </c>
      <c r="F149" s="510">
        <v>147558</v>
      </c>
      <c r="G149" s="899">
        <v>144148</v>
      </c>
      <c r="H149" s="510">
        <f>H40*H78</f>
        <v>188006.40150564435</v>
      </c>
      <c r="I149" s="510">
        <f>I40*I78</f>
        <v>206807.04165620881</v>
      </c>
      <c r="J149" s="510">
        <f>J40*J78</f>
        <v>227487.74582182968</v>
      </c>
      <c r="K149" s="510">
        <f>K40*K78</f>
        <v>250236.52040401267</v>
      </c>
      <c r="L149" s="811">
        <f>L40*L78</f>
        <v>275260.172444414</v>
      </c>
    </row>
    <row r="150" spans="1:14" x14ac:dyDescent="0.2">
      <c r="A150" s="473" t="s">
        <v>17</v>
      </c>
      <c r="B150" s="510">
        <v>3479</v>
      </c>
      <c r="C150" s="510">
        <v>1085</v>
      </c>
      <c r="D150" s="510">
        <v>392</v>
      </c>
      <c r="E150" s="555">
        <v>0</v>
      </c>
      <c r="F150" s="555">
        <v>0</v>
      </c>
      <c r="G150" s="922">
        <v>0</v>
      </c>
      <c r="H150" s="451">
        <f t="shared" ref="H150:L152" si="44">H41</f>
        <v>0</v>
      </c>
      <c r="I150" s="451">
        <f t="shared" si="44"/>
        <v>0</v>
      </c>
      <c r="J150" s="451">
        <f t="shared" si="44"/>
        <v>0</v>
      </c>
      <c r="K150" s="451">
        <f t="shared" si="44"/>
        <v>0</v>
      </c>
      <c r="L150" s="837">
        <f t="shared" si="44"/>
        <v>0</v>
      </c>
    </row>
    <row r="151" spans="1:14" x14ac:dyDescent="0.2">
      <c r="A151" s="473" t="s">
        <v>18</v>
      </c>
      <c r="B151" s="510">
        <v>12672</v>
      </c>
      <c r="C151" s="510">
        <v>20885</v>
      </c>
      <c r="D151" s="510">
        <v>27862</v>
      </c>
      <c r="E151" s="555">
        <v>0</v>
      </c>
      <c r="F151" s="555">
        <v>0</v>
      </c>
      <c r="G151" s="922">
        <v>0</v>
      </c>
      <c r="H151" s="451">
        <f>H42</f>
        <v>0</v>
      </c>
      <c r="I151" s="451">
        <f t="shared" si="44"/>
        <v>0</v>
      </c>
      <c r="J151" s="451">
        <f t="shared" si="44"/>
        <v>0</v>
      </c>
      <c r="K151" s="451">
        <f t="shared" si="44"/>
        <v>0</v>
      </c>
      <c r="L151" s="837">
        <f t="shared" si="44"/>
        <v>0</v>
      </c>
    </row>
    <row r="152" spans="1:14" x14ac:dyDescent="0.2">
      <c r="A152" s="473" t="s">
        <v>19</v>
      </c>
      <c r="B152" s="510">
        <v>2363</v>
      </c>
      <c r="C152" s="510">
        <v>29</v>
      </c>
      <c r="D152" s="510">
        <v>10</v>
      </c>
      <c r="E152" s="510">
        <v>5</v>
      </c>
      <c r="F152" s="510">
        <v>5</v>
      </c>
      <c r="G152" s="899" t="s">
        <v>354</v>
      </c>
      <c r="H152" s="469">
        <f t="shared" si="44"/>
        <v>0</v>
      </c>
      <c r="I152" s="469">
        <f t="shared" si="44"/>
        <v>0</v>
      </c>
      <c r="J152" s="469">
        <f t="shared" si="44"/>
        <v>0</v>
      </c>
      <c r="K152" s="469">
        <f t="shared" si="44"/>
        <v>0</v>
      </c>
      <c r="L152" s="818">
        <f t="shared" si="44"/>
        <v>0</v>
      </c>
    </row>
    <row r="153" spans="1:14" s="410" customFormat="1" ht="14.25" x14ac:dyDescent="0.2">
      <c r="A153" s="473" t="s">
        <v>592</v>
      </c>
      <c r="B153" s="500"/>
      <c r="C153" s="500"/>
      <c r="D153" s="500"/>
      <c r="E153" s="500"/>
      <c r="F153" s="500"/>
      <c r="G153" s="899">
        <v>2148</v>
      </c>
      <c r="H153" s="812">
        <f>H236</f>
        <v>1562.7402</v>
      </c>
      <c r="I153" s="812">
        <f>I236</f>
        <v>1389.1024000000002</v>
      </c>
      <c r="J153" s="812">
        <f>J236</f>
        <v>1215.4646000000002</v>
      </c>
      <c r="K153" s="812">
        <f>K236</f>
        <v>1041.8268000000003</v>
      </c>
      <c r="L153" s="813">
        <f>L236</f>
        <v>868.18900000000019</v>
      </c>
    </row>
    <row r="154" spans="1:14" s="466" customFormat="1" x14ac:dyDescent="0.2">
      <c r="A154" s="467" t="s">
        <v>555</v>
      </c>
      <c r="B154" s="517">
        <f t="shared" ref="B154:L154" si="45">SUM(B147:B153)</f>
        <v>49677</v>
      </c>
      <c r="C154" s="517">
        <f t="shared" si="45"/>
        <v>57780</v>
      </c>
      <c r="D154" s="517">
        <f t="shared" si="45"/>
        <v>77787</v>
      </c>
      <c r="E154" s="517">
        <f t="shared" si="45"/>
        <v>202436</v>
      </c>
      <c r="F154" s="517">
        <f t="shared" si="45"/>
        <v>207114</v>
      </c>
      <c r="G154" s="919">
        <f t="shared" si="45"/>
        <v>203967</v>
      </c>
      <c r="H154" s="517">
        <f t="shared" si="45"/>
        <v>260391.62136324437</v>
      </c>
      <c r="I154" s="517">
        <f t="shared" si="45"/>
        <v>286100.87167956878</v>
      </c>
      <c r="J154" s="517">
        <f t="shared" si="45"/>
        <v>314398.41080752574</v>
      </c>
      <c r="K154" s="517">
        <f t="shared" si="45"/>
        <v>345543.06762827828</v>
      </c>
      <c r="L154" s="834">
        <f t="shared" si="45"/>
        <v>379819.5539111062</v>
      </c>
    </row>
    <row r="155" spans="1:14" x14ac:dyDescent="0.2">
      <c r="A155" s="473" t="s">
        <v>15</v>
      </c>
      <c r="B155" s="555">
        <v>8513</v>
      </c>
      <c r="C155" s="555">
        <v>16068</v>
      </c>
      <c r="D155" s="555">
        <v>8370</v>
      </c>
      <c r="E155" s="555">
        <v>0</v>
      </c>
      <c r="F155" s="555">
        <v>0</v>
      </c>
      <c r="G155" s="922">
        <v>0</v>
      </c>
      <c r="H155" s="555">
        <f>H46*H78</f>
        <v>0</v>
      </c>
      <c r="I155" s="555">
        <f t="shared" ref="I155:L155" si="46">I46*I78</f>
        <v>0</v>
      </c>
      <c r="J155" s="555">
        <f t="shared" si="46"/>
        <v>0</v>
      </c>
      <c r="K155" s="555">
        <f t="shared" si="46"/>
        <v>0</v>
      </c>
      <c r="L155" s="837">
        <f t="shared" si="46"/>
        <v>0</v>
      </c>
    </row>
    <row r="156" spans="1:14" x14ac:dyDescent="0.2">
      <c r="A156" s="473" t="s">
        <v>16</v>
      </c>
      <c r="B156" s="555">
        <v>4793</v>
      </c>
      <c r="C156" s="555">
        <v>4555</v>
      </c>
      <c r="D156" s="555">
        <v>3338</v>
      </c>
      <c r="E156" s="555">
        <v>3144</v>
      </c>
      <c r="F156" s="555">
        <v>3616</v>
      </c>
      <c r="G156" s="922">
        <v>2430</v>
      </c>
      <c r="H156" s="555">
        <f>-H47*H98</f>
        <v>5372.4710160000004</v>
      </c>
      <c r="I156" s="555">
        <f>-I47*I98</f>
        <v>5909.7181176000013</v>
      </c>
      <c r="J156" s="555">
        <f>-J47*J98</f>
        <v>6500.6899293600018</v>
      </c>
      <c r="K156" s="555">
        <f>-K47*K98</f>
        <v>7150.7589222960023</v>
      </c>
      <c r="L156" s="838">
        <f>-L47*L98</f>
        <v>7865.8348145256023</v>
      </c>
    </row>
    <row r="157" spans="1:14" x14ac:dyDescent="0.2">
      <c r="A157" s="473" t="s">
        <v>19</v>
      </c>
      <c r="B157" s="555">
        <v>29</v>
      </c>
      <c r="C157" s="555" t="s">
        <v>22</v>
      </c>
      <c r="D157" s="555" t="s">
        <v>22</v>
      </c>
      <c r="E157" s="555" t="s">
        <v>22</v>
      </c>
      <c r="F157" s="555" t="s">
        <v>22</v>
      </c>
      <c r="G157" s="922">
        <v>0</v>
      </c>
      <c r="H157" s="555">
        <v>0</v>
      </c>
      <c r="I157" s="555">
        <v>0</v>
      </c>
      <c r="J157" s="469">
        <f t="shared" ref="H157:L158" si="47">J48</f>
        <v>0</v>
      </c>
      <c r="K157" s="469">
        <f t="shared" si="47"/>
        <v>0</v>
      </c>
      <c r="L157" s="818">
        <f t="shared" si="47"/>
        <v>0</v>
      </c>
    </row>
    <row r="158" spans="1:14" x14ac:dyDescent="0.2">
      <c r="A158" s="473" t="s">
        <v>23</v>
      </c>
      <c r="B158" s="555">
        <v>1695</v>
      </c>
      <c r="C158" s="555">
        <v>1625</v>
      </c>
      <c r="D158" s="555">
        <v>1423</v>
      </c>
      <c r="E158" s="555">
        <v>1241</v>
      </c>
      <c r="F158" s="555">
        <v>837</v>
      </c>
      <c r="G158" s="922">
        <v>147</v>
      </c>
      <c r="H158" s="469">
        <f t="shared" si="47"/>
        <v>147</v>
      </c>
      <c r="I158" s="469">
        <f t="shared" si="47"/>
        <v>147</v>
      </c>
      <c r="J158" s="469">
        <f t="shared" si="47"/>
        <v>147</v>
      </c>
      <c r="K158" s="469">
        <f t="shared" si="47"/>
        <v>147</v>
      </c>
      <c r="L158" s="818">
        <f t="shared" si="47"/>
        <v>147</v>
      </c>
    </row>
    <row r="159" spans="1:14" s="410" customFormat="1" ht="14.25" x14ac:dyDescent="0.2">
      <c r="A159" s="473" t="s">
        <v>592</v>
      </c>
      <c r="B159" s="556"/>
      <c r="C159" s="556"/>
      <c r="D159" s="556"/>
      <c r="E159" s="556"/>
      <c r="F159" s="556"/>
      <c r="G159" s="922">
        <v>27197</v>
      </c>
      <c r="H159" s="549">
        <f>H238</f>
        <v>19844.659800000001</v>
      </c>
      <c r="I159" s="549">
        <f>I238</f>
        <v>17639.697600000003</v>
      </c>
      <c r="J159" s="549">
        <f>J238</f>
        <v>15434.735400000005</v>
      </c>
      <c r="K159" s="549">
        <f>K238</f>
        <v>13229.773200000005</v>
      </c>
      <c r="L159" s="839">
        <f>L238</f>
        <v>11024.811000000003</v>
      </c>
      <c r="N159" s="812"/>
    </row>
    <row r="160" spans="1:14" x14ac:dyDescent="0.2">
      <c r="A160" s="518" t="s">
        <v>593</v>
      </c>
      <c r="B160" s="517">
        <f t="shared" ref="B160:L160" si="48">SUM(B155:B159)</f>
        <v>15030</v>
      </c>
      <c r="C160" s="517">
        <f t="shared" si="48"/>
        <v>22248</v>
      </c>
      <c r="D160" s="517">
        <f t="shared" si="48"/>
        <v>13131</v>
      </c>
      <c r="E160" s="517">
        <f t="shared" si="48"/>
        <v>4385</v>
      </c>
      <c r="F160" s="517">
        <f t="shared" si="48"/>
        <v>4453</v>
      </c>
      <c r="G160" s="919">
        <f t="shared" si="48"/>
        <v>29774</v>
      </c>
      <c r="H160" s="517">
        <f t="shared" si="48"/>
        <v>25364.130816000001</v>
      </c>
      <c r="I160" s="517">
        <f t="shared" si="48"/>
        <v>23696.415717600004</v>
      </c>
      <c r="J160" s="517">
        <f t="shared" si="48"/>
        <v>22082.425329360005</v>
      </c>
      <c r="K160" s="517">
        <f t="shared" si="48"/>
        <v>20527.532122296008</v>
      </c>
      <c r="L160" s="834">
        <f t="shared" si="48"/>
        <v>19037.645814525604</v>
      </c>
    </row>
    <row r="161" spans="1:13" x14ac:dyDescent="0.2">
      <c r="A161" s="468" t="s">
        <v>556</v>
      </c>
      <c r="B161" s="468">
        <f t="shared" ref="B161:G161" si="49">SUM(B154,B160)</f>
        <v>64707</v>
      </c>
      <c r="C161" s="468">
        <f t="shared" si="49"/>
        <v>80028</v>
      </c>
      <c r="D161" s="468">
        <f t="shared" si="49"/>
        <v>90918</v>
      </c>
      <c r="E161" s="468">
        <f t="shared" si="49"/>
        <v>206821</v>
      </c>
      <c r="F161" s="468">
        <f t="shared" si="49"/>
        <v>211567</v>
      </c>
      <c r="G161" s="921">
        <f t="shared" si="49"/>
        <v>233741</v>
      </c>
      <c r="H161" s="894">
        <f>SUM(H154,H160)</f>
        <v>285755.75217924436</v>
      </c>
      <c r="I161" s="468">
        <f>SUM(I154,I160)</f>
        <v>309797.28739716881</v>
      </c>
      <c r="J161" s="468">
        <f>SUM(J154,J160)</f>
        <v>336480.83613688574</v>
      </c>
      <c r="K161" s="468">
        <f>SUM(K154,K160)</f>
        <v>366070.59975057427</v>
      </c>
      <c r="L161" s="836">
        <f>SUM(L154,L160)</f>
        <v>398857.1997256318</v>
      </c>
    </row>
    <row r="162" spans="1:13" x14ac:dyDescent="0.2">
      <c r="A162" s="468" t="s">
        <v>557</v>
      </c>
      <c r="B162" s="468">
        <f t="shared" ref="B162:G162" si="50">B145-B161</f>
        <v>117940</v>
      </c>
      <c r="C162" s="468">
        <f t="shared" si="50"/>
        <v>138494</v>
      </c>
      <c r="D162" s="468">
        <f t="shared" si="50"/>
        <v>157520</v>
      </c>
      <c r="E162" s="468">
        <f t="shared" si="50"/>
        <v>77490</v>
      </c>
      <c r="F162" s="468">
        <f t="shared" si="50"/>
        <v>106857</v>
      </c>
      <c r="G162" s="921">
        <f t="shared" si="50"/>
        <v>142168</v>
      </c>
      <c r="H162" s="894">
        <f>H145-H161</f>
        <v>164759.80232551467</v>
      </c>
      <c r="I162" s="468">
        <f>I145-I161</f>
        <v>190623.64789152017</v>
      </c>
      <c r="J162" s="468">
        <f>J145-J161</f>
        <v>219945.83456110017</v>
      </c>
      <c r="K162" s="468">
        <f>K145-K161</f>
        <v>252944.2760651827</v>
      </c>
      <c r="L162" s="836">
        <f>L145-L161</f>
        <v>289873.95105367462</v>
      </c>
    </row>
    <row r="163" spans="1:13" x14ac:dyDescent="0.2">
      <c r="A163" s="122" t="s">
        <v>77</v>
      </c>
      <c r="B163" s="116"/>
      <c r="C163" s="13"/>
      <c r="G163" s="895"/>
      <c r="L163" s="801"/>
    </row>
    <row r="164" spans="1:13" x14ac:dyDescent="0.2">
      <c r="A164" s="473" t="s">
        <v>27</v>
      </c>
      <c r="B164" s="510">
        <v>28459</v>
      </c>
      <c r="C164" s="510">
        <v>29984</v>
      </c>
      <c r="D164" s="510">
        <v>32152</v>
      </c>
      <c r="E164" s="510">
        <v>33171</v>
      </c>
      <c r="F164" s="510">
        <v>35302</v>
      </c>
      <c r="G164" s="899">
        <v>40551</v>
      </c>
      <c r="H164" s="510">
        <f>H299</f>
        <v>43856</v>
      </c>
      <c r="I164" s="510">
        <f>I299</f>
        <v>46430.0792</v>
      </c>
      <c r="J164" s="510">
        <f>J299</f>
        <v>49261.566319999998</v>
      </c>
      <c r="K164" s="510">
        <f>K299</f>
        <v>52376.202151999998</v>
      </c>
      <c r="L164" s="811">
        <f>L299</f>
        <v>55802.301567199996</v>
      </c>
    </row>
    <row r="165" spans="1:13" x14ac:dyDescent="0.2">
      <c r="A165" s="473" t="s">
        <v>28</v>
      </c>
      <c r="B165" s="510">
        <v>31097</v>
      </c>
      <c r="C165" s="510">
        <v>38350</v>
      </c>
      <c r="D165" s="510">
        <v>34687</v>
      </c>
      <c r="E165" s="510">
        <v>31561</v>
      </c>
      <c r="F165" s="510">
        <v>55477</v>
      </c>
      <c r="G165" s="899">
        <v>63524</v>
      </c>
      <c r="H165" s="510">
        <f ca="1">H307</f>
        <v>30290.0792</v>
      </c>
      <c r="I165" s="510">
        <f ca="1">I307</f>
        <v>30547.487119999998</v>
      </c>
      <c r="J165" s="510">
        <f ca="1">J307</f>
        <v>30830.635831999996</v>
      </c>
      <c r="K165" s="510">
        <f ca="1">K307</f>
        <v>31142.099415199998</v>
      </c>
      <c r="L165" s="811">
        <f ca="1">L307</f>
        <v>31484.709356719995</v>
      </c>
    </row>
    <row r="166" spans="1:13" x14ac:dyDescent="0.2">
      <c r="A166" s="473" t="s">
        <v>29</v>
      </c>
      <c r="B166" s="510">
        <v>58384</v>
      </c>
      <c r="C166" s="510">
        <v>70160</v>
      </c>
      <c r="D166" s="510">
        <v>90681</v>
      </c>
      <c r="E166" s="510">
        <v>12758</v>
      </c>
      <c r="F166" s="510">
        <v>16078</v>
      </c>
      <c r="G166" s="899">
        <v>38093</v>
      </c>
      <c r="H166" s="510">
        <f>G166+H108+H112</f>
        <v>58476.448725514732</v>
      </c>
      <c r="I166" s="510">
        <f>H166+I108+I112</f>
        <v>81911.305331520212</v>
      </c>
      <c r="J166" s="510">
        <f>I166+J108+J112</f>
        <v>108561.80414510009</v>
      </c>
      <c r="K166" s="510">
        <f>J166+K108+K112</f>
        <v>138621.58900758275</v>
      </c>
      <c r="L166" s="811">
        <f>K166+L108+L112</f>
        <v>172318.94169031462</v>
      </c>
    </row>
    <row r="167" spans="1:13" x14ac:dyDescent="0.2">
      <c r="A167" s="468" t="s">
        <v>594</v>
      </c>
      <c r="B167" s="468">
        <f>SUM(B164:B166)</f>
        <v>117940</v>
      </c>
      <c r="C167" s="468">
        <f t="shared" ref="C167:L167" si="51">SUM(C164:C166)</f>
        <v>138494</v>
      </c>
      <c r="D167" s="468">
        <f t="shared" si="51"/>
        <v>157520</v>
      </c>
      <c r="E167" s="468">
        <f t="shared" si="51"/>
        <v>77490</v>
      </c>
      <c r="F167" s="468">
        <f t="shared" si="51"/>
        <v>106857</v>
      </c>
      <c r="G167" s="921">
        <f>SUM(G164:G166)</f>
        <v>142168</v>
      </c>
      <c r="H167" s="894">
        <f ca="1">SUM(H164:H166)</f>
        <v>132622.52792551473</v>
      </c>
      <c r="I167" s="468">
        <f t="shared" ca="1" si="51"/>
        <v>158888.8716515202</v>
      </c>
      <c r="J167" s="468">
        <f t="shared" ca="1" si="51"/>
        <v>188654.0062971001</v>
      </c>
      <c r="K167" s="468">
        <f t="shared" ca="1" si="51"/>
        <v>222139.89057478274</v>
      </c>
      <c r="L167" s="836">
        <f t="shared" ca="1" si="51"/>
        <v>259605.95261423461</v>
      </c>
    </row>
    <row r="168" spans="1:13" x14ac:dyDescent="0.2">
      <c r="G168" s="895"/>
      <c r="H168" s="469"/>
      <c r="L168" s="801"/>
    </row>
    <row r="169" spans="1:13" x14ac:dyDescent="0.2">
      <c r="A169" s="53" t="s">
        <v>558</v>
      </c>
      <c r="B169" s="469">
        <f t="shared" ref="B169:G169" si="52">B145-B161-B167</f>
        <v>0</v>
      </c>
      <c r="C169" s="469">
        <f t="shared" si="52"/>
        <v>0</v>
      </c>
      <c r="D169" s="469">
        <f t="shared" si="52"/>
        <v>0</v>
      </c>
      <c r="E169" s="469">
        <f t="shared" si="52"/>
        <v>0</v>
      </c>
      <c r="F169" s="469">
        <f t="shared" si="52"/>
        <v>0</v>
      </c>
      <c r="G169" s="920">
        <f t="shared" si="52"/>
        <v>0</v>
      </c>
      <c r="H169" s="469">
        <f ca="1">H145-H161-H167</f>
        <v>32137.274399999937</v>
      </c>
      <c r="I169" s="469">
        <f ca="1">I145-I161-I167</f>
        <v>31734.776239999977</v>
      </c>
      <c r="J169" s="469">
        <f ca="1">J145-J161-J167</f>
        <v>31291.828264000069</v>
      </c>
      <c r="K169" s="469">
        <f ca="1">K145-K161-K167</f>
        <v>30804.38549039996</v>
      </c>
      <c r="L169" s="818">
        <f ca="1">L145-L161-L167</f>
        <v>30267.998439440009</v>
      </c>
    </row>
    <row r="170" spans="1:13" x14ac:dyDescent="0.2">
      <c r="B170" s="469"/>
      <c r="C170" s="469"/>
      <c r="G170" s="895"/>
      <c r="H170" s="469">
        <f ca="1">H145-H169</f>
        <v>418378.28010475909</v>
      </c>
      <c r="I170" s="469">
        <f t="shared" ref="I170:L170" ca="1" si="53">I145-I169</f>
        <v>468686.15904868901</v>
      </c>
      <c r="J170" s="469">
        <f t="shared" ca="1" si="53"/>
        <v>525134.84243398579</v>
      </c>
      <c r="K170" s="469">
        <f t="shared" ca="1" si="53"/>
        <v>588210.49032535707</v>
      </c>
      <c r="L170" s="469">
        <f t="shared" ca="1" si="53"/>
        <v>658463.15233986638</v>
      </c>
      <c r="M170" s="53"/>
    </row>
    <row r="171" spans="1:13" x14ac:dyDescent="0.2">
      <c r="G171" s="895"/>
      <c r="H171" s="469"/>
      <c r="L171" s="801"/>
    </row>
    <row r="172" spans="1:13" s="1293" customFormat="1" ht="18.75" x14ac:dyDescent="0.3">
      <c r="A172" s="1292" t="s">
        <v>451</v>
      </c>
      <c r="G172" s="1294"/>
      <c r="L172" s="1297"/>
      <c r="M172" s="1296"/>
    </row>
    <row r="173" spans="1:13" x14ac:dyDescent="0.2">
      <c r="G173" s="895"/>
      <c r="L173" s="801"/>
    </row>
    <row r="174" spans="1:13" x14ac:dyDescent="0.2">
      <c r="A174" s="629" t="s">
        <v>893</v>
      </c>
      <c r="B174" s="488"/>
      <c r="C174" s="488"/>
      <c r="D174" s="488"/>
      <c r="E174" s="488"/>
      <c r="F174" s="488"/>
      <c r="G174" s="923"/>
      <c r="H174" s="488"/>
      <c r="I174" s="488"/>
      <c r="J174" s="488"/>
      <c r="K174" s="488"/>
      <c r="L174" s="840"/>
    </row>
    <row r="175" spans="1:13" x14ac:dyDescent="0.2">
      <c r="A175" s="4" t="s">
        <v>452</v>
      </c>
      <c r="B175" s="931">
        <f t="shared" ref="B175:G175" si="54">B108</f>
        <v>35785</v>
      </c>
      <c r="C175" s="469">
        <f t="shared" si="54"/>
        <v>41344</v>
      </c>
      <c r="D175" s="469">
        <f t="shared" si="54"/>
        <v>44494</v>
      </c>
      <c r="E175" s="469">
        <f t="shared" si="54"/>
        <v>21691</v>
      </c>
      <c r="F175" s="469">
        <f t="shared" si="54"/>
        <v>58459</v>
      </c>
      <c r="G175" s="920">
        <f t="shared" si="54"/>
        <v>98223</v>
      </c>
      <c r="H175" s="510">
        <f>H108</f>
        <v>51998.593687537599</v>
      </c>
      <c r="I175" s="510">
        <f>I108</f>
        <v>59782.797464299714</v>
      </c>
      <c r="J175" s="510">
        <f>J108</f>
        <v>67985.966361173138</v>
      </c>
      <c r="K175" s="510">
        <f>K108</f>
        <v>76683.124649190431</v>
      </c>
      <c r="L175" s="811">
        <f>L108</f>
        <v>85962.634394724155</v>
      </c>
    </row>
    <row r="176" spans="1:13" x14ac:dyDescent="0.2">
      <c r="A176" s="4" t="s">
        <v>453</v>
      </c>
      <c r="B176" s="931">
        <f t="shared" ref="B176:G176" si="55">-B84</f>
        <v>4157</v>
      </c>
      <c r="C176" s="469">
        <f t="shared" si="55"/>
        <v>3924</v>
      </c>
      <c r="D176" s="469">
        <f t="shared" si="55"/>
        <v>4237</v>
      </c>
      <c r="E176" s="469">
        <f t="shared" si="55"/>
        <v>5102</v>
      </c>
      <c r="F176" s="469">
        <f t="shared" si="55"/>
        <v>6127</v>
      </c>
      <c r="G176" s="920">
        <f t="shared" si="55"/>
        <v>18638</v>
      </c>
      <c r="H176" s="469">
        <f>-H84</f>
        <v>13753.946346993976</v>
      </c>
      <c r="I176" s="469">
        <f>-I84</f>
        <v>12003.356214271096</v>
      </c>
      <c r="J176" s="469">
        <f>-J84</f>
        <v>10670.053004629292</v>
      </c>
      <c r="K176" s="469">
        <f>-K84</f>
        <v>9642.2335325561708</v>
      </c>
      <c r="L176" s="818">
        <f>-L84</f>
        <v>8840.2462673956361</v>
      </c>
    </row>
    <row r="177" spans="1:12" x14ac:dyDescent="0.2">
      <c r="A177" s="4" t="s">
        <v>454</v>
      </c>
      <c r="B177" s="931" t="s">
        <v>22</v>
      </c>
      <c r="C177" s="931" t="s">
        <v>22</v>
      </c>
      <c r="D177" s="931" t="s">
        <v>22</v>
      </c>
      <c r="E177" s="931" t="s">
        <v>22</v>
      </c>
      <c r="F177" s="931" t="s">
        <v>22</v>
      </c>
      <c r="G177" s="932" t="s">
        <v>22</v>
      </c>
      <c r="H177" s="555" t="s">
        <v>22</v>
      </c>
      <c r="I177" s="555" t="s">
        <v>22</v>
      </c>
      <c r="J177" s="555" t="s">
        <v>22</v>
      </c>
      <c r="K177" s="555" t="s">
        <v>22</v>
      </c>
      <c r="L177" s="838" t="s">
        <v>22</v>
      </c>
    </row>
    <row r="178" spans="1:12" x14ac:dyDescent="0.2">
      <c r="A178" s="4" t="s">
        <v>455</v>
      </c>
      <c r="B178" s="931">
        <f t="shared" ref="B178:L178" si="56">-B99</f>
        <v>1548</v>
      </c>
      <c r="C178" s="931">
        <f t="shared" si="56"/>
        <v>1496</v>
      </c>
      <c r="D178" s="931">
        <f t="shared" si="56"/>
        <v>1576</v>
      </c>
      <c r="E178" s="931">
        <f t="shared" si="56"/>
        <v>1595</v>
      </c>
      <c r="F178" s="931">
        <f t="shared" si="56"/>
        <v>2018</v>
      </c>
      <c r="G178" s="932">
        <f t="shared" si="56"/>
        <v>3305</v>
      </c>
      <c r="H178" s="623">
        <f>-H99</f>
        <v>2574.0792000000001</v>
      </c>
      <c r="I178" s="623">
        <f t="shared" si="56"/>
        <v>2831.4871200000007</v>
      </c>
      <c r="J178" s="623">
        <f t="shared" si="56"/>
        <v>3114.6358320000008</v>
      </c>
      <c r="K178" s="623">
        <f t="shared" si="56"/>
        <v>3426.0994152000012</v>
      </c>
      <c r="L178" s="841">
        <f t="shared" si="56"/>
        <v>3768.7093567200018</v>
      </c>
    </row>
    <row r="179" spans="1:12" x14ac:dyDescent="0.2">
      <c r="A179" s="4" t="s">
        <v>456</v>
      </c>
      <c r="B179" s="931" t="s">
        <v>22</v>
      </c>
      <c r="C179" s="931" t="s">
        <v>22</v>
      </c>
      <c r="D179" s="931" t="s">
        <v>22</v>
      </c>
      <c r="E179" s="931" t="s">
        <v>22</v>
      </c>
      <c r="F179" s="931" t="s">
        <v>22</v>
      </c>
      <c r="G179" s="933" t="s">
        <v>633</v>
      </c>
      <c r="H179" s="555" t="s">
        <v>22</v>
      </c>
      <c r="I179" s="555" t="s">
        <v>22</v>
      </c>
      <c r="J179" s="555" t="s">
        <v>22</v>
      </c>
      <c r="K179" s="555" t="s">
        <v>22</v>
      </c>
      <c r="L179" s="838" t="s">
        <v>22</v>
      </c>
    </row>
    <row r="180" spans="1:12" x14ac:dyDescent="0.2">
      <c r="A180" s="4" t="s">
        <v>457</v>
      </c>
      <c r="B180" s="931" t="s">
        <v>22</v>
      </c>
      <c r="C180" s="931" t="s">
        <v>22</v>
      </c>
      <c r="D180" s="931" t="s">
        <v>22</v>
      </c>
      <c r="E180" s="931" t="s">
        <v>22</v>
      </c>
      <c r="F180" s="931" t="s">
        <v>22</v>
      </c>
      <c r="G180" s="932" t="s">
        <v>22</v>
      </c>
      <c r="H180" s="555" t="s">
        <v>22</v>
      </c>
      <c r="I180" s="555" t="s">
        <v>22</v>
      </c>
      <c r="J180" s="555" t="s">
        <v>22</v>
      </c>
      <c r="K180" s="555" t="s">
        <v>22</v>
      </c>
      <c r="L180" s="838" t="s">
        <v>22</v>
      </c>
    </row>
    <row r="181" spans="1:12" ht="24" x14ac:dyDescent="0.2">
      <c r="A181" s="4" t="s">
        <v>458</v>
      </c>
      <c r="B181" s="469"/>
      <c r="C181" s="469"/>
      <c r="D181" s="469"/>
      <c r="E181" s="469"/>
      <c r="F181" s="469"/>
      <c r="G181" s="920"/>
      <c r="L181" s="801"/>
    </row>
    <row r="182" spans="1:12" x14ac:dyDescent="0.2">
      <c r="A182" s="4" t="s">
        <v>785</v>
      </c>
      <c r="B182" s="469"/>
      <c r="C182" s="469">
        <f t="shared" ref="C182:L182" si="57">-(C128-B128)</f>
        <v>-4015</v>
      </c>
      <c r="D182" s="469">
        <f t="shared" si="57"/>
        <v>-2403</v>
      </c>
      <c r="E182" s="469">
        <f t="shared" si="57"/>
        <v>-2632</v>
      </c>
      <c r="F182" s="469">
        <f t="shared" si="57"/>
        <v>-1958</v>
      </c>
      <c r="G182" s="920">
        <f t="shared" si="57"/>
        <v>1959</v>
      </c>
      <c r="H182" s="469">
        <f t="shared" si="57"/>
        <v>-2387.1216000000004</v>
      </c>
      <c r="I182" s="469">
        <f t="shared" si="57"/>
        <v>-1323.8121600000013</v>
      </c>
      <c r="J182" s="469">
        <f t="shared" si="57"/>
        <v>-1456.1933760000029</v>
      </c>
      <c r="K182" s="469">
        <f t="shared" si="57"/>
        <v>-1601.8127136000021</v>
      </c>
      <c r="L182" s="818">
        <f t="shared" si="57"/>
        <v>-1761.9939849600014</v>
      </c>
    </row>
    <row r="183" spans="1:12" x14ac:dyDescent="0.2">
      <c r="A183" s="4" t="s">
        <v>776</v>
      </c>
      <c r="B183" s="469"/>
      <c r="C183" s="469">
        <f t="shared" ref="C183:L183" si="58">-(C129-B129)</f>
        <v>-3369</v>
      </c>
      <c r="D183" s="469">
        <f t="shared" si="58"/>
        <v>-11620</v>
      </c>
      <c r="E183" s="469">
        <f t="shared" si="58"/>
        <v>-6292</v>
      </c>
      <c r="F183" s="469">
        <f t="shared" si="58"/>
        <v>10522</v>
      </c>
      <c r="G183" s="920">
        <f t="shared" si="58"/>
        <v>11636</v>
      </c>
      <c r="H183" s="469">
        <f t="shared" si="58"/>
        <v>-28426.882400000002</v>
      </c>
      <c r="I183" s="469">
        <f t="shared" si="58"/>
        <v>-6582.288240000009</v>
      </c>
      <c r="J183" s="469">
        <f t="shared" si="58"/>
        <v>-7240.5170640000142</v>
      </c>
      <c r="K183" s="469">
        <f t="shared" si="58"/>
        <v>-7964.5687704000011</v>
      </c>
      <c r="L183" s="818">
        <f t="shared" si="58"/>
        <v>-8761.0256474400085</v>
      </c>
    </row>
    <row r="184" spans="1:12" x14ac:dyDescent="0.2">
      <c r="A184" s="4" t="s">
        <v>777</v>
      </c>
      <c r="B184" s="469"/>
      <c r="C184" s="469">
        <f t="shared" ref="C184:L184" si="59">-(C132-B132)</f>
        <v>-438</v>
      </c>
      <c r="D184" s="469">
        <f t="shared" si="59"/>
        <v>-5</v>
      </c>
      <c r="E184" s="469">
        <f t="shared" si="59"/>
        <v>-161</v>
      </c>
      <c r="F184" s="469">
        <f t="shared" si="59"/>
        <v>496</v>
      </c>
      <c r="G184" s="920">
        <f t="shared" si="59"/>
        <v>66</v>
      </c>
      <c r="H184" s="469">
        <f t="shared" si="59"/>
        <v>0</v>
      </c>
      <c r="I184" s="469">
        <f t="shared" si="59"/>
        <v>0</v>
      </c>
      <c r="J184" s="469">
        <f t="shared" si="59"/>
        <v>0</v>
      </c>
      <c r="K184" s="469">
        <f t="shared" si="59"/>
        <v>0</v>
      </c>
      <c r="L184" s="818">
        <f t="shared" si="59"/>
        <v>0</v>
      </c>
    </row>
    <row r="185" spans="1:12" x14ac:dyDescent="0.2">
      <c r="A185" s="4" t="s">
        <v>778</v>
      </c>
      <c r="B185" s="469"/>
      <c r="C185" s="469">
        <f t="shared" ref="C185:L185" si="60">-(C141-B141)</f>
        <v>-198</v>
      </c>
      <c r="D185" s="469">
        <f t="shared" si="60"/>
        <v>2030</v>
      </c>
      <c r="E185" s="469">
        <f t="shared" si="60"/>
        <v>-36796</v>
      </c>
      <c r="F185" s="469">
        <f t="shared" si="60"/>
        <v>10125</v>
      </c>
      <c r="G185" s="920">
        <f t="shared" si="60"/>
        <v>3548</v>
      </c>
      <c r="H185" s="565">
        <f t="shared" si="60"/>
        <v>0</v>
      </c>
      <c r="I185" s="565">
        <f t="shared" si="60"/>
        <v>-95</v>
      </c>
      <c r="J185" s="565">
        <f t="shared" si="60"/>
        <v>-400</v>
      </c>
      <c r="K185" s="565">
        <f t="shared" si="60"/>
        <v>-300</v>
      </c>
      <c r="L185" s="821">
        <f t="shared" si="60"/>
        <v>-400</v>
      </c>
    </row>
    <row r="186" spans="1:12" x14ac:dyDescent="0.2">
      <c r="A186" s="4" t="s">
        <v>779</v>
      </c>
      <c r="B186" s="469"/>
      <c r="C186" s="469">
        <f t="shared" ref="C186:L186" si="61">(C147+C155)-(B147+B155)</f>
        <v>10116</v>
      </c>
      <c r="D186" s="469">
        <f t="shared" si="61"/>
        <v>5968</v>
      </c>
      <c r="E186" s="469">
        <f t="shared" si="61"/>
        <v>5994</v>
      </c>
      <c r="F186" s="469">
        <f t="shared" si="61"/>
        <v>-5327</v>
      </c>
      <c r="G186" s="920">
        <f t="shared" si="61"/>
        <v>-10167</v>
      </c>
      <c r="H186" s="540">
        <f t="shared" si="61"/>
        <v>14358.58400000001</v>
      </c>
      <c r="I186" s="540">
        <f t="shared" si="61"/>
        <v>5148.1584000000075</v>
      </c>
      <c r="J186" s="540">
        <f t="shared" si="61"/>
        <v>5662.9742400000105</v>
      </c>
      <c r="K186" s="540">
        <f t="shared" si="61"/>
        <v>6229.2716639999999</v>
      </c>
      <c r="L186" s="835">
        <f t="shared" si="61"/>
        <v>6852.1988304000115</v>
      </c>
    </row>
    <row r="187" spans="1:12" x14ac:dyDescent="0.2">
      <c r="A187" s="4" t="s">
        <v>780</v>
      </c>
      <c r="B187" s="469"/>
      <c r="C187" s="469">
        <f t="shared" ref="C187:L187" si="62">(C153+C159)-(B153+B159)</f>
        <v>0</v>
      </c>
      <c r="D187" s="469">
        <f t="shared" si="62"/>
        <v>0</v>
      </c>
      <c r="E187" s="469">
        <f t="shared" si="62"/>
        <v>0</v>
      </c>
      <c r="F187" s="469">
        <f t="shared" si="62"/>
        <v>0</v>
      </c>
      <c r="G187" s="920">
        <f t="shared" si="62"/>
        <v>29345</v>
      </c>
      <c r="H187" s="469">
        <f t="shared" si="62"/>
        <v>-7937.5999999999985</v>
      </c>
      <c r="I187" s="469">
        <f t="shared" si="62"/>
        <v>-2378.5999999999985</v>
      </c>
      <c r="J187" s="469">
        <f t="shared" si="62"/>
        <v>-2378.5999999999985</v>
      </c>
      <c r="K187" s="469">
        <f t="shared" si="62"/>
        <v>-2378.5999999999985</v>
      </c>
      <c r="L187" s="818">
        <f t="shared" si="62"/>
        <v>-2378.6000000000022</v>
      </c>
    </row>
    <row r="188" spans="1:12" x14ac:dyDescent="0.2">
      <c r="A188" s="4" t="s">
        <v>787</v>
      </c>
      <c r="B188" s="469"/>
      <c r="C188" s="469">
        <f t="shared" ref="C188:L188" si="63">C149-B149</f>
        <v>0</v>
      </c>
      <c r="D188" s="469">
        <f t="shared" si="63"/>
        <v>0</v>
      </c>
      <c r="E188" s="469">
        <f t="shared" si="63"/>
        <v>136557</v>
      </c>
      <c r="F188" s="469">
        <f t="shared" si="63"/>
        <v>11001</v>
      </c>
      <c r="G188" s="920">
        <f t="shared" si="63"/>
        <v>-3410</v>
      </c>
      <c r="H188" s="469">
        <f t="shared" si="63"/>
        <v>43858.401505644346</v>
      </c>
      <c r="I188" s="469">
        <f t="shared" si="63"/>
        <v>18800.640150564461</v>
      </c>
      <c r="J188" s="469">
        <f t="shared" si="63"/>
        <v>20680.704165620875</v>
      </c>
      <c r="K188" s="469">
        <f t="shared" si="63"/>
        <v>22748.774582182989</v>
      </c>
      <c r="L188" s="818">
        <f t="shared" si="63"/>
        <v>25023.652040401328</v>
      </c>
    </row>
    <row r="189" spans="1:12" x14ac:dyDescent="0.2">
      <c r="A189" s="4" t="s">
        <v>781</v>
      </c>
      <c r="B189" s="469"/>
      <c r="C189" s="469">
        <f t="shared" ref="C189:L189" si="64">C150-B150</f>
        <v>-2394</v>
      </c>
      <c r="D189" s="469">
        <f t="shared" si="64"/>
        <v>-693</v>
      </c>
      <c r="E189" s="469">
        <f t="shared" si="64"/>
        <v>-392</v>
      </c>
      <c r="F189" s="469">
        <f t="shared" si="64"/>
        <v>0</v>
      </c>
      <c r="G189" s="920">
        <f t="shared" si="64"/>
        <v>0</v>
      </c>
      <c r="H189" s="451">
        <f t="shared" si="64"/>
        <v>0</v>
      </c>
      <c r="I189" s="451">
        <f t="shared" si="64"/>
        <v>0</v>
      </c>
      <c r="J189" s="451">
        <f t="shared" si="64"/>
        <v>0</v>
      </c>
      <c r="K189" s="451">
        <f t="shared" si="64"/>
        <v>0</v>
      </c>
      <c r="L189" s="837">
        <f t="shared" si="64"/>
        <v>0</v>
      </c>
    </row>
    <row r="190" spans="1:12" x14ac:dyDescent="0.2">
      <c r="A190" s="4" t="s">
        <v>782</v>
      </c>
      <c r="B190" s="469"/>
      <c r="C190" s="469">
        <f t="shared" ref="C190:L190" si="65">(C148+C156)-(B148+B156)</f>
        <v>1819</v>
      </c>
      <c r="D190" s="469">
        <f t="shared" si="65"/>
        <v>-1141</v>
      </c>
      <c r="E190" s="469">
        <f t="shared" si="65"/>
        <v>1793</v>
      </c>
      <c r="F190" s="469">
        <f t="shared" si="65"/>
        <v>-524</v>
      </c>
      <c r="G190" s="920">
        <f t="shared" si="65"/>
        <v>7101</v>
      </c>
      <c r="H190" s="469">
        <f t="shared" si="65"/>
        <v>1735.3666736000014</v>
      </c>
      <c r="I190" s="469">
        <f t="shared" si="65"/>
        <v>2471.3366673600067</v>
      </c>
      <c r="J190" s="469">
        <f t="shared" si="65"/>
        <v>2718.4703340960004</v>
      </c>
      <c r="K190" s="469">
        <f t="shared" si="65"/>
        <v>2990.3173675056023</v>
      </c>
      <c r="L190" s="818">
        <f t="shared" si="65"/>
        <v>3289.3491042561654</v>
      </c>
    </row>
    <row r="191" spans="1:12" x14ac:dyDescent="0.2">
      <c r="A191" s="4" t="s">
        <v>783</v>
      </c>
      <c r="B191" s="469"/>
      <c r="C191" s="469">
        <f t="shared" ref="C191:L191" si="66">C151-B151</f>
        <v>8213</v>
      </c>
      <c r="D191" s="469">
        <f t="shared" si="66"/>
        <v>6977</v>
      </c>
      <c r="E191" s="469">
        <f t="shared" si="66"/>
        <v>-27862</v>
      </c>
      <c r="F191" s="469">
        <f t="shared" si="66"/>
        <v>0</v>
      </c>
      <c r="G191" s="920">
        <f t="shared" si="66"/>
        <v>0</v>
      </c>
      <c r="H191" s="469">
        <f t="shared" si="66"/>
        <v>0</v>
      </c>
      <c r="I191" s="469">
        <f t="shared" si="66"/>
        <v>0</v>
      </c>
      <c r="J191" s="469">
        <f t="shared" si="66"/>
        <v>0</v>
      </c>
      <c r="K191" s="469">
        <f t="shared" si="66"/>
        <v>0</v>
      </c>
      <c r="L191" s="818">
        <f t="shared" si="66"/>
        <v>0</v>
      </c>
    </row>
    <row r="192" spans="1:12" s="466" customFormat="1" x14ac:dyDescent="0.2">
      <c r="A192" s="470" t="s">
        <v>559</v>
      </c>
      <c r="B192" s="471">
        <f t="shared" ref="B192:L192" si="67">SUM(B175:B191)</f>
        <v>41490</v>
      </c>
      <c r="C192" s="471">
        <f>SUM(C175:C191)</f>
        <v>56498</v>
      </c>
      <c r="D192" s="471">
        <f t="shared" si="67"/>
        <v>49420</v>
      </c>
      <c r="E192" s="471">
        <f t="shared" si="67"/>
        <v>98597</v>
      </c>
      <c r="F192" s="471">
        <f t="shared" si="67"/>
        <v>90939</v>
      </c>
      <c r="G192" s="924">
        <f t="shared" si="67"/>
        <v>160244</v>
      </c>
      <c r="H192" s="471">
        <f t="shared" si="67"/>
        <v>89527.367413775923</v>
      </c>
      <c r="I192" s="471">
        <f t="shared" si="67"/>
        <v>90658.075616495276</v>
      </c>
      <c r="J192" s="471">
        <f t="shared" si="67"/>
        <v>99357.493497519288</v>
      </c>
      <c r="K192" s="471">
        <f t="shared" si="67"/>
        <v>109474.8397266352</v>
      </c>
      <c r="L192" s="842">
        <f t="shared" si="67"/>
        <v>120435.17036149728</v>
      </c>
    </row>
    <row r="193" spans="1:12" x14ac:dyDescent="0.2">
      <c r="A193" s="934" t="s">
        <v>892</v>
      </c>
      <c r="B193" s="13"/>
      <c r="C193" s="7"/>
      <c r="G193" s="895"/>
      <c r="L193" s="801"/>
    </row>
    <row r="194" spans="1:12" x14ac:dyDescent="0.2">
      <c r="A194" s="4" t="s">
        <v>689</v>
      </c>
      <c r="B194" s="537">
        <v>0</v>
      </c>
      <c r="C194" s="537">
        <v>0</v>
      </c>
      <c r="D194" s="537">
        <v>0</v>
      </c>
      <c r="E194" s="537">
        <v>-2721</v>
      </c>
      <c r="F194" s="537">
        <v>-4059</v>
      </c>
      <c r="G194" s="915">
        <v>-223</v>
      </c>
      <c r="L194" s="801"/>
    </row>
    <row r="195" spans="1:12" x14ac:dyDescent="0.2">
      <c r="A195" s="4" t="s">
        <v>61</v>
      </c>
      <c r="B195" s="537">
        <v>-11989</v>
      </c>
      <c r="C195" s="537">
        <v>-3017</v>
      </c>
      <c r="D195" s="537">
        <v>-1322</v>
      </c>
      <c r="E195" s="537">
        <v>0</v>
      </c>
      <c r="F195" s="537">
        <v>0</v>
      </c>
      <c r="G195" s="915">
        <v>0</v>
      </c>
      <c r="H195" s="565">
        <f>-H218-H272-H279-H262-H286</f>
        <v>0</v>
      </c>
      <c r="I195" s="565">
        <f>-I218-I272-I279-I262-I286</f>
        <v>0</v>
      </c>
      <c r="J195" s="565">
        <f>-J218-J272-J279-J262-J286</f>
        <v>0</v>
      </c>
      <c r="K195" s="565">
        <f>-K218-K272-K279-K262-K286</f>
        <v>0</v>
      </c>
      <c r="L195" s="821">
        <f>-L218-L272-L279-L262-L286</f>
        <v>0</v>
      </c>
    </row>
    <row r="196" spans="1:12" x14ac:dyDescent="0.2">
      <c r="A196" s="4" t="s">
        <v>62</v>
      </c>
      <c r="B196" s="537">
        <v>-4338</v>
      </c>
      <c r="C196" s="537">
        <v>-4889</v>
      </c>
      <c r="D196" s="537">
        <v>-6109</v>
      </c>
      <c r="E196" s="537">
        <v>-3388</v>
      </c>
      <c r="F196" s="537">
        <v>-2350</v>
      </c>
      <c r="G196" s="915">
        <v>-1979</v>
      </c>
      <c r="H196" s="469">
        <f>-H214</f>
        <v>-2707</v>
      </c>
      <c r="I196" s="469">
        <f>-I214</f>
        <v>-2707</v>
      </c>
      <c r="J196" s="469">
        <f>-J214</f>
        <v>-2707</v>
      </c>
      <c r="K196" s="469">
        <f>-K214</f>
        <v>-2707</v>
      </c>
      <c r="L196" s="818">
        <f>-L214</f>
        <v>-2707</v>
      </c>
    </row>
    <row r="197" spans="1:12" x14ac:dyDescent="0.2">
      <c r="A197" s="4" t="s">
        <v>690</v>
      </c>
      <c r="B197" s="537">
        <v>0</v>
      </c>
      <c r="C197" s="537">
        <v>0</v>
      </c>
      <c r="D197" s="537">
        <v>0</v>
      </c>
      <c r="E197" s="537">
        <v>-3274</v>
      </c>
      <c r="F197" s="537">
        <v>-35927</v>
      </c>
      <c r="G197" s="915">
        <v>-42859</v>
      </c>
      <c r="H197" s="469">
        <f>H262+H279</f>
        <v>0</v>
      </c>
      <c r="I197" s="469">
        <f>I262+I279</f>
        <v>0</v>
      </c>
      <c r="J197" s="469">
        <f>J262+J279</f>
        <v>0</v>
      </c>
      <c r="K197" s="469">
        <f>K262+K279</f>
        <v>0</v>
      </c>
      <c r="L197" s="818">
        <f>L262+L279</f>
        <v>0</v>
      </c>
    </row>
    <row r="198" spans="1:12" x14ac:dyDescent="0.2">
      <c r="A198" s="4" t="s">
        <v>459</v>
      </c>
      <c r="B198" s="537">
        <f>-B246</f>
        <v>0</v>
      </c>
      <c r="C198" s="537">
        <f>-C246</f>
        <v>0</v>
      </c>
      <c r="D198" s="537">
        <f>-D246</f>
        <v>0</v>
      </c>
      <c r="E198" s="537">
        <f>-E246</f>
        <v>0</v>
      </c>
      <c r="F198" s="537"/>
      <c r="G198" s="915"/>
      <c r="H198" s="469">
        <f>H246</f>
        <v>0</v>
      </c>
      <c r="I198" s="469">
        <f>I246</f>
        <v>0</v>
      </c>
      <c r="J198" s="469">
        <f>J246</f>
        <v>0</v>
      </c>
      <c r="K198" s="469">
        <f>K246</f>
        <v>0</v>
      </c>
      <c r="L198" s="818">
        <f>L246</f>
        <v>0</v>
      </c>
    </row>
    <row r="199" spans="1:12" x14ac:dyDescent="0.2">
      <c r="A199" s="626" t="s">
        <v>786</v>
      </c>
      <c r="B199" s="537">
        <v>6</v>
      </c>
      <c r="C199" s="537">
        <v>13</v>
      </c>
      <c r="D199" s="537">
        <v>3</v>
      </c>
      <c r="E199" s="537">
        <v>440</v>
      </c>
      <c r="F199" s="537">
        <v>0</v>
      </c>
      <c r="G199" s="915">
        <v>0</v>
      </c>
      <c r="H199" s="469">
        <f>H215</f>
        <v>0</v>
      </c>
      <c r="I199" s="469">
        <f>I215</f>
        <v>0</v>
      </c>
      <c r="J199" s="469">
        <f>J215</f>
        <v>0</v>
      </c>
      <c r="K199" s="469">
        <f>K215</f>
        <v>0</v>
      </c>
      <c r="L199" s="818">
        <f>L215</f>
        <v>0</v>
      </c>
    </row>
    <row r="200" spans="1:12" s="466" customFormat="1" x14ac:dyDescent="0.2">
      <c r="A200" s="470" t="s">
        <v>560</v>
      </c>
      <c r="B200" s="472">
        <f t="shared" ref="B200:L200" si="68">SUM(B194:B199)</f>
        <v>-16321</v>
      </c>
      <c r="C200" s="472">
        <f t="shared" si="68"/>
        <v>-7893</v>
      </c>
      <c r="D200" s="472">
        <f t="shared" si="68"/>
        <v>-7428</v>
      </c>
      <c r="E200" s="472">
        <f t="shared" si="68"/>
        <v>-8943</v>
      </c>
      <c r="F200" s="472">
        <f>SUM(F194:F199)</f>
        <v>-42336</v>
      </c>
      <c r="G200" s="925">
        <f t="shared" si="68"/>
        <v>-45061</v>
      </c>
      <c r="H200" s="1210">
        <f t="shared" si="68"/>
        <v>-2707</v>
      </c>
      <c r="I200" s="472">
        <f t="shared" si="68"/>
        <v>-2707</v>
      </c>
      <c r="J200" s="472">
        <f t="shared" si="68"/>
        <v>-2707</v>
      </c>
      <c r="K200" s="472">
        <f t="shared" si="68"/>
        <v>-2707</v>
      </c>
      <c r="L200" s="843">
        <f t="shared" si="68"/>
        <v>-2707</v>
      </c>
    </row>
    <row r="201" spans="1:12" x14ac:dyDescent="0.2">
      <c r="A201" s="934" t="s">
        <v>891</v>
      </c>
      <c r="B201" s="13"/>
      <c r="C201" s="7"/>
      <c r="G201" s="895"/>
      <c r="L201" s="801"/>
    </row>
    <row r="202" spans="1:12" x14ac:dyDescent="0.2">
      <c r="A202" s="626" t="s">
        <v>773</v>
      </c>
      <c r="B202" s="537">
        <v>1011</v>
      </c>
      <c r="C202" s="537">
        <v>1525</v>
      </c>
      <c r="D202" s="537">
        <v>2168</v>
      </c>
      <c r="E202" s="537">
        <v>1019</v>
      </c>
      <c r="F202" s="537">
        <v>2075</v>
      </c>
      <c r="G202" s="915">
        <v>5248</v>
      </c>
      <c r="H202" s="469">
        <f>H297</f>
        <v>0</v>
      </c>
      <c r="I202" s="469">
        <f>I297</f>
        <v>0</v>
      </c>
      <c r="J202" s="469">
        <f>J297</f>
        <v>0</v>
      </c>
      <c r="K202" s="469">
        <f>K297</f>
        <v>0</v>
      </c>
      <c r="L202" s="818">
        <f>L297</f>
        <v>0</v>
      </c>
    </row>
    <row r="203" spans="1:12" x14ac:dyDescent="0.2">
      <c r="A203" s="626" t="s">
        <v>774</v>
      </c>
      <c r="B203" s="537">
        <v>-1137</v>
      </c>
      <c r="C203" s="537">
        <v>-2363</v>
      </c>
      <c r="D203" s="537">
        <v>-17</v>
      </c>
      <c r="E203" s="537">
        <v>-5</v>
      </c>
      <c r="F203" s="551" t="s">
        <v>354</v>
      </c>
      <c r="G203" s="915">
        <v>-4512</v>
      </c>
      <c r="H203" s="469">
        <f>H100</f>
        <v>-367.72560000000004</v>
      </c>
      <c r="I203" s="469">
        <f>I100</f>
        <v>-404.4981600000001</v>
      </c>
      <c r="J203" s="469">
        <f>J100</f>
        <v>-444.94797600000015</v>
      </c>
      <c r="K203" s="469">
        <f>K100</f>
        <v>-489.44277360000018</v>
      </c>
      <c r="L203" s="818">
        <f>L100</f>
        <v>-538.38705096000024</v>
      </c>
    </row>
    <row r="204" spans="1:12" x14ac:dyDescent="0.2">
      <c r="A204" s="626" t="s">
        <v>775</v>
      </c>
      <c r="B204" s="537">
        <v>-25868</v>
      </c>
      <c r="C204" s="537">
        <v>-27958</v>
      </c>
      <c r="D204" s="537">
        <v>-30370</v>
      </c>
      <c r="E204" s="537">
        <v>-33002</v>
      </c>
      <c r="F204" s="537">
        <v>-35850</v>
      </c>
      <c r="G204" s="915">
        <v>-38988</v>
      </c>
      <c r="H204" s="623">
        <f>H112</f>
        <v>-31615.14496202286</v>
      </c>
      <c r="I204" s="623">
        <f>I112</f>
        <v>-36347.940858294227</v>
      </c>
      <c r="J204" s="623">
        <f>J112</f>
        <v>-41335.467547593267</v>
      </c>
      <c r="K204" s="623">
        <f>K112</f>
        <v>-46623.33978670778</v>
      </c>
      <c r="L204" s="841">
        <f>L112</f>
        <v>-52265.281711992284</v>
      </c>
    </row>
    <row r="205" spans="1:12" s="466" customFormat="1" x14ac:dyDescent="0.2">
      <c r="A205" s="470" t="s">
        <v>561</v>
      </c>
      <c r="B205" s="472">
        <f>SUM(B202:B204)</f>
        <v>-25994</v>
      </c>
      <c r="C205" s="472">
        <f>SUM(C202:C204)</f>
        <v>-28796</v>
      </c>
      <c r="D205" s="472">
        <f t="shared" ref="D205:L205" si="69">SUM(D202:D204)</f>
        <v>-28219</v>
      </c>
      <c r="E205" s="582">
        <f t="shared" si="69"/>
        <v>-31988</v>
      </c>
      <c r="F205" s="582">
        <f t="shared" si="69"/>
        <v>-33775</v>
      </c>
      <c r="G205" s="925">
        <f t="shared" si="69"/>
        <v>-38252</v>
      </c>
      <c r="H205" s="472">
        <f t="shared" si="69"/>
        <v>-31982.870562022861</v>
      </c>
      <c r="I205" s="472">
        <f t="shared" si="69"/>
        <v>-36752.43901829423</v>
      </c>
      <c r="J205" s="472">
        <f t="shared" si="69"/>
        <v>-41780.41552359327</v>
      </c>
      <c r="K205" s="472">
        <f t="shared" si="69"/>
        <v>-47112.78256030778</v>
      </c>
      <c r="L205" s="843">
        <f t="shared" si="69"/>
        <v>-52803.668762952286</v>
      </c>
    </row>
    <row r="206" spans="1:12" x14ac:dyDescent="0.2">
      <c r="A206" s="12" t="s">
        <v>70</v>
      </c>
      <c r="B206" s="537">
        <v>-4673</v>
      </c>
      <c r="C206" s="537">
        <v>7052</v>
      </c>
      <c r="D206" s="537">
        <v>10795</v>
      </c>
      <c r="E206" s="537">
        <v>10939</v>
      </c>
      <c r="F206" s="537">
        <v>724</v>
      </c>
      <c r="G206" s="915">
        <v>20198</v>
      </c>
      <c r="H206" s="562">
        <f>H192+H200+H205</f>
        <v>54837.496851753065</v>
      </c>
      <c r="I206" s="562">
        <f>I192+I200+I205</f>
        <v>51198.636598201047</v>
      </c>
      <c r="J206" s="562">
        <f>J192+J200+J205</f>
        <v>54870.077973926018</v>
      </c>
      <c r="K206" s="562">
        <f>K192+K200+K205</f>
        <v>59655.057166327417</v>
      </c>
      <c r="L206" s="844">
        <f>L192+L200+L205</f>
        <v>64924.501598544994</v>
      </c>
    </row>
    <row r="207" spans="1:12" x14ac:dyDescent="0.2">
      <c r="A207" s="4" t="s">
        <v>71</v>
      </c>
      <c r="B207" s="537">
        <v>80209</v>
      </c>
      <c r="C207" s="537">
        <v>75536</v>
      </c>
      <c r="D207" s="537">
        <v>82588</v>
      </c>
      <c r="E207" s="537">
        <v>93383</v>
      </c>
      <c r="F207" s="537">
        <v>104322</v>
      </c>
      <c r="G207" s="915">
        <v>105046</v>
      </c>
      <c r="H207" s="562">
        <f>G208</f>
        <v>125244</v>
      </c>
      <c r="I207" s="562">
        <f>H208</f>
        <v>180081.49685175307</v>
      </c>
      <c r="J207" s="562">
        <f>I208</f>
        <v>231280.1334499541</v>
      </c>
      <c r="K207" s="562">
        <f>J208</f>
        <v>286150.21142388013</v>
      </c>
      <c r="L207" s="844">
        <f>K208</f>
        <v>345805.26859020756</v>
      </c>
    </row>
    <row r="208" spans="1:12" s="466" customFormat="1" x14ac:dyDescent="0.2">
      <c r="A208" s="470" t="s">
        <v>562</v>
      </c>
      <c r="B208" s="471">
        <f t="shared" ref="B208:H208" si="70">B206+B207</f>
        <v>75536</v>
      </c>
      <c r="C208" s="471">
        <f>C206+C207</f>
        <v>82588</v>
      </c>
      <c r="D208" s="471">
        <f t="shared" si="70"/>
        <v>93383</v>
      </c>
      <c r="E208" s="471">
        <f t="shared" si="70"/>
        <v>104322</v>
      </c>
      <c r="F208" s="471">
        <f t="shared" si="70"/>
        <v>105046</v>
      </c>
      <c r="G208" s="924">
        <f t="shared" si="70"/>
        <v>125244</v>
      </c>
      <c r="H208" s="471">
        <f t="shared" si="70"/>
        <v>180081.49685175307</v>
      </c>
      <c r="I208" s="471">
        <f>I206+I207</f>
        <v>231280.1334499541</v>
      </c>
      <c r="J208" s="471">
        <f>J206+J207</f>
        <v>286150.21142388013</v>
      </c>
      <c r="K208" s="471">
        <f>K206+K207</f>
        <v>345805.26859020756</v>
      </c>
      <c r="L208" s="842">
        <f>L206+L207</f>
        <v>410729.77018875256</v>
      </c>
    </row>
    <row r="210" spans="1:12" s="1293" customFormat="1" ht="18.75" x14ac:dyDescent="0.3">
      <c r="A210" s="1292" t="s">
        <v>460</v>
      </c>
      <c r="L210" s="1297"/>
    </row>
    <row r="211" spans="1:12" x14ac:dyDescent="0.2">
      <c r="L211" s="801"/>
    </row>
    <row r="212" spans="1:12" s="411" customFormat="1" ht="16.5" outlineLevel="1" x14ac:dyDescent="0.3">
      <c r="A212" s="878" t="s">
        <v>461</v>
      </c>
      <c r="B212" s="413">
        <v>11</v>
      </c>
      <c r="C212" s="413"/>
      <c r="D212" s="413"/>
      <c r="E212" s="413"/>
      <c r="F212" s="413"/>
      <c r="L212" s="845"/>
    </row>
    <row r="213" spans="1:12" s="411" customFormat="1" ht="16.5" outlineLevel="1" x14ac:dyDescent="0.3">
      <c r="A213" s="411" t="s">
        <v>563</v>
      </c>
      <c r="B213" s="537">
        <v>8875</v>
      </c>
      <c r="C213" s="537">
        <v>10012</v>
      </c>
      <c r="D213" s="537">
        <v>11681</v>
      </c>
      <c r="E213" s="537">
        <v>13525</v>
      </c>
      <c r="F213" s="537">
        <v>12280</v>
      </c>
      <c r="G213" s="544">
        <v>10900</v>
      </c>
      <c r="H213" s="552">
        <f>G224</f>
        <v>8969</v>
      </c>
      <c r="I213" s="552">
        <f>H224</f>
        <v>8693.1525855024192</v>
      </c>
      <c r="J213" s="552">
        <f>I224</f>
        <v>8509.1060899432887</v>
      </c>
      <c r="K213" s="552">
        <f>J224</f>
        <v>8386.3095337772902</v>
      </c>
      <c r="L213" s="846">
        <f>K224</f>
        <v>8304.3791815561344</v>
      </c>
    </row>
    <row r="214" spans="1:12" s="411" customFormat="1" ht="16.5" outlineLevel="1" x14ac:dyDescent="0.3">
      <c r="A214" s="411" t="s">
        <v>566</v>
      </c>
      <c r="B214" s="537">
        <v>4540</v>
      </c>
      <c r="C214" s="537">
        <v>5637</v>
      </c>
      <c r="D214" s="537">
        <v>5834</v>
      </c>
      <c r="E214" s="537">
        <v>3388</v>
      </c>
      <c r="F214" s="537">
        <v>2703</v>
      </c>
      <c r="G214" s="537">
        <v>2030</v>
      </c>
      <c r="H214" s="549">
        <f>AVERAGE(E214:G214)</f>
        <v>2707</v>
      </c>
      <c r="I214" s="549">
        <f>H214</f>
        <v>2707</v>
      </c>
      <c r="J214" s="549">
        <f>I214</f>
        <v>2707</v>
      </c>
      <c r="K214" s="549">
        <f>J214</f>
        <v>2707</v>
      </c>
      <c r="L214" s="839">
        <f>K214</f>
        <v>2707</v>
      </c>
    </row>
    <row r="215" spans="1:12" s="411" customFormat="1" ht="16.5" outlineLevel="1" x14ac:dyDescent="0.3">
      <c r="A215" s="411" t="s">
        <v>422</v>
      </c>
      <c r="B215" s="537">
        <v>-35</v>
      </c>
      <c r="C215" s="537">
        <v>-455</v>
      </c>
      <c r="D215" s="537">
        <v>-367</v>
      </c>
      <c r="E215" s="537">
        <v>-680</v>
      </c>
      <c r="F215" s="537">
        <v>-359</v>
      </c>
      <c r="G215" s="537">
        <v>-51</v>
      </c>
      <c r="H215" s="847">
        <v>0</v>
      </c>
      <c r="I215" s="847">
        <v>0</v>
      </c>
      <c r="J215" s="847">
        <v>0</v>
      </c>
      <c r="K215" s="847">
        <v>0</v>
      </c>
      <c r="L215" s="848">
        <v>0</v>
      </c>
    </row>
    <row r="216" spans="1:12" ht="16.5" outlineLevel="1" x14ac:dyDescent="0.3">
      <c r="A216" s="411" t="s">
        <v>564</v>
      </c>
      <c r="B216" s="537">
        <v>-3478</v>
      </c>
      <c r="C216" s="537">
        <v>-3394</v>
      </c>
      <c r="D216" s="537">
        <v>-3698</v>
      </c>
      <c r="E216" s="537">
        <v>-3909</v>
      </c>
      <c r="F216" s="537">
        <v>-3709</v>
      </c>
      <c r="G216" s="537">
        <v>-3905</v>
      </c>
      <c r="H216" s="549">
        <f>H222*H213</f>
        <v>-2984.8474144975798</v>
      </c>
      <c r="I216" s="549">
        <f>I222*I213</f>
        <v>-2893.046495559131</v>
      </c>
      <c r="J216" s="549">
        <f>J222*J213</f>
        <v>-2831.796556165998</v>
      </c>
      <c r="K216" s="549">
        <f>K222*K213</f>
        <v>-2790.9303522211562</v>
      </c>
      <c r="L216" s="839">
        <f>L222*L213</f>
        <v>-2763.6642578966835</v>
      </c>
    </row>
    <row r="217" spans="1:12" ht="16.5" outlineLevel="1" x14ac:dyDescent="0.3">
      <c r="A217" s="411" t="s">
        <v>565</v>
      </c>
      <c r="B217" s="537">
        <v>29</v>
      </c>
      <c r="C217" s="537">
        <v>-1</v>
      </c>
      <c r="D217" s="537">
        <v>0</v>
      </c>
      <c r="E217" s="537">
        <v>-39</v>
      </c>
      <c r="F217" s="537">
        <v>14</v>
      </c>
      <c r="G217" s="537">
        <v>9</v>
      </c>
      <c r="H217" s="847">
        <f>AVERAGE(B217:G217)</f>
        <v>2</v>
      </c>
      <c r="I217" s="847">
        <f>H217</f>
        <v>2</v>
      </c>
      <c r="J217" s="847">
        <f>I217</f>
        <v>2</v>
      </c>
      <c r="K217" s="847">
        <f>J217</f>
        <v>2</v>
      </c>
      <c r="L217" s="848">
        <f>K217</f>
        <v>2</v>
      </c>
    </row>
    <row r="218" spans="1:12" ht="16.5" outlineLevel="1" x14ac:dyDescent="0.3">
      <c r="A218" s="411" t="s">
        <v>569</v>
      </c>
      <c r="B218" s="537">
        <v>169</v>
      </c>
      <c r="C218" s="537">
        <v>0</v>
      </c>
      <c r="D218" s="537">
        <v>0</v>
      </c>
      <c r="E218" s="537">
        <v>0</v>
      </c>
      <c r="F218" s="537">
        <v>0</v>
      </c>
      <c r="G218" s="537">
        <v>0</v>
      </c>
      <c r="H218" s="847">
        <v>0</v>
      </c>
      <c r="I218" s="847">
        <v>0</v>
      </c>
      <c r="J218" s="847">
        <v>0</v>
      </c>
      <c r="K218" s="847">
        <v>0</v>
      </c>
      <c r="L218" s="848">
        <v>0</v>
      </c>
    </row>
    <row r="219" spans="1:12" ht="16.5" outlineLevel="1" x14ac:dyDescent="0.3">
      <c r="A219" s="411" t="s">
        <v>567</v>
      </c>
      <c r="B219" s="537">
        <v>-88</v>
      </c>
      <c r="C219" s="537">
        <v>-118</v>
      </c>
      <c r="D219" s="537">
        <v>75</v>
      </c>
      <c r="E219" s="537">
        <v>-5</v>
      </c>
      <c r="F219" s="537">
        <v>-29</v>
      </c>
      <c r="G219" s="537">
        <v>-14</v>
      </c>
      <c r="H219" s="847">
        <v>0</v>
      </c>
      <c r="I219" s="847">
        <v>0</v>
      </c>
      <c r="J219" s="847">
        <v>0</v>
      </c>
      <c r="K219" s="847">
        <v>0</v>
      </c>
      <c r="L219" s="848">
        <v>0</v>
      </c>
    </row>
    <row r="220" spans="1:12" ht="16.5" outlineLevel="1" x14ac:dyDescent="0.3">
      <c r="A220" s="411" t="s">
        <v>568</v>
      </c>
      <c r="B220" s="537">
        <v>0</v>
      </c>
      <c r="C220" s="537">
        <v>0</v>
      </c>
      <c r="D220" s="537">
        <v>0</v>
      </c>
      <c r="E220" s="537">
        <v>0</v>
      </c>
      <c r="F220" s="537">
        <v>0</v>
      </c>
      <c r="G220" s="537">
        <v>0</v>
      </c>
      <c r="H220" s="847">
        <v>0</v>
      </c>
      <c r="I220" s="847">
        <v>0</v>
      </c>
      <c r="J220" s="847">
        <v>0</v>
      </c>
      <c r="K220" s="847">
        <v>0</v>
      </c>
      <c r="L220" s="848">
        <v>0</v>
      </c>
    </row>
    <row r="221" spans="1:12" ht="16.5" outlineLevel="1" x14ac:dyDescent="0.3">
      <c r="A221" s="411"/>
      <c r="B221" s="537"/>
      <c r="C221" s="537"/>
      <c r="D221" s="537"/>
      <c r="E221" s="537"/>
      <c r="F221" s="537"/>
      <c r="G221" s="537"/>
      <c r="H221" s="553"/>
      <c r="I221" s="553"/>
      <c r="J221" s="553"/>
      <c r="K221" s="553"/>
      <c r="L221" s="849"/>
    </row>
    <row r="222" spans="1:12" ht="16.5" outlineLevel="1" x14ac:dyDescent="0.3">
      <c r="A222" s="411" t="s">
        <v>642</v>
      </c>
      <c r="B222" s="547">
        <f t="shared" ref="B222:G222" si="71">B216/B213</f>
        <v>-0.39188732394366199</v>
      </c>
      <c r="C222" s="547">
        <f t="shared" si="71"/>
        <v>-0.33899320815021972</v>
      </c>
      <c r="D222" s="547">
        <f t="shared" si="71"/>
        <v>-0.31658248437633763</v>
      </c>
      <c r="E222" s="547">
        <f t="shared" si="71"/>
        <v>-0.28902033271719041</v>
      </c>
      <c r="F222" s="547">
        <f t="shared" si="71"/>
        <v>-0.3020358306188925</v>
      </c>
      <c r="G222" s="547">
        <f t="shared" si="71"/>
        <v>-0.35825688073394496</v>
      </c>
      <c r="H222" s="548">
        <f>AVERAGE(B222:G222)</f>
        <v>-0.33279601009004123</v>
      </c>
      <c r="I222" s="548">
        <f>H222</f>
        <v>-0.33279601009004123</v>
      </c>
      <c r="J222" s="548">
        <f>I222</f>
        <v>-0.33279601009004123</v>
      </c>
      <c r="K222" s="548">
        <f>J222</f>
        <v>-0.33279601009004123</v>
      </c>
      <c r="L222" s="850">
        <f>K222</f>
        <v>-0.33279601009004123</v>
      </c>
    </row>
    <row r="223" spans="1:12" ht="16.5" outlineLevel="1" x14ac:dyDescent="0.3">
      <c r="A223" s="411"/>
      <c r="B223" s="537"/>
      <c r="C223" s="537"/>
      <c r="D223" s="537"/>
      <c r="E223" s="537"/>
      <c r="F223" s="537"/>
      <c r="G223" s="537"/>
      <c r="L223" s="801"/>
    </row>
    <row r="224" spans="1:12" ht="17.25" outlineLevel="1" thickBot="1" x14ac:dyDescent="0.35">
      <c r="A224" s="430" t="s">
        <v>571</v>
      </c>
      <c r="B224" s="535">
        <f t="shared" ref="B224:L224" si="72">SUM(B213:B220)</f>
        <v>10012</v>
      </c>
      <c r="C224" s="535">
        <f t="shared" si="72"/>
        <v>11681</v>
      </c>
      <c r="D224" s="535">
        <f t="shared" si="72"/>
        <v>13525</v>
      </c>
      <c r="E224" s="535">
        <f t="shared" si="72"/>
        <v>12280</v>
      </c>
      <c r="F224" s="535">
        <f t="shared" si="72"/>
        <v>10900</v>
      </c>
      <c r="G224" s="535">
        <f t="shared" si="72"/>
        <v>8969</v>
      </c>
      <c r="H224" s="535">
        <f t="shared" si="72"/>
        <v>8693.1525855024192</v>
      </c>
      <c r="I224" s="535">
        <f t="shared" si="72"/>
        <v>8509.1060899432887</v>
      </c>
      <c r="J224" s="535">
        <f t="shared" si="72"/>
        <v>8386.3095337772902</v>
      </c>
      <c r="K224" s="535">
        <f t="shared" si="72"/>
        <v>8304.3791815561344</v>
      </c>
      <c r="L224" s="851">
        <f t="shared" si="72"/>
        <v>8249.7149236594505</v>
      </c>
    </row>
    <row r="225" spans="1:12" ht="17.25" outlineLevel="1" thickTop="1" x14ac:dyDescent="0.3">
      <c r="B225" s="411"/>
      <c r="C225" s="411"/>
      <c r="D225" s="411"/>
      <c r="E225" s="411"/>
      <c r="F225" s="411"/>
      <c r="G225" s="411"/>
      <c r="H225" s="411"/>
      <c r="I225" s="411"/>
      <c r="J225" s="411"/>
      <c r="K225" s="411"/>
      <c r="L225" s="845"/>
    </row>
    <row r="226" spans="1:12" ht="16.5" outlineLevel="1" x14ac:dyDescent="0.3">
      <c r="B226" s="411"/>
      <c r="C226" s="411"/>
      <c r="D226" s="411"/>
      <c r="E226" s="411"/>
      <c r="F226" s="411"/>
      <c r="G226" s="411"/>
      <c r="H226" s="411"/>
      <c r="I226" s="411"/>
      <c r="J226" s="411"/>
      <c r="K226" s="411"/>
      <c r="L226" s="845"/>
    </row>
    <row r="227" spans="1:12" ht="17.25" outlineLevel="1" thickBot="1" x14ac:dyDescent="0.35">
      <c r="A227" s="430"/>
      <c r="B227" s="490"/>
      <c r="C227" s="490"/>
      <c r="D227" s="490"/>
      <c r="E227" s="490"/>
      <c r="F227" s="490"/>
      <c r="G227" s="490"/>
      <c r="H227" s="490"/>
      <c r="I227" s="490"/>
      <c r="J227" s="490"/>
      <c r="K227" s="490"/>
      <c r="L227" s="852"/>
    </row>
    <row r="228" spans="1:12" ht="16.5" outlineLevel="1" thickTop="1" x14ac:dyDescent="0.25">
      <c r="A228" s="878" t="s">
        <v>423</v>
      </c>
      <c r="B228" s="489"/>
      <c r="C228" s="489"/>
      <c r="D228" s="489"/>
      <c r="E228" s="489"/>
      <c r="F228" s="489"/>
      <c r="G228" s="489"/>
      <c r="H228" s="489"/>
      <c r="I228" s="489"/>
      <c r="J228" s="489"/>
      <c r="K228" s="489"/>
      <c r="L228" s="853"/>
    </row>
    <row r="229" spans="1:12" ht="16.5" outlineLevel="1" x14ac:dyDescent="0.3">
      <c r="A229" s="411" t="s">
        <v>462</v>
      </c>
      <c r="G229" s="487"/>
      <c r="H229" s="469">
        <f>G234</f>
        <v>23786</v>
      </c>
      <c r="I229" s="469">
        <f>H234</f>
        <v>21407.4</v>
      </c>
      <c r="J229" s="469">
        <f>I234</f>
        <v>19028.800000000003</v>
      </c>
      <c r="K229" s="469">
        <f>J234</f>
        <v>16650.200000000004</v>
      </c>
      <c r="L229" s="818">
        <f>K234</f>
        <v>14271.600000000004</v>
      </c>
    </row>
    <row r="230" spans="1:12" ht="16.5" outlineLevel="1" x14ac:dyDescent="0.3">
      <c r="A230" s="411" t="s">
        <v>464</v>
      </c>
      <c r="G230" s="537">
        <v>29577</v>
      </c>
      <c r="L230" s="801"/>
    </row>
    <row r="231" spans="1:12" ht="16.5" outlineLevel="1" x14ac:dyDescent="0.3">
      <c r="A231" s="411" t="s">
        <v>465</v>
      </c>
      <c r="G231" s="537">
        <v>-5791</v>
      </c>
      <c r="L231" s="801"/>
    </row>
    <row r="232" spans="1:12" ht="16.5" outlineLevel="1" x14ac:dyDescent="0.3">
      <c r="A232" s="411" t="s">
        <v>420</v>
      </c>
      <c r="L232" s="801"/>
    </row>
    <row r="233" spans="1:12" ht="16.5" outlineLevel="1" x14ac:dyDescent="0.3">
      <c r="A233" s="411" t="s">
        <v>466</v>
      </c>
      <c r="G233" s="487"/>
      <c r="H233" s="469">
        <f>-G234/10</f>
        <v>-2378.6</v>
      </c>
      <c r="I233" s="469">
        <f>H233</f>
        <v>-2378.6</v>
      </c>
      <c r="J233" s="469">
        <f>I233</f>
        <v>-2378.6</v>
      </c>
      <c r="K233" s="469">
        <f>J233</f>
        <v>-2378.6</v>
      </c>
      <c r="L233" s="818">
        <f>K233</f>
        <v>-2378.6</v>
      </c>
    </row>
    <row r="234" spans="1:12" ht="17.25" outlineLevel="1" thickBot="1" x14ac:dyDescent="0.35">
      <c r="A234" s="430" t="s">
        <v>463</v>
      </c>
      <c r="B234" s="490"/>
      <c r="C234" s="490"/>
      <c r="D234" s="490"/>
      <c r="E234" s="490"/>
      <c r="F234" s="490"/>
      <c r="G234" s="535">
        <f>SUM(G230:G233)</f>
        <v>23786</v>
      </c>
      <c r="H234" s="535">
        <f>SUM(H229,H233)</f>
        <v>21407.4</v>
      </c>
      <c r="I234" s="535">
        <f>SUM(I229,I233)</f>
        <v>19028.800000000003</v>
      </c>
      <c r="J234" s="535">
        <f>SUM(J229,J233)</f>
        <v>16650.200000000004</v>
      </c>
      <c r="K234" s="535">
        <f>SUM(K229,K233)</f>
        <v>14271.600000000004</v>
      </c>
      <c r="L234" s="851">
        <f>SUM(L229,L233)</f>
        <v>11893.000000000004</v>
      </c>
    </row>
    <row r="235" spans="1:12" ht="13.5" outlineLevel="1" thickTop="1" x14ac:dyDescent="0.2">
      <c r="G235" s="487"/>
      <c r="L235" s="801"/>
    </row>
    <row r="236" spans="1:12" ht="16.5" outlineLevel="1" x14ac:dyDescent="0.3">
      <c r="A236" s="411" t="s">
        <v>467</v>
      </c>
      <c r="G236" s="537">
        <v>2148</v>
      </c>
      <c r="H236" s="469">
        <f>H234*H44</f>
        <v>1562.7402</v>
      </c>
      <c r="I236" s="469">
        <f>I234*I44</f>
        <v>1389.1024000000002</v>
      </c>
      <c r="J236" s="469">
        <f>J234*J44</f>
        <v>1215.4646000000002</v>
      </c>
      <c r="K236" s="469">
        <f>K234*K44</f>
        <v>1041.8268000000003</v>
      </c>
      <c r="L236" s="818">
        <f>L234*L44</f>
        <v>868.18900000000019</v>
      </c>
    </row>
    <row r="237" spans="1:12" ht="16.5" outlineLevel="1" x14ac:dyDescent="0.3">
      <c r="A237" s="411"/>
      <c r="G237" s="537"/>
      <c r="L237" s="801"/>
    </row>
    <row r="238" spans="1:12" ht="16.5" outlineLevel="1" x14ac:dyDescent="0.3">
      <c r="A238" s="411" t="s">
        <v>468</v>
      </c>
      <c r="G238" s="537">
        <v>27197</v>
      </c>
      <c r="H238" s="469">
        <f>H234*H50</f>
        <v>19844.659800000001</v>
      </c>
      <c r="I238" s="469">
        <f>I234*I50</f>
        <v>17639.697600000003</v>
      </c>
      <c r="J238" s="469">
        <f>J234*J50</f>
        <v>15434.735400000005</v>
      </c>
      <c r="K238" s="469">
        <f>K234*K50</f>
        <v>13229.773200000005</v>
      </c>
      <c r="L238" s="818">
        <f>L234*L50</f>
        <v>11024.811000000003</v>
      </c>
    </row>
    <row r="239" spans="1:12" ht="16.5" outlineLevel="1" x14ac:dyDescent="0.3">
      <c r="A239" s="411"/>
      <c r="G239" s="487"/>
      <c r="L239" s="801"/>
    </row>
    <row r="240" spans="1:12" ht="16.5" outlineLevel="1" x14ac:dyDescent="0.3">
      <c r="A240" s="411" t="s">
        <v>469</v>
      </c>
      <c r="G240" s="537">
        <v>1454</v>
      </c>
      <c r="H240" s="487">
        <f>AVERAGE(H229,H234)*H241</f>
        <v>1100.45929</v>
      </c>
      <c r="I240" s="487">
        <f>AVERAGE(I229,I234)*I241</f>
        <v>984.62147000000016</v>
      </c>
      <c r="J240" s="487">
        <f>AVERAGE(J229,J234)*J241</f>
        <v>868.78365000000019</v>
      </c>
      <c r="K240" s="487">
        <f>AVERAGE(K229,K234)*K241</f>
        <v>752.94583000000023</v>
      </c>
      <c r="L240" s="854">
        <f>AVERAGE(L229,L234)*L241</f>
        <v>637.10801000000015</v>
      </c>
    </row>
    <row r="241" spans="1:13" ht="16.5" outlineLevel="1" x14ac:dyDescent="0.3">
      <c r="A241" s="411" t="s">
        <v>470</v>
      </c>
      <c r="G241" s="536">
        <v>4.87E-2</v>
      </c>
      <c r="H241" s="855">
        <f>G241</f>
        <v>4.87E-2</v>
      </c>
      <c r="I241" s="855">
        <f>H241</f>
        <v>4.87E-2</v>
      </c>
      <c r="J241" s="855">
        <f>I241</f>
        <v>4.87E-2</v>
      </c>
      <c r="K241" s="855">
        <f>J241</f>
        <v>4.87E-2</v>
      </c>
      <c r="L241" s="856">
        <f>K241</f>
        <v>4.87E-2</v>
      </c>
    </row>
    <row r="242" spans="1:13" outlineLevel="1" x14ac:dyDescent="0.2">
      <c r="L242" s="801"/>
    </row>
    <row r="243" spans="1:13" s="411" customFormat="1" ht="16.5" outlineLevel="1" x14ac:dyDescent="0.3">
      <c r="A243" s="878" t="s">
        <v>424</v>
      </c>
      <c r="B243" s="413"/>
      <c r="C243" s="413"/>
      <c r="D243" s="413"/>
      <c r="E243" s="413"/>
      <c r="F243" s="413"/>
      <c r="G243" s="413"/>
      <c r="L243" s="845"/>
    </row>
    <row r="244" spans="1:13" s="411" customFormat="1" ht="16.5" outlineLevel="1" x14ac:dyDescent="0.3">
      <c r="A244" s="427" t="s">
        <v>638</v>
      </c>
      <c r="D244" s="428"/>
      <c r="E244" s="424"/>
      <c r="F244" s="424"/>
      <c r="G244" s="491"/>
      <c r="H244" s="431"/>
      <c r="I244" s="431"/>
      <c r="J244" s="431"/>
      <c r="K244" s="431"/>
      <c r="L244" s="857"/>
      <c r="M244" s="431"/>
    </row>
    <row r="245" spans="1:13" s="411" customFormat="1" ht="16.5" outlineLevel="1" x14ac:dyDescent="0.3">
      <c r="A245" s="879" t="s">
        <v>462</v>
      </c>
      <c r="D245" s="428"/>
      <c r="E245" s="428"/>
      <c r="F245" s="537"/>
      <c r="G245" s="537">
        <v>23825</v>
      </c>
      <c r="H245" s="858">
        <f>G248</f>
        <v>26983</v>
      </c>
      <c r="I245" s="858">
        <f>H248</f>
        <v>26983</v>
      </c>
      <c r="J245" s="858">
        <f>I248</f>
        <v>26983</v>
      </c>
      <c r="K245" s="858">
        <f>J248</f>
        <v>26983</v>
      </c>
      <c r="L245" s="859">
        <f>K248</f>
        <v>26983</v>
      </c>
      <c r="M245" s="424"/>
    </row>
    <row r="246" spans="1:13" s="411" customFormat="1" ht="16.5" outlineLevel="1" x14ac:dyDescent="0.3">
      <c r="A246" s="879" t="s">
        <v>471</v>
      </c>
      <c r="D246" s="428"/>
      <c r="E246" s="537"/>
      <c r="F246" s="537">
        <v>32145</v>
      </c>
      <c r="G246" s="537">
        <v>37069</v>
      </c>
      <c r="H246" s="858">
        <v>0</v>
      </c>
      <c r="I246" s="858">
        <v>0</v>
      </c>
      <c r="J246" s="858">
        <v>0</v>
      </c>
      <c r="K246" s="858">
        <v>0</v>
      </c>
      <c r="L246" s="859">
        <v>0</v>
      </c>
      <c r="M246" s="417"/>
    </row>
    <row r="247" spans="1:13" s="411" customFormat="1" ht="16.5" outlineLevel="1" x14ac:dyDescent="0.3">
      <c r="A247" s="879" t="s">
        <v>637</v>
      </c>
      <c r="D247" s="428"/>
      <c r="E247" s="537"/>
      <c r="F247" s="537">
        <v>-8320</v>
      </c>
      <c r="G247" s="537">
        <v>-33911</v>
      </c>
      <c r="H247" s="858">
        <v>0</v>
      </c>
      <c r="I247" s="858">
        <v>0</v>
      </c>
      <c r="J247" s="858">
        <v>0</v>
      </c>
      <c r="K247" s="858">
        <v>0</v>
      </c>
      <c r="L247" s="859">
        <v>0</v>
      </c>
      <c r="M247" s="417"/>
    </row>
    <row r="248" spans="1:13" s="411" customFormat="1" ht="16.5" outlineLevel="1" x14ac:dyDescent="0.3">
      <c r="A248" s="879" t="s">
        <v>463</v>
      </c>
      <c r="B248" s="434"/>
      <c r="C248" s="434"/>
      <c r="D248" s="434"/>
      <c r="E248" s="545"/>
      <c r="F248" s="545">
        <f>SUM(F244:F247)</f>
        <v>23825</v>
      </c>
      <c r="G248" s="545">
        <f>SUM(G244:G247)</f>
        <v>26983</v>
      </c>
      <c r="H248" s="858">
        <f>SUM(H245:H247)</f>
        <v>26983</v>
      </c>
      <c r="I248" s="858">
        <f>SUM(I245:I247)</f>
        <v>26983</v>
      </c>
      <c r="J248" s="858">
        <f>SUM(J245:J247)</f>
        <v>26983</v>
      </c>
      <c r="K248" s="858">
        <f>SUM(K245:K247)</f>
        <v>26983</v>
      </c>
      <c r="L248" s="859">
        <f>SUM(L245:L247)</f>
        <v>26983</v>
      </c>
      <c r="M248"/>
    </row>
    <row r="249" spans="1:13" ht="16.5" outlineLevel="1" x14ac:dyDescent="0.3">
      <c r="A249" s="427" t="s">
        <v>639</v>
      </c>
      <c r="L249" s="801"/>
    </row>
    <row r="250" spans="1:13" ht="16.5" outlineLevel="1" x14ac:dyDescent="0.3">
      <c r="A250" s="879" t="s">
        <v>462</v>
      </c>
      <c r="F250" s="537"/>
      <c r="G250" s="537">
        <v>7765</v>
      </c>
      <c r="H250" s="858">
        <f>G253</f>
        <v>35573</v>
      </c>
      <c r="I250" s="858">
        <f>H253</f>
        <v>30563.492893073053</v>
      </c>
      <c r="J250" s="858">
        <f>I253</f>
        <v>26259.441088042251</v>
      </c>
      <c r="K250" s="858">
        <f>J253</f>
        <v>22561.500044147244</v>
      </c>
      <c r="L250" s="859">
        <f>K253</f>
        <v>19384.315246292459</v>
      </c>
    </row>
    <row r="251" spans="1:13" ht="16.5" outlineLevel="1" x14ac:dyDescent="0.3">
      <c r="A251" s="879" t="s">
        <v>637</v>
      </c>
      <c r="F251" s="537">
        <v>8320</v>
      </c>
      <c r="G251" s="537">
        <v>33911</v>
      </c>
      <c r="H251" s="858">
        <v>0</v>
      </c>
      <c r="I251" s="858">
        <v>0</v>
      </c>
      <c r="J251" s="858">
        <v>0</v>
      </c>
      <c r="K251" s="858">
        <v>0</v>
      </c>
      <c r="L251" s="859">
        <v>0</v>
      </c>
    </row>
    <row r="252" spans="1:13" ht="15.75" customHeight="1" outlineLevel="1" x14ac:dyDescent="0.3">
      <c r="A252" s="879" t="s">
        <v>576</v>
      </c>
      <c r="F252" s="537">
        <v>-555</v>
      </c>
      <c r="G252" s="537">
        <v>-6103</v>
      </c>
      <c r="H252" s="858">
        <f>H250*H255</f>
        <v>-5009.5071069269461</v>
      </c>
      <c r="I252" s="858">
        <f>I250*I255</f>
        <v>-4304.0518050308001</v>
      </c>
      <c r="J252" s="858">
        <f>J250*J255</f>
        <v>-3697.9410438950076</v>
      </c>
      <c r="K252" s="858">
        <f>K250*K255</f>
        <v>-3177.1847978547839</v>
      </c>
      <c r="L252" s="859">
        <f>L250*L255</f>
        <v>-2729.7631627699216</v>
      </c>
    </row>
    <row r="253" spans="1:13" s="411" customFormat="1" ht="16.5" outlineLevel="1" x14ac:dyDescent="0.3">
      <c r="A253" s="879" t="s">
        <v>463</v>
      </c>
      <c r="B253" s="434"/>
      <c r="C253" s="434"/>
      <c r="D253" s="434"/>
      <c r="E253" s="434"/>
      <c r="F253" s="545">
        <f>SUM(F249:F252)</f>
        <v>7765</v>
      </c>
      <c r="G253" s="545">
        <f t="shared" ref="G253:L253" si="73">SUM(G250:G252)</f>
        <v>35573</v>
      </c>
      <c r="H253" s="858">
        <f t="shared" si="73"/>
        <v>30563.492893073053</v>
      </c>
      <c r="I253" s="858">
        <f t="shared" si="73"/>
        <v>26259.441088042251</v>
      </c>
      <c r="J253" s="858">
        <f t="shared" si="73"/>
        <v>22561.500044147244</v>
      </c>
      <c r="K253" s="858">
        <f t="shared" si="73"/>
        <v>19384.315246292459</v>
      </c>
      <c r="L253" s="859">
        <f t="shared" si="73"/>
        <v>16654.552083522536</v>
      </c>
      <c r="M253"/>
    </row>
    <row r="254" spans="1:13" s="411" customFormat="1" ht="16.5" outlineLevel="1" x14ac:dyDescent="0.3">
      <c r="A254" s="434"/>
      <c r="B254" s="434"/>
      <c r="C254" s="434"/>
      <c r="D254" s="434"/>
      <c r="E254" s="434"/>
      <c r="F254" s="545"/>
      <c r="G254" s="545"/>
      <c r="H254" s="858"/>
      <c r="I254" s="858"/>
      <c r="J254" s="858"/>
      <c r="K254" s="858"/>
      <c r="L254" s="859"/>
      <c r="M254"/>
    </row>
    <row r="255" spans="1:13" s="411" customFormat="1" ht="16.5" outlineLevel="1" x14ac:dyDescent="0.3">
      <c r="A255" s="434" t="s">
        <v>645</v>
      </c>
      <c r="B255" s="434"/>
      <c r="C255" s="434"/>
      <c r="D255" s="434"/>
      <c r="E255" s="434"/>
      <c r="F255" s="545"/>
      <c r="G255" s="558">
        <f>G252/AVERAGE(G250+G253)</f>
        <v>-0.14082329595274354</v>
      </c>
      <c r="H255" s="860">
        <f>G255</f>
        <v>-0.14082329595274354</v>
      </c>
      <c r="I255" s="860">
        <f>H255</f>
        <v>-0.14082329595274354</v>
      </c>
      <c r="J255" s="860">
        <f>I255</f>
        <v>-0.14082329595274354</v>
      </c>
      <c r="K255" s="860">
        <f>J255</f>
        <v>-0.14082329595274354</v>
      </c>
      <c r="L255" s="861">
        <f>K255</f>
        <v>-0.14082329595274354</v>
      </c>
      <c r="M255"/>
    </row>
    <row r="256" spans="1:13" s="411" customFormat="1" ht="16.5" outlineLevel="1" x14ac:dyDescent="0.3">
      <c r="A256" s="434"/>
      <c r="B256" s="434"/>
      <c r="C256" s="434"/>
      <c r="D256" s="434"/>
      <c r="E256" s="434"/>
      <c r="F256" s="545"/>
      <c r="G256" s="545"/>
      <c r="H256" s="858"/>
      <c r="I256" s="858"/>
      <c r="J256" s="858"/>
      <c r="K256" s="858"/>
      <c r="L256" s="859"/>
      <c r="M256"/>
    </row>
    <row r="257" spans="1:12" ht="17.25" outlineLevel="1" thickBot="1" x14ac:dyDescent="0.35">
      <c r="A257" s="880" t="s">
        <v>640</v>
      </c>
      <c r="B257" s="541"/>
      <c r="C257" s="541"/>
      <c r="D257" s="541"/>
      <c r="E257" s="541"/>
      <c r="F257" s="542">
        <f t="shared" ref="F257:L257" si="74">F248+F253</f>
        <v>31590</v>
      </c>
      <c r="G257" s="542">
        <f t="shared" si="74"/>
        <v>62556</v>
      </c>
      <c r="H257" s="542">
        <f t="shared" si="74"/>
        <v>57546.492893073053</v>
      </c>
      <c r="I257" s="542">
        <f t="shared" si="74"/>
        <v>53242.441088042251</v>
      </c>
      <c r="J257" s="542">
        <f t="shared" si="74"/>
        <v>49544.500044147244</v>
      </c>
      <c r="K257" s="542">
        <f t="shared" si="74"/>
        <v>46367.315246292463</v>
      </c>
      <c r="L257" s="862">
        <f t="shared" si="74"/>
        <v>43637.552083522532</v>
      </c>
    </row>
    <row r="258" spans="1:12" ht="13.5" outlineLevel="1" thickTop="1" x14ac:dyDescent="0.2">
      <c r="L258" s="801"/>
    </row>
    <row r="259" spans="1:12" ht="15.75" outlineLevel="1" x14ac:dyDescent="0.25">
      <c r="A259" s="878" t="s">
        <v>425</v>
      </c>
      <c r="L259" s="801"/>
    </row>
    <row r="260" spans="1:12" ht="16.5" outlineLevel="1" x14ac:dyDescent="0.3">
      <c r="A260" s="576" t="s">
        <v>572</v>
      </c>
      <c r="B260" s="488"/>
      <c r="C260" s="488"/>
      <c r="D260" s="488"/>
      <c r="E260" s="488"/>
      <c r="F260" s="488"/>
      <c r="G260" s="488"/>
      <c r="H260" s="488"/>
      <c r="I260" s="488"/>
      <c r="J260" s="488"/>
      <c r="K260" s="488"/>
      <c r="L260" s="840"/>
    </row>
    <row r="261" spans="1:12" ht="16.5" outlineLevel="1" x14ac:dyDescent="0.3">
      <c r="A261" s="879" t="s">
        <v>462</v>
      </c>
      <c r="B261" s="537">
        <v>193</v>
      </c>
      <c r="C261" s="537">
        <v>5019</v>
      </c>
      <c r="D261" s="537">
        <v>7152</v>
      </c>
      <c r="E261" s="537">
        <v>6668</v>
      </c>
      <c r="F261" s="537">
        <v>4185</v>
      </c>
      <c r="G261" s="537">
        <v>3503</v>
      </c>
      <c r="H261" s="561">
        <f>G266</f>
        <v>4023</v>
      </c>
      <c r="I261" s="561">
        <f>H266</f>
        <v>3753.9693823673597</v>
      </c>
      <c r="J261" s="561">
        <f>I266</f>
        <v>3502.92968524772</v>
      </c>
      <c r="K261" s="561">
        <f>J266</f>
        <v>3268.6777994048407</v>
      </c>
      <c r="L261" s="863">
        <f>K266</f>
        <v>3050.0910712875193</v>
      </c>
    </row>
    <row r="262" spans="1:12" ht="16.5" outlineLevel="1" x14ac:dyDescent="0.3">
      <c r="A262" s="879" t="s">
        <v>575</v>
      </c>
      <c r="B262" s="537">
        <v>5400</v>
      </c>
      <c r="C262" s="537">
        <v>2600</v>
      </c>
      <c r="D262" s="537">
        <v>0</v>
      </c>
      <c r="E262" s="537">
        <v>0</v>
      </c>
      <c r="F262" s="537">
        <v>0</v>
      </c>
      <c r="G262" s="537">
        <v>819</v>
      </c>
      <c r="H262" s="561">
        <v>0</v>
      </c>
      <c r="I262" s="561">
        <v>0</v>
      </c>
      <c r="J262" s="561">
        <v>0</v>
      </c>
      <c r="K262" s="561">
        <v>0</v>
      </c>
      <c r="L262" s="863">
        <v>0</v>
      </c>
    </row>
    <row r="263" spans="1:12" ht="16.5" outlineLevel="1" x14ac:dyDescent="0.3">
      <c r="A263" s="879" t="s">
        <v>576</v>
      </c>
      <c r="B263" s="537">
        <v>-574</v>
      </c>
      <c r="C263" s="537">
        <v>-467</v>
      </c>
      <c r="D263" s="537">
        <v>-484</v>
      </c>
      <c r="E263" s="537">
        <v>-306</v>
      </c>
      <c r="F263" s="537">
        <v>-187</v>
      </c>
      <c r="G263" s="537">
        <v>-291</v>
      </c>
      <c r="H263" s="561">
        <f>H261*H268</f>
        <v>-269.03061763264009</v>
      </c>
      <c r="I263" s="561">
        <f>I261*I268</f>
        <v>-251.03969711963987</v>
      </c>
      <c r="J263" s="561">
        <f>J261*J268</f>
        <v>-234.25188584287935</v>
      </c>
      <c r="K263" s="561">
        <f>K261*K268</f>
        <v>-218.58672811732117</v>
      </c>
      <c r="L263" s="863">
        <f>L261*L268</f>
        <v>-203.96914858172562</v>
      </c>
    </row>
    <row r="264" spans="1:12" ht="16.5" outlineLevel="1" x14ac:dyDescent="0.3">
      <c r="A264" s="879" t="s">
        <v>634</v>
      </c>
      <c r="B264" s="537">
        <v>0</v>
      </c>
      <c r="C264" s="537">
        <v>0</v>
      </c>
      <c r="D264" s="537">
        <v>0</v>
      </c>
      <c r="E264" s="537">
        <v>-2177</v>
      </c>
      <c r="F264" s="537">
        <v>-500</v>
      </c>
      <c r="G264" s="537">
        <v>0</v>
      </c>
      <c r="H264" s="561">
        <f>G264</f>
        <v>0</v>
      </c>
      <c r="I264" s="561">
        <f>H264</f>
        <v>0</v>
      </c>
      <c r="J264" s="561">
        <f>I264</f>
        <v>0</v>
      </c>
      <c r="K264" s="561">
        <f>J264</f>
        <v>0</v>
      </c>
      <c r="L264" s="863">
        <f>K264</f>
        <v>0</v>
      </c>
    </row>
    <row r="265" spans="1:12" ht="16.5" outlineLevel="1" x14ac:dyDescent="0.3">
      <c r="A265" s="879" t="s">
        <v>635</v>
      </c>
      <c r="B265" s="537">
        <v>0</v>
      </c>
      <c r="C265" s="537">
        <v>0</v>
      </c>
      <c r="D265" s="537">
        <v>0</v>
      </c>
      <c r="E265" s="537">
        <v>0</v>
      </c>
      <c r="F265" s="537">
        <v>5</v>
      </c>
      <c r="G265" s="537">
        <v>-8</v>
      </c>
      <c r="H265" s="561">
        <v>0</v>
      </c>
      <c r="I265" s="561">
        <v>0</v>
      </c>
      <c r="J265" s="561">
        <v>0</v>
      </c>
      <c r="K265" s="561">
        <v>0</v>
      </c>
      <c r="L265" s="863">
        <v>0</v>
      </c>
    </row>
    <row r="266" spans="1:12" ht="16.5" outlineLevel="1" x14ac:dyDescent="0.3">
      <c r="A266" s="879" t="s">
        <v>463</v>
      </c>
      <c r="B266" s="492">
        <f t="shared" ref="B266:L266" si="75">SUM(B261:B265)</f>
        <v>5019</v>
      </c>
      <c r="C266" s="492">
        <f t="shared" si="75"/>
        <v>7152</v>
      </c>
      <c r="D266" s="492">
        <f t="shared" si="75"/>
        <v>6668</v>
      </c>
      <c r="E266" s="492">
        <f t="shared" si="75"/>
        <v>4185</v>
      </c>
      <c r="F266" s="492">
        <f t="shared" si="75"/>
        <v>3503</v>
      </c>
      <c r="G266" s="492">
        <f t="shared" si="75"/>
        <v>4023</v>
      </c>
      <c r="H266" s="549">
        <f t="shared" si="75"/>
        <v>3753.9693823673597</v>
      </c>
      <c r="I266" s="549">
        <f t="shared" si="75"/>
        <v>3502.92968524772</v>
      </c>
      <c r="J266" s="549">
        <f t="shared" si="75"/>
        <v>3268.6777994048407</v>
      </c>
      <c r="K266" s="549">
        <f t="shared" si="75"/>
        <v>3050.0910712875193</v>
      </c>
      <c r="L266" s="839">
        <f t="shared" si="75"/>
        <v>2846.1219227057936</v>
      </c>
    </row>
    <row r="267" spans="1:12" ht="16.5" outlineLevel="1" x14ac:dyDescent="0.3">
      <c r="A267" s="434"/>
      <c r="B267" s="492"/>
      <c r="C267" s="492"/>
      <c r="D267" s="492"/>
      <c r="E267" s="492"/>
      <c r="F267" s="492"/>
      <c r="G267" s="492"/>
      <c r="H267" s="549"/>
      <c r="I267" s="549"/>
      <c r="J267" s="549"/>
      <c r="K267" s="549"/>
      <c r="L267" s="839"/>
    </row>
    <row r="268" spans="1:12" ht="16.5" outlineLevel="1" x14ac:dyDescent="0.3">
      <c r="A268" s="434" t="s">
        <v>646</v>
      </c>
      <c r="C268" s="563">
        <f>C263/C261</f>
        <v>-9.3046423590356642E-2</v>
      </c>
      <c r="D268" s="563">
        <f>D263/D261</f>
        <v>-6.7673378076062635E-2</v>
      </c>
      <c r="E268" s="563">
        <f>E263/E261</f>
        <v>-4.5890821835632874E-2</v>
      </c>
      <c r="F268" s="563">
        <f>F263/F261</f>
        <v>-4.4683393070489845E-2</v>
      </c>
      <c r="G268" s="563">
        <f>G263/G261</f>
        <v>-8.3071652868969462E-2</v>
      </c>
      <c r="H268" s="563">
        <f>AVERAGE(C268:G268)</f>
        <v>-6.687313388830228E-2</v>
      </c>
      <c r="I268" s="563">
        <f>H268</f>
        <v>-6.687313388830228E-2</v>
      </c>
      <c r="J268" s="563">
        <f>I268</f>
        <v>-6.687313388830228E-2</v>
      </c>
      <c r="K268" s="563">
        <f>J268</f>
        <v>-6.687313388830228E-2</v>
      </c>
      <c r="L268" s="864">
        <f>K268</f>
        <v>-6.687313388830228E-2</v>
      </c>
    </row>
    <row r="269" spans="1:12" ht="16.5" outlineLevel="1" x14ac:dyDescent="0.3">
      <c r="A269" s="434"/>
      <c r="B269" s="492"/>
      <c r="C269" s="492"/>
      <c r="D269" s="492"/>
      <c r="E269" s="492"/>
      <c r="F269" s="492"/>
      <c r="G269" s="492"/>
      <c r="H269" s="549"/>
      <c r="I269" s="549"/>
      <c r="J269" s="549"/>
      <c r="K269" s="549"/>
      <c r="L269" s="839"/>
    </row>
    <row r="270" spans="1:12" ht="16.5" outlineLevel="1" x14ac:dyDescent="0.3">
      <c r="A270" s="421" t="s">
        <v>472</v>
      </c>
      <c r="H270" s="553"/>
      <c r="I270" s="553"/>
      <c r="J270" s="553"/>
      <c r="K270" s="553"/>
      <c r="L270" s="849"/>
    </row>
    <row r="271" spans="1:12" ht="16.5" outlineLevel="1" x14ac:dyDescent="0.3">
      <c r="A271" s="879" t="s">
        <v>563</v>
      </c>
      <c r="B271" s="537">
        <v>15491</v>
      </c>
      <c r="C271" s="537">
        <v>31230</v>
      </c>
      <c r="D271" s="537">
        <v>40003</v>
      </c>
      <c r="E271" s="537">
        <v>40003</v>
      </c>
      <c r="F271" s="537">
        <v>40003</v>
      </c>
      <c r="G271" s="537">
        <v>33250</v>
      </c>
      <c r="H271" s="562">
        <f>G275</f>
        <v>33250</v>
      </c>
      <c r="I271" s="562">
        <f>H275</f>
        <v>33250</v>
      </c>
      <c r="J271" s="562">
        <f>I275</f>
        <v>33250</v>
      </c>
      <c r="K271" s="562">
        <f>J275</f>
        <v>33250</v>
      </c>
      <c r="L271" s="844">
        <f>K275</f>
        <v>33250</v>
      </c>
    </row>
    <row r="272" spans="1:12" ht="16.5" outlineLevel="1" x14ac:dyDescent="0.3">
      <c r="A272" s="879" t="s">
        <v>421</v>
      </c>
      <c r="B272" s="537">
        <v>15739</v>
      </c>
      <c r="C272" s="537">
        <v>8773</v>
      </c>
      <c r="D272" s="537">
        <v>0</v>
      </c>
      <c r="E272" s="537">
        <v>0</v>
      </c>
      <c r="F272" s="537">
        <v>0</v>
      </c>
      <c r="G272" s="537">
        <v>0</v>
      </c>
      <c r="H272" s="549">
        <f>G272</f>
        <v>0</v>
      </c>
      <c r="I272" s="549">
        <f>H272</f>
        <v>0</v>
      </c>
      <c r="J272" s="549">
        <f>I272</f>
        <v>0</v>
      </c>
      <c r="K272" s="549">
        <f>J272</f>
        <v>0</v>
      </c>
      <c r="L272" s="839">
        <f>K272</f>
        <v>0</v>
      </c>
    </row>
    <row r="273" spans="1:12" ht="16.5" outlineLevel="1" x14ac:dyDescent="0.3">
      <c r="A273" s="879" t="s">
        <v>576</v>
      </c>
      <c r="B273" s="537">
        <v>0</v>
      </c>
      <c r="C273" s="537">
        <v>0</v>
      </c>
      <c r="D273" s="537">
        <v>0</v>
      </c>
      <c r="E273" s="537">
        <v>0</v>
      </c>
      <c r="F273" s="537">
        <v>0</v>
      </c>
      <c r="G273" s="537">
        <v>0</v>
      </c>
      <c r="H273" s="549">
        <f t="shared" ref="H273:L274" si="76">G273</f>
        <v>0</v>
      </c>
      <c r="I273" s="549">
        <f t="shared" si="76"/>
        <v>0</v>
      </c>
      <c r="J273" s="549">
        <f t="shared" si="76"/>
        <v>0</v>
      </c>
      <c r="K273" s="549">
        <f t="shared" si="76"/>
        <v>0</v>
      </c>
      <c r="L273" s="839">
        <f t="shared" si="76"/>
        <v>0</v>
      </c>
    </row>
    <row r="274" spans="1:12" ht="16.5" outlineLevel="1" x14ac:dyDescent="0.3">
      <c r="A274" s="879" t="s">
        <v>634</v>
      </c>
      <c r="B274" s="537">
        <v>0</v>
      </c>
      <c r="C274" s="537">
        <v>0</v>
      </c>
      <c r="D274" s="537">
        <v>0</v>
      </c>
      <c r="E274" s="537">
        <v>0</v>
      </c>
      <c r="F274" s="537">
        <v>-6753</v>
      </c>
      <c r="G274" s="537">
        <v>0</v>
      </c>
      <c r="H274" s="549">
        <f t="shared" si="76"/>
        <v>0</v>
      </c>
      <c r="I274" s="549">
        <f>H274</f>
        <v>0</v>
      </c>
      <c r="J274" s="549">
        <f t="shared" si="76"/>
        <v>0</v>
      </c>
      <c r="K274" s="549">
        <f t="shared" si="76"/>
        <v>0</v>
      </c>
      <c r="L274" s="839">
        <f t="shared" si="76"/>
        <v>0</v>
      </c>
    </row>
    <row r="275" spans="1:12" ht="16.5" outlineLevel="1" x14ac:dyDescent="0.3">
      <c r="A275" s="879" t="s">
        <v>463</v>
      </c>
      <c r="B275" s="486">
        <f t="shared" ref="B275:L275" si="77">SUM(B271:B274)</f>
        <v>31230</v>
      </c>
      <c r="C275" s="486">
        <f t="shared" si="77"/>
        <v>40003</v>
      </c>
      <c r="D275" s="486">
        <f t="shared" si="77"/>
        <v>40003</v>
      </c>
      <c r="E275" s="486">
        <f t="shared" si="77"/>
        <v>40003</v>
      </c>
      <c r="F275" s="486">
        <f t="shared" si="77"/>
        <v>33250</v>
      </c>
      <c r="G275" s="486">
        <f t="shared" si="77"/>
        <v>33250</v>
      </c>
      <c r="H275" s="562">
        <f t="shared" si="77"/>
        <v>33250</v>
      </c>
      <c r="I275" s="562">
        <f t="shared" si="77"/>
        <v>33250</v>
      </c>
      <c r="J275" s="562">
        <f t="shared" si="77"/>
        <v>33250</v>
      </c>
      <c r="K275" s="562">
        <f t="shared" si="77"/>
        <v>33250</v>
      </c>
      <c r="L275" s="844">
        <f t="shared" si="77"/>
        <v>33250</v>
      </c>
    </row>
    <row r="276" spans="1:12" ht="16.5" outlineLevel="1" x14ac:dyDescent="0.3">
      <c r="A276" s="879"/>
      <c r="B276" s="486"/>
      <c r="C276" s="486"/>
      <c r="D276" s="486"/>
      <c r="E276" s="486"/>
      <c r="F276" s="486"/>
      <c r="G276" s="486"/>
      <c r="H276" s="562"/>
      <c r="I276" s="562"/>
      <c r="J276" s="562"/>
      <c r="K276" s="562"/>
      <c r="L276" s="844"/>
    </row>
    <row r="277" spans="1:12" ht="16.5" outlineLevel="1" x14ac:dyDescent="0.3">
      <c r="A277" s="543" t="s">
        <v>574</v>
      </c>
      <c r="B277" s="537"/>
      <c r="C277" s="537"/>
      <c r="D277" s="537"/>
      <c r="E277" s="537"/>
      <c r="F277" s="537"/>
      <c r="G277" s="537"/>
      <c r="H277" s="553"/>
      <c r="I277" s="553"/>
      <c r="J277" s="553"/>
      <c r="K277" s="553"/>
      <c r="L277" s="849"/>
    </row>
    <row r="278" spans="1:12" ht="16.5" outlineLevel="1" x14ac:dyDescent="0.3">
      <c r="A278" s="879" t="s">
        <v>462</v>
      </c>
      <c r="B278" s="537">
        <v>0</v>
      </c>
      <c r="C278" s="537">
        <v>996</v>
      </c>
      <c r="D278" s="537">
        <v>933</v>
      </c>
      <c r="E278" s="537">
        <v>878</v>
      </c>
      <c r="F278" s="537">
        <v>823</v>
      </c>
      <c r="G278" s="537">
        <v>768</v>
      </c>
      <c r="H278" s="549">
        <f>G281</f>
        <v>713</v>
      </c>
      <c r="I278" s="549">
        <f>H281</f>
        <v>658</v>
      </c>
      <c r="J278" s="549">
        <f>I281</f>
        <v>603</v>
      </c>
      <c r="K278" s="549">
        <f>J281</f>
        <v>548</v>
      </c>
      <c r="L278" s="839">
        <f>K281</f>
        <v>493</v>
      </c>
    </row>
    <row r="279" spans="1:12" ht="16.5" outlineLevel="1" x14ac:dyDescent="0.3">
      <c r="A279" s="879" t="s">
        <v>575</v>
      </c>
      <c r="B279" s="537">
        <v>1100</v>
      </c>
      <c r="C279" s="537">
        <v>0</v>
      </c>
      <c r="D279" s="537"/>
      <c r="E279" s="537"/>
      <c r="F279" s="537">
        <v>0</v>
      </c>
      <c r="G279" s="537">
        <v>0</v>
      </c>
      <c r="H279" s="549">
        <f t="shared" ref="H279:L280" si="78">G279</f>
        <v>0</v>
      </c>
      <c r="I279" s="549">
        <f t="shared" si="78"/>
        <v>0</v>
      </c>
      <c r="J279" s="549">
        <f t="shared" si="78"/>
        <v>0</v>
      </c>
      <c r="K279" s="549">
        <f t="shared" si="78"/>
        <v>0</v>
      </c>
      <c r="L279" s="839">
        <f t="shared" si="78"/>
        <v>0</v>
      </c>
    </row>
    <row r="280" spans="1:12" ht="16.5" outlineLevel="1" x14ac:dyDescent="0.3">
      <c r="A280" s="879" t="s">
        <v>576</v>
      </c>
      <c r="B280" s="537">
        <v>-104</v>
      </c>
      <c r="C280" s="537">
        <v>-63</v>
      </c>
      <c r="D280" s="537">
        <v>-55</v>
      </c>
      <c r="E280" s="537">
        <v>-55</v>
      </c>
      <c r="F280" s="537">
        <v>-55</v>
      </c>
      <c r="G280" s="537">
        <v>-55</v>
      </c>
      <c r="H280" s="549">
        <f t="shared" si="78"/>
        <v>-55</v>
      </c>
      <c r="I280" s="549">
        <f t="shared" si="78"/>
        <v>-55</v>
      </c>
      <c r="J280" s="549">
        <f t="shared" si="78"/>
        <v>-55</v>
      </c>
      <c r="K280" s="549">
        <f t="shared" si="78"/>
        <v>-55</v>
      </c>
      <c r="L280" s="839">
        <f t="shared" si="78"/>
        <v>-55</v>
      </c>
    </row>
    <row r="281" spans="1:12" ht="16.5" outlineLevel="1" x14ac:dyDescent="0.3">
      <c r="A281" s="879" t="s">
        <v>463</v>
      </c>
      <c r="B281" s="540">
        <f t="shared" ref="B281:L281" si="79">SUM(B278:B280)</f>
        <v>996</v>
      </c>
      <c r="C281" s="540">
        <f t="shared" si="79"/>
        <v>933</v>
      </c>
      <c r="D281" s="540">
        <f t="shared" si="79"/>
        <v>878</v>
      </c>
      <c r="E281" s="540">
        <f t="shared" si="79"/>
        <v>823</v>
      </c>
      <c r="F281" s="540">
        <f t="shared" si="79"/>
        <v>768</v>
      </c>
      <c r="G281" s="540">
        <f t="shared" si="79"/>
        <v>713</v>
      </c>
      <c r="H281" s="549">
        <f t="shared" si="79"/>
        <v>658</v>
      </c>
      <c r="I281" s="549">
        <f t="shared" si="79"/>
        <v>603</v>
      </c>
      <c r="J281" s="549">
        <f t="shared" si="79"/>
        <v>548</v>
      </c>
      <c r="K281" s="549">
        <f t="shared" si="79"/>
        <v>493</v>
      </c>
      <c r="L281" s="839">
        <f t="shared" si="79"/>
        <v>438</v>
      </c>
    </row>
    <row r="282" spans="1:12" ht="17.25" outlineLevel="1" thickBot="1" x14ac:dyDescent="0.35">
      <c r="A282" s="541" t="s">
        <v>473</v>
      </c>
      <c r="B282" s="542">
        <f t="shared" ref="B282:L282" si="80">SUM(B266,B275,B281)</f>
        <v>37245</v>
      </c>
      <c r="C282" s="542">
        <f t="shared" si="80"/>
        <v>48088</v>
      </c>
      <c r="D282" s="542">
        <f t="shared" si="80"/>
        <v>47549</v>
      </c>
      <c r="E282" s="542">
        <f t="shared" si="80"/>
        <v>45011</v>
      </c>
      <c r="F282" s="542">
        <f t="shared" si="80"/>
        <v>37521</v>
      </c>
      <c r="G282" s="542">
        <f t="shared" si="80"/>
        <v>37986</v>
      </c>
      <c r="H282" s="542">
        <f t="shared" si="80"/>
        <v>37661.969382367359</v>
      </c>
      <c r="I282" s="542">
        <f t="shared" si="80"/>
        <v>37355.92968524772</v>
      </c>
      <c r="J282" s="542">
        <f t="shared" si="80"/>
        <v>37066.677799404839</v>
      </c>
      <c r="K282" s="542">
        <f t="shared" si="80"/>
        <v>36793.091071287519</v>
      </c>
      <c r="L282" s="862">
        <f t="shared" si="80"/>
        <v>36534.121922705795</v>
      </c>
    </row>
    <row r="283" spans="1:12" ht="17.25" outlineLevel="1" thickTop="1" x14ac:dyDescent="0.3">
      <c r="A283" s="434"/>
      <c r="B283" s="493"/>
      <c r="C283" s="493"/>
      <c r="L283" s="801"/>
    </row>
    <row r="284" spans="1:12" ht="16.5" outlineLevel="1" x14ac:dyDescent="0.3">
      <c r="A284" s="543" t="s">
        <v>636</v>
      </c>
      <c r="B284" s="491"/>
      <c r="C284" s="491"/>
      <c r="D284" s="491"/>
      <c r="E284" s="491"/>
      <c r="F284" s="491"/>
      <c r="G284" s="491"/>
      <c r="L284" s="801"/>
    </row>
    <row r="285" spans="1:12" ht="16.5" outlineLevel="1" x14ac:dyDescent="0.3">
      <c r="A285" s="434" t="s">
        <v>462</v>
      </c>
      <c r="B285" s="537"/>
      <c r="C285" s="537"/>
      <c r="D285" s="537"/>
      <c r="E285" s="537">
        <v>2909</v>
      </c>
      <c r="F285" s="537">
        <v>5357</v>
      </c>
      <c r="G285" s="537">
        <v>7519</v>
      </c>
      <c r="H285" s="627">
        <f>G292</f>
        <v>9991</v>
      </c>
      <c r="I285" s="627">
        <f>H292</f>
        <v>6934.0387920631892</v>
      </c>
      <c r="J285" s="627">
        <f>I292</f>
        <v>4812.4205755016646</v>
      </c>
      <c r="K285" s="627">
        <f>J292</f>
        <v>3339.9570567762585</v>
      </c>
      <c r="L285" s="865">
        <f>K292</f>
        <v>2318.0254024133492</v>
      </c>
    </row>
    <row r="286" spans="1:12" ht="16.5" outlineLevel="1" x14ac:dyDescent="0.3">
      <c r="A286" s="434" t="s">
        <v>575</v>
      </c>
      <c r="B286" s="537"/>
      <c r="C286" s="537"/>
      <c r="D286" s="537"/>
      <c r="E286" s="537">
        <v>3274</v>
      </c>
      <c r="F286" s="537">
        <v>3782</v>
      </c>
      <c r="G286" s="537">
        <v>4972</v>
      </c>
      <c r="H286" s="559">
        <v>0</v>
      </c>
      <c r="I286" s="559">
        <f>H286</f>
        <v>0</v>
      </c>
      <c r="J286" s="559">
        <f>I286</f>
        <v>0</v>
      </c>
      <c r="K286" s="559">
        <f>J286</f>
        <v>0</v>
      </c>
      <c r="L286" s="866">
        <f>K286</f>
        <v>0</v>
      </c>
    </row>
    <row r="287" spans="1:12" ht="16.5" outlineLevel="1" x14ac:dyDescent="0.3">
      <c r="A287" s="434" t="s">
        <v>576</v>
      </c>
      <c r="B287" s="537"/>
      <c r="C287" s="537"/>
      <c r="D287" s="537"/>
      <c r="E287" s="537">
        <v>-826</v>
      </c>
      <c r="F287" s="537">
        <v>-1620</v>
      </c>
      <c r="G287" s="537">
        <v>-2493</v>
      </c>
      <c r="H287" s="559">
        <f>H290*H285</f>
        <v>-3056.9612079368112</v>
      </c>
      <c r="I287" s="559">
        <f>I290*I285</f>
        <v>-2121.6182165615246</v>
      </c>
      <c r="J287" s="559">
        <f>J290*J285</f>
        <v>-1472.4635187254062</v>
      </c>
      <c r="K287" s="559">
        <f>K290*K285</f>
        <v>-1021.9316543629094</v>
      </c>
      <c r="L287" s="866">
        <f>L290*L285</f>
        <v>-709.24969814730503</v>
      </c>
    </row>
    <row r="288" spans="1:12" ht="16.5" outlineLevel="1" x14ac:dyDescent="0.3">
      <c r="A288" s="434" t="s">
        <v>635</v>
      </c>
      <c r="B288" s="537"/>
      <c r="C288" s="537"/>
      <c r="D288" s="537"/>
      <c r="E288" s="537">
        <v>0</v>
      </c>
      <c r="F288" s="537">
        <v>0</v>
      </c>
      <c r="G288" s="537">
        <v>-7</v>
      </c>
      <c r="H288" s="867">
        <v>0</v>
      </c>
      <c r="I288" s="867">
        <v>0</v>
      </c>
      <c r="J288" s="867">
        <v>0</v>
      </c>
      <c r="K288" s="867">
        <v>0</v>
      </c>
      <c r="L288" s="868">
        <v>0</v>
      </c>
    </row>
    <row r="289" spans="1:12" ht="16.5" outlineLevel="1" x14ac:dyDescent="0.3">
      <c r="A289" s="434"/>
      <c r="B289" s="537"/>
      <c r="C289" s="537"/>
      <c r="D289" s="537"/>
      <c r="E289" s="537"/>
      <c r="F289" s="537"/>
      <c r="G289" s="537"/>
      <c r="L289" s="801"/>
    </row>
    <row r="290" spans="1:12" ht="16.5" outlineLevel="1" x14ac:dyDescent="0.3">
      <c r="A290" s="434" t="s">
        <v>646</v>
      </c>
      <c r="B290" s="537"/>
      <c r="C290" s="537"/>
      <c r="D290" s="537"/>
      <c r="E290" s="547">
        <f>E287/E285</f>
        <v>-0.28394637332416639</v>
      </c>
      <c r="F290" s="547">
        <f>F287/F285</f>
        <v>-0.30240806421504574</v>
      </c>
      <c r="G290" s="547">
        <f>G287/G285</f>
        <v>-0.3315600478787073</v>
      </c>
      <c r="H290" s="548">
        <f>AVERAGE(E290:G290)</f>
        <v>-0.30597149513930649</v>
      </c>
      <c r="I290" s="548">
        <f>H290</f>
        <v>-0.30597149513930649</v>
      </c>
      <c r="J290" s="548">
        <f>I290</f>
        <v>-0.30597149513930649</v>
      </c>
      <c r="K290" s="548">
        <f>J290</f>
        <v>-0.30597149513930649</v>
      </c>
      <c r="L290" s="850">
        <f>K290</f>
        <v>-0.30597149513930649</v>
      </c>
    </row>
    <row r="291" spans="1:12" ht="16.5" outlineLevel="1" x14ac:dyDescent="0.3">
      <c r="A291" s="434"/>
      <c r="B291" s="537"/>
      <c r="C291" s="537"/>
      <c r="D291" s="537"/>
      <c r="E291" s="537"/>
      <c r="F291" s="537"/>
      <c r="G291" s="537"/>
      <c r="L291" s="801"/>
    </row>
    <row r="292" spans="1:12" ht="17.25" outlineLevel="1" thickBot="1" x14ac:dyDescent="0.35">
      <c r="A292" s="541" t="s">
        <v>641</v>
      </c>
      <c r="B292" s="541"/>
      <c r="C292" s="541"/>
      <c r="D292" s="541"/>
      <c r="E292" s="542">
        <f t="shared" ref="E292:L292" si="81">SUM(E285:E288)</f>
        <v>5357</v>
      </c>
      <c r="F292" s="542">
        <f t="shared" si="81"/>
        <v>7519</v>
      </c>
      <c r="G292" s="542">
        <f t="shared" si="81"/>
        <v>9991</v>
      </c>
      <c r="H292" s="542">
        <f t="shared" si="81"/>
        <v>6934.0387920631892</v>
      </c>
      <c r="I292" s="542">
        <f t="shared" si="81"/>
        <v>4812.4205755016646</v>
      </c>
      <c r="J292" s="542">
        <f t="shared" si="81"/>
        <v>3339.9570567762585</v>
      </c>
      <c r="K292" s="542">
        <f t="shared" si="81"/>
        <v>2318.0254024133492</v>
      </c>
      <c r="L292" s="862">
        <f t="shared" si="81"/>
        <v>1608.7757042660442</v>
      </c>
    </row>
    <row r="293" spans="1:12" ht="13.5" outlineLevel="1" thickTop="1" x14ac:dyDescent="0.2">
      <c r="L293" s="801"/>
    </row>
    <row r="294" spans="1:12" outlineLevel="1" x14ac:dyDescent="0.2">
      <c r="H294" s="469"/>
      <c r="L294" s="801"/>
    </row>
    <row r="295" spans="1:12" ht="16.5" outlineLevel="1" x14ac:dyDescent="0.3">
      <c r="A295" s="412" t="s">
        <v>430</v>
      </c>
      <c r="B295">
        <v>21</v>
      </c>
      <c r="L295" s="801"/>
    </row>
    <row r="296" spans="1:12" ht="16.5" outlineLevel="1" x14ac:dyDescent="0.3">
      <c r="A296" s="423" t="s">
        <v>462</v>
      </c>
      <c r="B296" s="551">
        <v>27447</v>
      </c>
      <c r="C296" s="550">
        <f t="shared" ref="C296:L296" si="82">B299</f>
        <v>28459</v>
      </c>
      <c r="D296" s="550">
        <f t="shared" si="82"/>
        <v>29984</v>
      </c>
      <c r="E296" s="550">
        <f t="shared" si="82"/>
        <v>32152</v>
      </c>
      <c r="F296" s="550">
        <f t="shared" si="82"/>
        <v>33171</v>
      </c>
      <c r="G296" s="550">
        <f t="shared" si="82"/>
        <v>35302</v>
      </c>
      <c r="H296" s="469">
        <f t="shared" si="82"/>
        <v>40551</v>
      </c>
      <c r="I296" s="469">
        <f t="shared" si="82"/>
        <v>43856</v>
      </c>
      <c r="J296" s="469">
        <f t="shared" si="82"/>
        <v>46430.0792</v>
      </c>
      <c r="K296" s="469">
        <f t="shared" si="82"/>
        <v>49261.566319999998</v>
      </c>
      <c r="L296" s="818">
        <f t="shared" si="82"/>
        <v>52376.202151999998</v>
      </c>
    </row>
    <row r="297" spans="1:12" ht="16.5" outlineLevel="1" x14ac:dyDescent="0.3">
      <c r="A297" s="423" t="s">
        <v>709</v>
      </c>
      <c r="B297" s="551">
        <v>1012</v>
      </c>
      <c r="C297" s="551">
        <v>1525</v>
      </c>
      <c r="D297" s="551">
        <v>2168</v>
      </c>
      <c r="E297" s="551">
        <v>1019</v>
      </c>
      <c r="F297" s="551">
        <v>2131</v>
      </c>
      <c r="G297" s="551">
        <v>5249</v>
      </c>
      <c r="H297" s="869">
        <v>0</v>
      </c>
      <c r="I297" s="869">
        <v>0</v>
      </c>
      <c r="J297" s="869">
        <v>0</v>
      </c>
      <c r="K297" s="869">
        <v>0</v>
      </c>
      <c r="L297" s="870">
        <v>0</v>
      </c>
    </row>
    <row r="298" spans="1:12" ht="16.5" outlineLevel="1" x14ac:dyDescent="0.3">
      <c r="A298" s="885" t="s">
        <v>474</v>
      </c>
      <c r="B298" s="469">
        <f>-B304</f>
        <v>-1546</v>
      </c>
      <c r="C298" s="469">
        <f t="shared" ref="C298:L298" si="83">-C304</f>
        <v>1591</v>
      </c>
      <c r="D298" s="469">
        <f t="shared" si="83"/>
        <v>1993</v>
      </c>
      <c r="E298" s="469">
        <f t="shared" si="83"/>
        <v>1634</v>
      </c>
      <c r="F298" s="469">
        <f t="shared" si="83"/>
        <v>2243</v>
      </c>
      <c r="G298" s="469">
        <f t="shared" si="83"/>
        <v>3355</v>
      </c>
      <c r="H298" s="469">
        <f t="shared" si="83"/>
        <v>3305</v>
      </c>
      <c r="I298" s="469">
        <f t="shared" si="83"/>
        <v>2574.0792000000001</v>
      </c>
      <c r="J298" s="469">
        <f t="shared" si="83"/>
        <v>2831.4871200000007</v>
      </c>
      <c r="K298" s="469">
        <f t="shared" si="83"/>
        <v>3114.6358320000008</v>
      </c>
      <c r="L298" s="818">
        <f t="shared" si="83"/>
        <v>3426.0994152000012</v>
      </c>
    </row>
    <row r="299" spans="1:12" ht="17.25" outlineLevel="1" thickBot="1" x14ac:dyDescent="0.35">
      <c r="A299" s="430" t="s">
        <v>463</v>
      </c>
      <c r="B299" s="574">
        <f t="shared" ref="B299:G299" si="84">SUM(B296:B297)</f>
        <v>28459</v>
      </c>
      <c r="C299" s="574">
        <f t="shared" si="84"/>
        <v>29984</v>
      </c>
      <c r="D299" s="574">
        <f t="shared" si="84"/>
        <v>32152</v>
      </c>
      <c r="E299" s="574">
        <f t="shared" si="84"/>
        <v>33171</v>
      </c>
      <c r="F299" s="574">
        <f t="shared" si="84"/>
        <v>35302</v>
      </c>
      <c r="G299" s="574">
        <f t="shared" si="84"/>
        <v>40551</v>
      </c>
      <c r="H299" s="574">
        <f>SUM(H296:H298)</f>
        <v>43856</v>
      </c>
      <c r="I299" s="574">
        <f>SUM(I296:I298)</f>
        <v>46430.0792</v>
      </c>
      <c r="J299" s="574">
        <f>SUM(J296:J298)</f>
        <v>49261.566319999998</v>
      </c>
      <c r="K299" s="574">
        <f>SUM(K296:K298)</f>
        <v>52376.202151999998</v>
      </c>
      <c r="L299" s="871">
        <f>SUM(L296:L298)</f>
        <v>55802.301567199996</v>
      </c>
    </row>
    <row r="300" spans="1:12" ht="17.25" outlineLevel="1" thickTop="1" x14ac:dyDescent="0.3">
      <c r="A300" s="411"/>
      <c r="L300" s="801"/>
    </row>
    <row r="301" spans="1:12" ht="16.5" outlineLevel="1" x14ac:dyDescent="0.3">
      <c r="A301" s="412" t="s">
        <v>450</v>
      </c>
      <c r="L301" s="801"/>
    </row>
    <row r="302" spans="1:12" ht="16.5" outlineLevel="1" x14ac:dyDescent="0.3">
      <c r="A302" s="423" t="s">
        <v>462</v>
      </c>
      <c r="B302" s="551">
        <f>8475-510</f>
        <v>7965</v>
      </c>
      <c r="C302" s="562">
        <f t="shared" ref="C302:L302" si="85">B307</f>
        <v>20046</v>
      </c>
      <c r="D302" s="562">
        <f t="shared" si="85"/>
        <v>21000</v>
      </c>
      <c r="E302" s="562">
        <f t="shared" si="85"/>
        <v>13458</v>
      </c>
      <c r="F302" s="562">
        <f t="shared" si="85"/>
        <v>5880</v>
      </c>
      <c r="G302" s="562">
        <f t="shared" si="85"/>
        <v>26794</v>
      </c>
      <c r="H302" s="549">
        <f t="shared" si="85"/>
        <v>31021</v>
      </c>
      <c r="I302" s="549">
        <f t="shared" ca="1" si="85"/>
        <v>30290.0792</v>
      </c>
      <c r="J302" s="549">
        <f t="shared" ca="1" si="85"/>
        <v>30547.487119999998</v>
      </c>
      <c r="K302" s="549">
        <f t="shared" ca="1" si="85"/>
        <v>30830.635831999996</v>
      </c>
      <c r="L302" s="839">
        <f t="shared" ca="1" si="85"/>
        <v>31142.099415199998</v>
      </c>
    </row>
    <row r="303" spans="1:12" ht="16.5" outlineLevel="1" x14ac:dyDescent="0.3">
      <c r="A303" s="423" t="s">
        <v>475</v>
      </c>
      <c r="B303" s="551">
        <v>10751</v>
      </c>
      <c r="C303" s="551">
        <f t="shared" ref="C303:L303" si="86">-C99</f>
        <v>1496</v>
      </c>
      <c r="D303" s="551">
        <f t="shared" si="86"/>
        <v>1576</v>
      </c>
      <c r="E303" s="551">
        <f t="shared" si="86"/>
        <v>1595</v>
      </c>
      <c r="F303" s="551">
        <f t="shared" si="86"/>
        <v>2018</v>
      </c>
      <c r="G303" s="551">
        <f t="shared" si="86"/>
        <v>3305</v>
      </c>
      <c r="H303" s="575">
        <f t="shared" si="86"/>
        <v>2574.0792000000001</v>
      </c>
      <c r="I303" s="575">
        <f t="shared" si="86"/>
        <v>2831.4871200000007</v>
      </c>
      <c r="J303" s="575">
        <f t="shared" si="86"/>
        <v>3114.6358320000008</v>
      </c>
      <c r="K303" s="575">
        <f t="shared" si="86"/>
        <v>3426.0994152000012</v>
      </c>
      <c r="L303" s="872">
        <f t="shared" si="86"/>
        <v>3768.7093567200018</v>
      </c>
    </row>
    <row r="304" spans="1:12" ht="16.5" outlineLevel="1" x14ac:dyDescent="0.3">
      <c r="A304" s="423" t="s">
        <v>476</v>
      </c>
      <c r="B304" s="551">
        <v>1546</v>
      </c>
      <c r="C304" s="551">
        <v>-1591</v>
      </c>
      <c r="D304" s="551">
        <v>-1993</v>
      </c>
      <c r="E304" s="551">
        <v>-1634</v>
      </c>
      <c r="F304" s="551">
        <v>-2243</v>
      </c>
      <c r="G304" s="551">
        <v>-3355</v>
      </c>
      <c r="H304" s="575">
        <f>-G303</f>
        <v>-3305</v>
      </c>
      <c r="I304" s="575">
        <f>-H303</f>
        <v>-2574.0792000000001</v>
      </c>
      <c r="J304" s="575">
        <f>-I303</f>
        <v>-2831.4871200000007</v>
      </c>
      <c r="K304" s="575">
        <f>-J303</f>
        <v>-3114.6358320000008</v>
      </c>
      <c r="L304" s="872">
        <f>-K303</f>
        <v>-3426.0994152000012</v>
      </c>
    </row>
    <row r="305" spans="1:12" ht="16.5" outlineLevel="1" x14ac:dyDescent="0.3">
      <c r="A305" s="423" t="s">
        <v>648</v>
      </c>
      <c r="B305" s="551">
        <v>-216</v>
      </c>
      <c r="C305" s="551">
        <v>-561</v>
      </c>
      <c r="D305" s="551">
        <v>-728</v>
      </c>
      <c r="E305" s="551">
        <v>-380</v>
      </c>
      <c r="F305" s="551">
        <v>1850</v>
      </c>
      <c r="G305" s="551">
        <v>2136</v>
      </c>
      <c r="H305" s="869">
        <v>0</v>
      </c>
      <c r="I305" s="869">
        <v>0</v>
      </c>
      <c r="J305" s="869">
        <v>0</v>
      </c>
      <c r="K305" s="869">
        <v>0</v>
      </c>
      <c r="L305" s="870">
        <v>0</v>
      </c>
    </row>
    <row r="306" spans="1:12" ht="16.5" outlineLevel="1" x14ac:dyDescent="0.3">
      <c r="A306" s="423" t="s">
        <v>772</v>
      </c>
      <c r="B306" s="551"/>
      <c r="C306" s="551">
        <f>C312</f>
        <v>1610</v>
      </c>
      <c r="D306" s="551">
        <f>D312</f>
        <v>-6397</v>
      </c>
      <c r="E306" s="551">
        <f>E312</f>
        <v>-7159</v>
      </c>
      <c r="F306" s="551">
        <f t="shared" ref="F306:L306" si="87">F312</f>
        <v>19289</v>
      </c>
      <c r="G306" s="551">
        <f t="shared" si="87"/>
        <v>2141</v>
      </c>
      <c r="H306" s="869">
        <f t="shared" ca="1" si="87"/>
        <v>0</v>
      </c>
      <c r="I306" s="869">
        <f t="shared" ca="1" si="87"/>
        <v>0</v>
      </c>
      <c r="J306" s="869">
        <f t="shared" ca="1" si="87"/>
        <v>0</v>
      </c>
      <c r="K306" s="869">
        <f t="shared" ca="1" si="87"/>
        <v>0</v>
      </c>
      <c r="L306" s="870">
        <f t="shared" ca="1" si="87"/>
        <v>0</v>
      </c>
    </row>
    <row r="307" spans="1:12" ht="17.25" outlineLevel="1" thickBot="1" x14ac:dyDescent="0.35">
      <c r="A307" s="886" t="s">
        <v>463</v>
      </c>
      <c r="B307" s="622">
        <f>SUM(B302:B306)</f>
        <v>20046</v>
      </c>
      <c r="C307" s="574">
        <f t="shared" ref="C307:L307" si="88">SUM(C302:C306)</f>
        <v>21000</v>
      </c>
      <c r="D307" s="574">
        <f t="shared" si="88"/>
        <v>13458</v>
      </c>
      <c r="E307" s="574">
        <f t="shared" si="88"/>
        <v>5880</v>
      </c>
      <c r="F307" s="574">
        <f t="shared" si="88"/>
        <v>26794</v>
      </c>
      <c r="G307" s="574">
        <f t="shared" si="88"/>
        <v>31021</v>
      </c>
      <c r="H307" s="574">
        <f t="shared" ca="1" si="88"/>
        <v>30290.0792</v>
      </c>
      <c r="I307" s="574">
        <f t="shared" ca="1" si="88"/>
        <v>30547.487119999998</v>
      </c>
      <c r="J307" s="574">
        <f t="shared" ca="1" si="88"/>
        <v>30830.635831999996</v>
      </c>
      <c r="K307" s="574">
        <f t="shared" ca="1" si="88"/>
        <v>31142.099415199998</v>
      </c>
      <c r="L307" s="871">
        <f t="shared" ca="1" si="88"/>
        <v>31484.709356719995</v>
      </c>
    </row>
    <row r="308" spans="1:12" ht="17.25" outlineLevel="1" thickTop="1" x14ac:dyDescent="0.3">
      <c r="A308" s="411"/>
      <c r="B308" s="621"/>
      <c r="C308" s="621"/>
      <c r="D308" s="621"/>
      <c r="E308" s="621"/>
      <c r="F308" s="621"/>
      <c r="G308" s="621"/>
      <c r="H308" s="621"/>
      <c r="I308" s="621"/>
      <c r="J308" s="621"/>
      <c r="K308" s="621"/>
      <c r="L308" s="873"/>
    </row>
    <row r="309" spans="1:12" outlineLevel="1" x14ac:dyDescent="0.2">
      <c r="B309" s="621"/>
      <c r="C309" s="621"/>
      <c r="D309" s="621"/>
      <c r="E309" s="621"/>
      <c r="F309" s="621"/>
      <c r="G309" s="621"/>
      <c r="H309" s="621"/>
      <c r="I309" s="621"/>
      <c r="J309" s="621"/>
      <c r="K309" s="621"/>
      <c r="L309" s="873"/>
    </row>
    <row r="310" spans="1:12" ht="16.5" outlineLevel="1" x14ac:dyDescent="0.3">
      <c r="A310" s="412" t="s">
        <v>647</v>
      </c>
      <c r="B310" s="621"/>
      <c r="C310" s="621"/>
      <c r="D310" s="621"/>
      <c r="E310" s="621"/>
      <c r="F310" s="621"/>
      <c r="G310" s="621"/>
      <c r="H310" s="621"/>
      <c r="I310" s="621"/>
      <c r="J310" s="621"/>
      <c r="K310" s="621"/>
      <c r="L310" s="873"/>
    </row>
    <row r="311" spans="1:12" ht="16.5" outlineLevel="1" x14ac:dyDescent="0.3">
      <c r="A311" s="1061" t="s">
        <v>462</v>
      </c>
      <c r="B311" s="1058"/>
      <c r="C311" s="1059">
        <f t="shared" ref="C311:L311" si="89">B313</f>
        <v>20562</v>
      </c>
      <c r="D311" s="1059">
        <f t="shared" si="89"/>
        <v>22172</v>
      </c>
      <c r="E311" s="1059">
        <f t="shared" si="89"/>
        <v>15775</v>
      </c>
      <c r="F311" s="1059">
        <f t="shared" si="89"/>
        <v>8616</v>
      </c>
      <c r="G311" s="1059">
        <f t="shared" si="89"/>
        <v>27905</v>
      </c>
      <c r="H311" s="1059">
        <f t="shared" si="89"/>
        <v>30046</v>
      </c>
      <c r="I311" s="1059">
        <f t="shared" ca="1" si="89"/>
        <v>30046</v>
      </c>
      <c r="J311" s="1059">
        <f t="shared" ca="1" si="89"/>
        <v>30046</v>
      </c>
      <c r="K311" s="1059">
        <f t="shared" ca="1" si="89"/>
        <v>30046</v>
      </c>
      <c r="L311" s="1060">
        <f t="shared" ca="1" si="89"/>
        <v>30046</v>
      </c>
    </row>
    <row r="312" spans="1:12" ht="16.5" outlineLevel="1" x14ac:dyDescent="0.3">
      <c r="A312" s="411" t="s">
        <v>771</v>
      </c>
      <c r="B312" s="621"/>
      <c r="C312" s="621">
        <f t="shared" ref="C312:H312" si="90">C313-C311</f>
        <v>1610</v>
      </c>
      <c r="D312" s="621">
        <f t="shared" si="90"/>
        <v>-6397</v>
      </c>
      <c r="E312" s="621">
        <f t="shared" si="90"/>
        <v>-7159</v>
      </c>
      <c r="F312" s="621">
        <f t="shared" si="90"/>
        <v>19289</v>
      </c>
      <c r="G312" s="621">
        <f t="shared" si="90"/>
        <v>2141</v>
      </c>
      <c r="H312" s="621">
        <f t="shared" ca="1" si="90"/>
        <v>0</v>
      </c>
      <c r="I312" s="621">
        <f t="shared" ref="I312:L312" ca="1" si="91">I313-I311</f>
        <v>0</v>
      </c>
      <c r="J312" s="621">
        <f t="shared" ca="1" si="91"/>
        <v>0</v>
      </c>
      <c r="K312" s="621">
        <f t="shared" ca="1" si="91"/>
        <v>0</v>
      </c>
      <c r="L312" s="873">
        <f t="shared" ca="1" si="91"/>
        <v>0</v>
      </c>
    </row>
    <row r="313" spans="1:12" ht="17.25" outlineLevel="1" thickBot="1" x14ac:dyDescent="0.35">
      <c r="A313" s="430" t="s">
        <v>463</v>
      </c>
      <c r="B313" s="622">
        <v>20562</v>
      </c>
      <c r="C313" s="622">
        <v>22172</v>
      </c>
      <c r="D313" s="622">
        <v>15775</v>
      </c>
      <c r="E313" s="622">
        <v>8616</v>
      </c>
      <c r="F313" s="622">
        <v>27905</v>
      </c>
      <c r="G313" s="622">
        <v>30046</v>
      </c>
      <c r="H313" s="574">
        <f ca="1">SUM(H311:H312)</f>
        <v>30046</v>
      </c>
      <c r="I313" s="574">
        <f ca="1">SUM(I311:I312)</f>
        <v>30046</v>
      </c>
      <c r="J313" s="574">
        <f ca="1">SUM(J311:J312)</f>
        <v>30046</v>
      </c>
      <c r="K313" s="574">
        <f ca="1">SUM(K311:K312)</f>
        <v>30046</v>
      </c>
      <c r="L313" s="871">
        <f ca="1">SUM(L311:L312)</f>
        <v>30046</v>
      </c>
    </row>
    <row r="314" spans="1:12" ht="17.25" thickTop="1" x14ac:dyDescent="0.3">
      <c r="A314" s="411"/>
      <c r="B314" s="621"/>
      <c r="C314" s="621"/>
      <c r="D314" s="621"/>
      <c r="E314" s="621"/>
      <c r="F314" s="621"/>
      <c r="G314" s="621"/>
      <c r="H314" s="621"/>
      <c r="I314" s="621"/>
      <c r="J314" s="621"/>
      <c r="K314" s="621"/>
      <c r="L314" s="873"/>
    </row>
    <row r="315" spans="1:12" ht="16.5" collapsed="1" x14ac:dyDescent="0.3">
      <c r="A315" s="411"/>
      <c r="L315" s="801"/>
    </row>
    <row r="316" spans="1:12" x14ac:dyDescent="0.2">
      <c r="L316" s="801"/>
    </row>
    <row r="317" spans="1:12" s="1293" customFormat="1" ht="18.75" x14ac:dyDescent="0.3">
      <c r="A317" s="1292" t="s">
        <v>477</v>
      </c>
      <c r="L317" s="1297"/>
    </row>
    <row r="318" spans="1:12" ht="16.5" x14ac:dyDescent="0.3">
      <c r="A318" s="435" t="s">
        <v>478</v>
      </c>
      <c r="L318" s="801"/>
    </row>
    <row r="319" spans="1:12" ht="16.5" x14ac:dyDescent="0.3">
      <c r="A319" s="881" t="s">
        <v>479</v>
      </c>
      <c r="B319" s="546">
        <f t="shared" ref="B319:L319" si="92">B104</f>
        <v>46494</v>
      </c>
      <c r="C319" s="546">
        <f t="shared" si="92"/>
        <v>53240</v>
      </c>
      <c r="D319" s="546">
        <f t="shared" si="92"/>
        <v>58019</v>
      </c>
      <c r="E319" s="546">
        <f t="shared" si="92"/>
        <v>24817</v>
      </c>
      <c r="F319" s="546">
        <f t="shared" si="92"/>
        <v>76389</v>
      </c>
      <c r="G319" s="546">
        <f t="shared" si="92"/>
        <v>117748</v>
      </c>
      <c r="H319" s="546">
        <f t="shared" si="92"/>
        <v>68329.295253006043</v>
      </c>
      <c r="I319" s="546">
        <f t="shared" si="92"/>
        <v>78558.209545728925</v>
      </c>
      <c r="J319" s="546">
        <f t="shared" si="92"/>
        <v>89337.669331370736</v>
      </c>
      <c r="K319" s="546">
        <f t="shared" si="92"/>
        <v>100766.26103704394</v>
      </c>
      <c r="L319" s="874">
        <f t="shared" si="92"/>
        <v>112960.09775916446</v>
      </c>
    </row>
    <row r="320" spans="1:12" ht="16.5" x14ac:dyDescent="0.3">
      <c r="A320" s="423" t="s">
        <v>480</v>
      </c>
      <c r="B320" s="469">
        <f>B319*B18</f>
        <v>10709</v>
      </c>
      <c r="C320" s="469">
        <f t="shared" ref="C320:L320" si="93">C319*C18</f>
        <v>11896</v>
      </c>
      <c r="D320" s="469">
        <f t="shared" si="93"/>
        <v>13525</v>
      </c>
      <c r="E320" s="469">
        <f t="shared" si="93"/>
        <v>3126</v>
      </c>
      <c r="F320" s="469">
        <f t="shared" si="93"/>
        <v>17930</v>
      </c>
      <c r="G320" s="469">
        <f t="shared" si="93"/>
        <v>19525</v>
      </c>
      <c r="H320" s="469">
        <f t="shared" si="93"/>
        <v>16330.701565468444</v>
      </c>
      <c r="I320" s="469">
        <f t="shared" si="93"/>
        <v>18775.412081429211</v>
      </c>
      <c r="J320" s="469">
        <f t="shared" si="93"/>
        <v>21351.702970197606</v>
      </c>
      <c r="K320" s="469">
        <f t="shared" si="93"/>
        <v>24083.136387853501</v>
      </c>
      <c r="L320" s="818">
        <f t="shared" si="93"/>
        <v>26997.463364440304</v>
      </c>
    </row>
    <row r="321" spans="1:13" ht="16.5" x14ac:dyDescent="0.3">
      <c r="A321" s="882" t="s">
        <v>481</v>
      </c>
      <c r="B321" s="580">
        <f t="shared" ref="B321:L321" si="94">B319-B320</f>
        <v>35785</v>
      </c>
      <c r="C321" s="580">
        <f t="shared" si="94"/>
        <v>41344</v>
      </c>
      <c r="D321" s="580">
        <f t="shared" si="94"/>
        <v>44494</v>
      </c>
      <c r="E321" s="580">
        <f t="shared" si="94"/>
        <v>21691</v>
      </c>
      <c r="F321" s="580">
        <f t="shared" si="94"/>
        <v>58459</v>
      </c>
      <c r="G321" s="580">
        <f t="shared" si="94"/>
        <v>98223</v>
      </c>
      <c r="H321" s="580">
        <f t="shared" si="94"/>
        <v>51998.593687537599</v>
      </c>
      <c r="I321" s="580">
        <f t="shared" si="94"/>
        <v>59782.797464299714</v>
      </c>
      <c r="J321" s="580">
        <f t="shared" si="94"/>
        <v>67985.966361173138</v>
      </c>
      <c r="K321" s="580">
        <f t="shared" si="94"/>
        <v>76683.124649190431</v>
      </c>
      <c r="L321" s="875">
        <f t="shared" si="94"/>
        <v>85962.634394724155</v>
      </c>
    </row>
    <row r="322" spans="1:13" ht="16.5" x14ac:dyDescent="0.3">
      <c r="A322" s="423" t="s">
        <v>482</v>
      </c>
      <c r="B322" s="469">
        <f t="shared" ref="B322:L322" si="95">-B84</f>
        <v>4157</v>
      </c>
      <c r="C322" s="469">
        <f t="shared" si="95"/>
        <v>3924</v>
      </c>
      <c r="D322" s="469">
        <f t="shared" si="95"/>
        <v>4237</v>
      </c>
      <c r="E322" s="469">
        <f t="shared" si="95"/>
        <v>5102</v>
      </c>
      <c r="F322" s="469">
        <f t="shared" si="95"/>
        <v>6127</v>
      </c>
      <c r="G322" s="469">
        <f t="shared" si="95"/>
        <v>18638</v>
      </c>
      <c r="H322" s="469">
        <f t="shared" si="95"/>
        <v>13753.946346993976</v>
      </c>
      <c r="I322" s="469">
        <f t="shared" si="95"/>
        <v>12003.356214271096</v>
      </c>
      <c r="J322" s="469">
        <f t="shared" si="95"/>
        <v>10670.053004629292</v>
      </c>
      <c r="K322" s="469">
        <f t="shared" si="95"/>
        <v>9642.2335325561708</v>
      </c>
      <c r="L322" s="818">
        <f t="shared" si="95"/>
        <v>8840.2462673956361</v>
      </c>
    </row>
    <row r="323" spans="1:13" ht="16.5" x14ac:dyDescent="0.3">
      <c r="A323" s="423" t="s">
        <v>483</v>
      </c>
      <c r="B323" s="469">
        <f t="shared" ref="B323:L323" si="96">-B99</f>
        <v>1548</v>
      </c>
      <c r="C323" s="469">
        <f t="shared" si="96"/>
        <v>1496</v>
      </c>
      <c r="D323" s="469">
        <f t="shared" si="96"/>
        <v>1576</v>
      </c>
      <c r="E323" s="469">
        <f t="shared" si="96"/>
        <v>1595</v>
      </c>
      <c r="F323" s="469">
        <f t="shared" si="96"/>
        <v>2018</v>
      </c>
      <c r="G323" s="469">
        <f t="shared" si="96"/>
        <v>3305</v>
      </c>
      <c r="H323" s="469">
        <f t="shared" si="96"/>
        <v>2574.0792000000001</v>
      </c>
      <c r="I323" s="469">
        <f t="shared" si="96"/>
        <v>2831.4871200000007</v>
      </c>
      <c r="J323" s="469">
        <f t="shared" si="96"/>
        <v>3114.6358320000008</v>
      </c>
      <c r="K323" s="469">
        <f t="shared" si="96"/>
        <v>3426.0994152000012</v>
      </c>
      <c r="L323" s="818">
        <f t="shared" si="96"/>
        <v>3768.7093567200018</v>
      </c>
    </row>
    <row r="324" spans="1:13" ht="16.5" x14ac:dyDescent="0.3">
      <c r="A324" s="423" t="s">
        <v>484</v>
      </c>
      <c r="B324" s="575">
        <f>B196</f>
        <v>-4338</v>
      </c>
      <c r="C324" s="575">
        <f>C196</f>
        <v>-4889</v>
      </c>
      <c r="D324" s="575">
        <f>F197</f>
        <v>-35927</v>
      </c>
      <c r="E324" s="575">
        <f t="shared" ref="E324:L324" si="97">E196</f>
        <v>-3388</v>
      </c>
      <c r="F324" s="575">
        <f t="shared" si="97"/>
        <v>-2350</v>
      </c>
      <c r="G324" s="575">
        <f t="shared" si="97"/>
        <v>-1979</v>
      </c>
      <c r="H324" s="575">
        <f t="shared" si="97"/>
        <v>-2707</v>
      </c>
      <c r="I324" s="575">
        <f t="shared" si="97"/>
        <v>-2707</v>
      </c>
      <c r="J324" s="575">
        <f t="shared" si="97"/>
        <v>-2707</v>
      </c>
      <c r="K324" s="575">
        <f t="shared" si="97"/>
        <v>-2707</v>
      </c>
      <c r="L324" s="872">
        <f t="shared" si="97"/>
        <v>-2707</v>
      </c>
    </row>
    <row r="325" spans="1:13" ht="16.5" x14ac:dyDescent="0.3">
      <c r="A325" s="423" t="s">
        <v>485</v>
      </c>
      <c r="C325" s="575">
        <f t="shared" ref="C325:L325" si="98">C183+C186</f>
        <v>6747</v>
      </c>
      <c r="D325" s="575">
        <f t="shared" si="98"/>
        <v>-5652</v>
      </c>
      <c r="E325" s="575">
        <f t="shared" si="98"/>
        <v>-298</v>
      </c>
      <c r="F325" s="575">
        <f t="shared" si="98"/>
        <v>5195</v>
      </c>
      <c r="G325" s="575">
        <f t="shared" si="98"/>
        <v>1469</v>
      </c>
      <c r="H325" s="575">
        <f t="shared" si="98"/>
        <v>-14068.298399999992</v>
      </c>
      <c r="I325" s="575">
        <f t="shared" si="98"/>
        <v>-1434.1298400000014</v>
      </c>
      <c r="J325" s="575">
        <f t="shared" si="98"/>
        <v>-1577.5428240000037</v>
      </c>
      <c r="K325" s="575">
        <f t="shared" si="98"/>
        <v>-1735.2971064000012</v>
      </c>
      <c r="L325" s="872">
        <f t="shared" si="98"/>
        <v>-1908.826817039997</v>
      </c>
    </row>
    <row r="326" spans="1:13" ht="17.25" thickBot="1" x14ac:dyDescent="0.35">
      <c r="A326" s="436" t="s">
        <v>486</v>
      </c>
      <c r="B326" s="579"/>
      <c r="C326" s="581">
        <f>SUM(C321:C325)</f>
        <v>48622</v>
      </c>
      <c r="D326" s="581">
        <f>SUM(D321:D325)</f>
        <v>8728</v>
      </c>
      <c r="E326" s="581">
        <f t="shared" ref="E326:L326" si="99">SUM(E321:E325)</f>
        <v>24702</v>
      </c>
      <c r="F326" s="581">
        <f t="shared" si="99"/>
        <v>69449</v>
      </c>
      <c r="G326" s="581">
        <f t="shared" si="99"/>
        <v>119656</v>
      </c>
      <c r="H326" s="581">
        <f t="shared" si="99"/>
        <v>51551.320834531572</v>
      </c>
      <c r="I326" s="581">
        <f t="shared" si="99"/>
        <v>70476.510958570812</v>
      </c>
      <c r="J326" s="581">
        <f t="shared" si="99"/>
        <v>77486.112373802433</v>
      </c>
      <c r="K326" s="581">
        <f t="shared" si="99"/>
        <v>85309.160490546608</v>
      </c>
      <c r="L326" s="581">
        <f t="shared" si="99"/>
        <v>93955.763201799797</v>
      </c>
    </row>
    <row r="327" spans="1:13" ht="17.25" thickTop="1" x14ac:dyDescent="0.3">
      <c r="A327" s="435"/>
      <c r="B327" s="1183"/>
      <c r="C327" s="1184"/>
      <c r="D327" s="1185"/>
      <c r="E327" s="1185"/>
      <c r="F327" s="1185"/>
      <c r="G327" s="1184"/>
      <c r="H327" s="1184"/>
      <c r="I327" s="1184"/>
      <c r="J327" s="1184"/>
      <c r="K327" s="1184"/>
      <c r="L327" s="1184"/>
    </row>
    <row r="328" spans="1:13" ht="16.5" x14ac:dyDescent="0.3">
      <c r="A328" s="1066" t="s">
        <v>920</v>
      </c>
      <c r="C328" s="642">
        <f>C326/(1+'WACC Analysis'!B40)</f>
        <v>44312.186116565113</v>
      </c>
      <c r="L328" s="801"/>
    </row>
    <row r="329" spans="1:13" ht="16.5" x14ac:dyDescent="0.3">
      <c r="A329" s="1066" t="s">
        <v>921</v>
      </c>
      <c r="C329" s="642">
        <f>C326/(1+C345)</f>
        <v>44312.186116565113</v>
      </c>
      <c r="L329" s="801"/>
    </row>
    <row r="330" spans="1:13" ht="17.25" thickBot="1" x14ac:dyDescent="0.35">
      <c r="A330" s="1066" t="s">
        <v>922</v>
      </c>
      <c r="B330" s="1067">
        <f t="shared" ref="B330:L330" si="100">B205+B200+B192</f>
        <v>-825</v>
      </c>
      <c r="C330" s="1067">
        <f t="shared" si="100"/>
        <v>19809</v>
      </c>
      <c r="D330" s="1067">
        <f t="shared" si="100"/>
        <v>13773</v>
      </c>
      <c r="E330" s="1067">
        <f t="shared" si="100"/>
        <v>57666</v>
      </c>
      <c r="F330" s="1067">
        <f t="shared" si="100"/>
        <v>14828</v>
      </c>
      <c r="G330" s="1067">
        <f t="shared" si="100"/>
        <v>76931</v>
      </c>
      <c r="H330" s="1067">
        <f t="shared" si="100"/>
        <v>54837.496851753065</v>
      </c>
      <c r="I330" s="1067">
        <f t="shared" si="100"/>
        <v>51198.636598201047</v>
      </c>
      <c r="J330" s="1067">
        <f t="shared" si="100"/>
        <v>54870.077973926018</v>
      </c>
      <c r="K330" s="1067">
        <f t="shared" si="100"/>
        <v>59655.057166327417</v>
      </c>
      <c r="L330" s="682">
        <f t="shared" si="100"/>
        <v>64924.501598544994</v>
      </c>
      <c r="M330" s="53"/>
    </row>
    <row r="331" spans="1:13" ht="16.5" x14ac:dyDescent="0.3">
      <c r="A331" s="435" t="s">
        <v>487</v>
      </c>
      <c r="L331" s="1194">
        <f t="shared" ref="L331" si="101">L319</f>
        <v>112960.09775916446</v>
      </c>
    </row>
    <row r="332" spans="1:13" ht="16.5" x14ac:dyDescent="0.3">
      <c r="A332" s="433" t="s">
        <v>479</v>
      </c>
      <c r="B332" s="546">
        <f t="shared" ref="B332:K332" si="102">B319</f>
        <v>46494</v>
      </c>
      <c r="C332" s="546">
        <f t="shared" si="102"/>
        <v>53240</v>
      </c>
      <c r="D332" s="546">
        <f t="shared" si="102"/>
        <v>58019</v>
      </c>
      <c r="E332" s="546">
        <f t="shared" si="102"/>
        <v>24817</v>
      </c>
      <c r="F332" s="546">
        <f t="shared" si="102"/>
        <v>76389</v>
      </c>
      <c r="G332" s="546">
        <f t="shared" si="102"/>
        <v>117748</v>
      </c>
      <c r="H332" s="546">
        <f t="shared" si="102"/>
        <v>68329.295253006043</v>
      </c>
      <c r="I332" s="546">
        <f t="shared" si="102"/>
        <v>78558.209545728925</v>
      </c>
      <c r="J332" s="546">
        <f t="shared" si="102"/>
        <v>89337.669331370736</v>
      </c>
      <c r="K332" s="546">
        <f t="shared" si="102"/>
        <v>100766.26103704394</v>
      </c>
      <c r="L332" s="1195">
        <f t="shared" ref="L332" si="103">L322</f>
        <v>8840.2462673956361</v>
      </c>
    </row>
    <row r="333" spans="1:13" ht="17.25" thickBot="1" x14ac:dyDescent="0.35">
      <c r="A333" s="411" t="s">
        <v>482</v>
      </c>
      <c r="B333" s="469">
        <f t="shared" ref="B333:K333" si="104">B322</f>
        <v>4157</v>
      </c>
      <c r="C333" s="469">
        <f t="shared" si="104"/>
        <v>3924</v>
      </c>
      <c r="D333" s="469">
        <f t="shared" si="104"/>
        <v>4237</v>
      </c>
      <c r="E333" s="469">
        <f t="shared" si="104"/>
        <v>5102</v>
      </c>
      <c r="F333" s="469">
        <f t="shared" si="104"/>
        <v>6127</v>
      </c>
      <c r="G333" s="469">
        <f t="shared" si="104"/>
        <v>18638</v>
      </c>
      <c r="H333" s="469">
        <f t="shared" si="104"/>
        <v>13753.946346993976</v>
      </c>
      <c r="I333" s="469">
        <f t="shared" si="104"/>
        <v>12003.356214271096</v>
      </c>
      <c r="J333" s="469">
        <f t="shared" si="104"/>
        <v>10670.053004629292</v>
      </c>
      <c r="K333" s="469">
        <f t="shared" si="104"/>
        <v>9642.2335325561708</v>
      </c>
      <c r="L333" s="1196">
        <f t="shared" ref="C333:L334" si="105">L331+L332</f>
        <v>121800.34402656009</v>
      </c>
    </row>
    <row r="334" spans="1:13" ht="17.25" thickBot="1" x14ac:dyDescent="0.35">
      <c r="A334" s="436" t="s">
        <v>488</v>
      </c>
      <c r="B334" s="581">
        <f>B332+B333</f>
        <v>50651</v>
      </c>
      <c r="C334" s="581">
        <f t="shared" si="105"/>
        <v>57164</v>
      </c>
      <c r="D334" s="581">
        <f t="shared" si="105"/>
        <v>62256</v>
      </c>
      <c r="E334" s="581">
        <f t="shared" si="105"/>
        <v>29919</v>
      </c>
      <c r="F334" s="581">
        <f t="shared" si="105"/>
        <v>82516</v>
      </c>
      <c r="G334" s="581">
        <f t="shared" si="105"/>
        <v>136386</v>
      </c>
      <c r="H334" s="581">
        <f t="shared" si="105"/>
        <v>82083.241600000023</v>
      </c>
      <c r="I334" s="581">
        <f t="shared" si="105"/>
        <v>90561.565760000027</v>
      </c>
      <c r="J334" s="581">
        <f t="shared" si="105"/>
        <v>100007.72233600004</v>
      </c>
      <c r="K334" s="581">
        <f t="shared" si="105"/>
        <v>110408.49456960011</v>
      </c>
      <c r="L334" s="801"/>
    </row>
    <row r="335" spans="1:13" ht="18" thickTop="1" thickBot="1" x14ac:dyDescent="0.35">
      <c r="A335" s="435"/>
      <c r="L335" s="876">
        <f t="shared" ref="L335" si="106">L333+L99</f>
        <v>118031.63466984009</v>
      </c>
    </row>
    <row r="336" spans="1:13" ht="17.25" thickTop="1" x14ac:dyDescent="0.3">
      <c r="A336" s="411" t="s">
        <v>924</v>
      </c>
      <c r="C336" s="1068">
        <f t="shared" ref="C336:K336" si="107">IFERROR(+C334/B334-1,"N/A")</f>
        <v>0.1285858127184063</v>
      </c>
      <c r="D336" s="1068">
        <f t="shared" si="107"/>
        <v>8.9077041494646902E-2</v>
      </c>
      <c r="E336" s="1068">
        <f t="shared" si="107"/>
        <v>-0.51941981495759437</v>
      </c>
      <c r="F336" s="1068">
        <f t="shared" si="107"/>
        <v>1.7579798790066512</v>
      </c>
      <c r="G336" s="1068">
        <f t="shared" si="107"/>
        <v>0.65284308497745891</v>
      </c>
      <c r="H336" s="1068">
        <f t="shared" si="107"/>
        <v>-0.3981549308580058</v>
      </c>
      <c r="I336" s="1068">
        <f t="shared" si="107"/>
        <v>0.10328934377757326</v>
      </c>
      <c r="J336" s="1068">
        <f t="shared" si="107"/>
        <v>0.10430646264479959</v>
      </c>
      <c r="K336" s="1068">
        <f t="shared" si="107"/>
        <v>0.10399969113041263</v>
      </c>
      <c r="L336" s="1069"/>
    </row>
    <row r="337" spans="1:12" ht="17.25" thickBot="1" x14ac:dyDescent="0.35">
      <c r="A337" s="436" t="s">
        <v>434</v>
      </c>
      <c r="B337" s="581">
        <f t="shared" ref="B337:K337" si="108">B334+B99</f>
        <v>49103</v>
      </c>
      <c r="C337" s="581">
        <f t="shared" si="108"/>
        <v>55668</v>
      </c>
      <c r="D337" s="581">
        <f t="shared" si="108"/>
        <v>60680</v>
      </c>
      <c r="E337" s="581">
        <f t="shared" si="108"/>
        <v>28324</v>
      </c>
      <c r="F337" s="581">
        <f t="shared" si="108"/>
        <v>80498</v>
      </c>
      <c r="G337" s="581">
        <f t="shared" si="108"/>
        <v>133081</v>
      </c>
      <c r="H337" s="581">
        <f t="shared" si="108"/>
        <v>79509.16240000003</v>
      </c>
      <c r="I337" s="581">
        <f t="shared" si="108"/>
        <v>87730.078640000022</v>
      </c>
      <c r="J337" s="581">
        <f t="shared" si="108"/>
        <v>96893.086504000035</v>
      </c>
      <c r="K337" s="581">
        <f t="shared" si="108"/>
        <v>106982.3951544001</v>
      </c>
      <c r="L337" s="801"/>
    </row>
    <row r="338" spans="1:12" ht="18" thickTop="1" thickBot="1" x14ac:dyDescent="0.35">
      <c r="A338" s="435"/>
      <c r="L338" s="876">
        <f t="shared" ref="L338" si="109">L78</f>
        <v>538387.05096000026</v>
      </c>
    </row>
    <row r="339" spans="1:12" ht="18" thickTop="1" thickBot="1" x14ac:dyDescent="0.35">
      <c r="A339" s="436" t="s">
        <v>489</v>
      </c>
      <c r="B339" s="581">
        <f t="shared" ref="B339:K339" si="110">B78</f>
        <v>218724</v>
      </c>
      <c r="C339" s="581">
        <f t="shared" si="110"/>
        <v>249018</v>
      </c>
      <c r="D339" s="581">
        <f t="shared" si="110"/>
        <v>273253</v>
      </c>
      <c r="E339" s="581">
        <f t="shared" si="110"/>
        <v>254491</v>
      </c>
      <c r="F339" s="581">
        <f t="shared" si="110"/>
        <v>286440</v>
      </c>
      <c r="G339" s="581">
        <f t="shared" si="110"/>
        <v>334296</v>
      </c>
      <c r="H339" s="581">
        <f t="shared" si="110"/>
        <v>367725.60000000003</v>
      </c>
      <c r="I339" s="581">
        <f t="shared" si="110"/>
        <v>404498.16000000009</v>
      </c>
      <c r="J339" s="581">
        <f t="shared" si="110"/>
        <v>444947.97600000014</v>
      </c>
      <c r="K339" s="581">
        <f t="shared" si="110"/>
        <v>489442.77360000019</v>
      </c>
    </row>
    <row r="340" spans="1:12" ht="13.5" thickTop="1" x14ac:dyDescent="0.2"/>
    <row r="342" spans="1:12" ht="13.5" thickBot="1" x14ac:dyDescent="0.25"/>
    <row r="343" spans="1:12" ht="16.5" x14ac:dyDescent="0.3">
      <c r="A343" s="1024" t="s">
        <v>490</v>
      </c>
      <c r="B343" s="171"/>
      <c r="C343" s="171"/>
      <c r="D343" s="172"/>
      <c r="F343" s="1070"/>
    </row>
    <row r="344" spans="1:12" ht="16.5" x14ac:dyDescent="0.3">
      <c r="A344" s="1025" t="s">
        <v>491</v>
      </c>
      <c r="B344" s="488"/>
      <c r="C344" s="1062">
        <v>0.21379999999999999</v>
      </c>
      <c r="D344" s="1063"/>
      <c r="F344" s="1070"/>
      <c r="I344" s="469"/>
    </row>
    <row r="345" spans="1:12" ht="16.5" x14ac:dyDescent="0.3">
      <c r="A345" s="1027" t="s">
        <v>492</v>
      </c>
      <c r="C345" s="1028">
        <f>'WACC Analysis'!B40</f>
        <v>9.7260240605095249E-2</v>
      </c>
      <c r="D345" s="1198"/>
      <c r="F345" s="1070"/>
      <c r="I345" s="1081"/>
    </row>
    <row r="346" spans="1:12" ht="16.5" x14ac:dyDescent="0.3">
      <c r="A346" s="1029" t="s">
        <v>493</v>
      </c>
      <c r="C346" s="1026">
        <v>6.5000000000000002E-2</v>
      </c>
      <c r="D346" s="161"/>
    </row>
    <row r="347" spans="1:12" ht="16.5" x14ac:dyDescent="0.3">
      <c r="A347" s="1029" t="s">
        <v>494</v>
      </c>
      <c r="C347" s="438">
        <f>'Comps Output'!E14</f>
        <v>14.285675705423415</v>
      </c>
      <c r="D347" s="161"/>
    </row>
    <row r="348" spans="1:12" ht="16.5" x14ac:dyDescent="0.3">
      <c r="A348" s="1029" t="s">
        <v>495</v>
      </c>
      <c r="C348" s="1030">
        <v>9.5</v>
      </c>
      <c r="D348" s="1031">
        <v>7.94</v>
      </c>
    </row>
    <row r="349" spans="1:12" ht="16.5" x14ac:dyDescent="0.3">
      <c r="A349" s="1029" t="s">
        <v>496</v>
      </c>
      <c r="C349" s="437">
        <f>G118</f>
        <v>320954416</v>
      </c>
      <c r="D349" s="161"/>
    </row>
    <row r="350" spans="1:12" ht="17.25" thickBot="1" x14ac:dyDescent="0.35">
      <c r="A350" s="1032" t="s">
        <v>497</v>
      </c>
      <c r="B350" s="1033" t="s">
        <v>505</v>
      </c>
      <c r="C350" s="1034">
        <f>VLOOKUP(B350,L354:M355,2)</f>
        <v>3101740.2825604668</v>
      </c>
      <c r="D350" s="1035"/>
    </row>
    <row r="352" spans="1:12" ht="13.5" thickBot="1" x14ac:dyDescent="0.25"/>
    <row r="353" spans="1:14" ht="16.5" x14ac:dyDescent="0.3">
      <c r="A353" s="1036" t="s">
        <v>499</v>
      </c>
      <c r="B353" s="1037"/>
      <c r="C353" s="1042" t="s">
        <v>500</v>
      </c>
      <c r="D353" s="1043">
        <v>2020</v>
      </c>
      <c r="E353" s="1044">
        <v>2021</v>
      </c>
      <c r="F353" s="1044">
        <v>2022</v>
      </c>
      <c r="G353" s="1044">
        <v>2023</v>
      </c>
      <c r="H353" s="1044">
        <v>2024</v>
      </c>
      <c r="I353" s="1044">
        <v>2025</v>
      </c>
      <c r="J353" s="1045" t="s">
        <v>501</v>
      </c>
      <c r="K353" s="1046"/>
      <c r="L353" s="1040" t="s">
        <v>502</v>
      </c>
      <c r="M353" s="1037"/>
    </row>
    <row r="354" spans="1:14" ht="16.5" x14ac:dyDescent="0.3">
      <c r="A354" s="1047" t="s">
        <v>503</v>
      </c>
      <c r="B354" s="587"/>
      <c r="C354" s="588">
        <v>44104</v>
      </c>
      <c r="D354" s="588">
        <v>44196</v>
      </c>
      <c r="E354" s="588">
        <v>44561</v>
      </c>
      <c r="F354" s="588">
        <v>44926</v>
      </c>
      <c r="G354" s="588">
        <v>45291</v>
      </c>
      <c r="H354" s="588">
        <v>45657</v>
      </c>
      <c r="I354" s="588">
        <v>46022</v>
      </c>
      <c r="J354" s="588">
        <v>46022</v>
      </c>
      <c r="K354" s="1048"/>
      <c r="L354" s="437" t="s">
        <v>498</v>
      </c>
      <c r="M354" s="437">
        <f>C347*L333</f>
        <v>1740000.2155724436</v>
      </c>
    </row>
    <row r="355" spans="1:14" ht="16.5" x14ac:dyDescent="0.3">
      <c r="A355" s="1047" t="s">
        <v>504</v>
      </c>
      <c r="B355" s="587"/>
      <c r="C355" s="587"/>
      <c r="D355" s="589">
        <f t="shared" ref="D355:I355" si="111">YEARFRAC(C354,D354)</f>
        <v>0.25</v>
      </c>
      <c r="E355" s="589">
        <f t="shared" si="111"/>
        <v>1</v>
      </c>
      <c r="F355" s="589">
        <f t="shared" si="111"/>
        <v>1</v>
      </c>
      <c r="G355" s="589">
        <f t="shared" si="111"/>
        <v>1</v>
      </c>
      <c r="H355" s="589">
        <f t="shared" si="111"/>
        <v>1</v>
      </c>
      <c r="I355" s="589">
        <f t="shared" si="111"/>
        <v>1</v>
      </c>
      <c r="J355" s="589"/>
      <c r="K355" s="1048"/>
      <c r="L355" s="586" t="s">
        <v>505</v>
      </c>
      <c r="M355" s="437">
        <f>(I357*(1+C346)/(C345-C346))</f>
        <v>3101740.2825604668</v>
      </c>
      <c r="N355" s="586"/>
    </row>
    <row r="356" spans="1:14" ht="17.25" thickBot="1" x14ac:dyDescent="0.35">
      <c r="A356" s="1047"/>
      <c r="B356" s="587"/>
      <c r="C356" s="587"/>
      <c r="D356" s="589"/>
      <c r="E356" s="589"/>
      <c r="F356" s="589"/>
      <c r="G356" s="589"/>
      <c r="H356" s="589"/>
      <c r="I356" s="589"/>
      <c r="J356" s="586"/>
      <c r="K356" s="1048"/>
      <c r="L356" s="1041"/>
      <c r="M356" s="1039"/>
    </row>
    <row r="357" spans="1:14" ht="16.5" x14ac:dyDescent="0.3">
      <c r="A357" s="1049" t="s">
        <v>928</v>
      </c>
      <c r="B357" s="587"/>
      <c r="C357" s="587">
        <v>0</v>
      </c>
      <c r="D357" s="590">
        <f t="shared" ref="D357:I357" si="112">D355*G326</f>
        <v>29914</v>
      </c>
      <c r="E357" s="590">
        <f t="shared" si="112"/>
        <v>51551.320834531572</v>
      </c>
      <c r="F357" s="590">
        <f t="shared" si="112"/>
        <v>70476.510958570812</v>
      </c>
      <c r="G357" s="590">
        <f t="shared" si="112"/>
        <v>77486.112373802433</v>
      </c>
      <c r="H357" s="590">
        <f t="shared" si="112"/>
        <v>85309.160490546608</v>
      </c>
      <c r="I357" s="590">
        <f t="shared" si="112"/>
        <v>93955.763201799797</v>
      </c>
      <c r="J357" s="591">
        <f>C350</f>
        <v>3101740.2825604668</v>
      </c>
      <c r="K357" s="1048"/>
      <c r="L357" s="586"/>
      <c r="M357" s="586"/>
    </row>
    <row r="358" spans="1:14" ht="16.5" x14ac:dyDescent="0.3">
      <c r="A358" s="1047"/>
      <c r="B358" s="587"/>
      <c r="C358" s="587"/>
      <c r="D358" s="589"/>
      <c r="E358" s="589"/>
      <c r="F358" s="589"/>
      <c r="G358" s="589"/>
      <c r="H358" s="589"/>
      <c r="I358" s="589"/>
      <c r="J358" s="589"/>
      <c r="K358" s="1048"/>
      <c r="L358" s="586"/>
      <c r="M358" s="586"/>
    </row>
    <row r="359" spans="1:14" ht="16.5" x14ac:dyDescent="0.3">
      <c r="A359" s="1049" t="s">
        <v>506</v>
      </c>
      <c r="B359" s="587"/>
      <c r="C359" s="590">
        <f>-G365</f>
        <v>-2923822.952</v>
      </c>
      <c r="D359" s="590">
        <f t="shared" ref="D359:J359" si="113">D357</f>
        <v>29914</v>
      </c>
      <c r="E359" s="590">
        <f t="shared" si="113"/>
        <v>51551.320834531572</v>
      </c>
      <c r="F359" s="590">
        <f t="shared" si="113"/>
        <v>70476.510958570812</v>
      </c>
      <c r="G359" s="590">
        <f t="shared" si="113"/>
        <v>77486.112373802433</v>
      </c>
      <c r="H359" s="590">
        <f t="shared" si="113"/>
        <v>85309.160490546608</v>
      </c>
      <c r="I359" s="590">
        <f t="shared" si="113"/>
        <v>93955.763201799797</v>
      </c>
      <c r="J359" s="590">
        <f t="shared" si="113"/>
        <v>3101740.2825604668</v>
      </c>
      <c r="K359" s="1048"/>
      <c r="L359" s="586"/>
      <c r="M359" s="586"/>
    </row>
    <row r="360" spans="1:14" ht="16.5" x14ac:dyDescent="0.3">
      <c r="A360" s="1038"/>
      <c r="B360" s="586"/>
      <c r="C360" s="586"/>
      <c r="D360" s="586"/>
      <c r="E360" s="586"/>
      <c r="F360" s="586"/>
      <c r="G360" s="586"/>
      <c r="H360" s="586"/>
      <c r="I360" s="586"/>
      <c r="J360" s="586"/>
      <c r="K360" s="1048"/>
      <c r="L360" s="586"/>
      <c r="M360" s="586"/>
    </row>
    <row r="361" spans="1:14" ht="16.5" x14ac:dyDescent="0.3">
      <c r="A361" s="1050" t="s">
        <v>507</v>
      </c>
      <c r="B361" s="440"/>
      <c r="C361" s="440"/>
      <c r="D361" s="441"/>
      <c r="E361" s="439" t="s">
        <v>923</v>
      </c>
      <c r="F361" s="437"/>
      <c r="G361" s="439"/>
      <c r="H361" s="437"/>
      <c r="I361" s="439" t="s">
        <v>508</v>
      </c>
      <c r="J361" s="439"/>
      <c r="K361" s="1051"/>
      <c r="L361" s="586"/>
      <c r="M361" s="586"/>
    </row>
    <row r="362" spans="1:14" ht="16.5" x14ac:dyDescent="0.3">
      <c r="A362" s="1029" t="s">
        <v>509</v>
      </c>
      <c r="B362" s="437"/>
      <c r="C362" s="437">
        <f>XNPV(C345,C357:J357,C354:J354)</f>
        <v>2209288.7834549402</v>
      </c>
      <c r="D362" s="437"/>
      <c r="E362" s="437" t="s">
        <v>510</v>
      </c>
      <c r="F362" s="442"/>
      <c r="G362" s="437">
        <f>C348*C349/1000</f>
        <v>3049066.952</v>
      </c>
      <c r="H362" s="437"/>
      <c r="I362" s="437" t="s">
        <v>495</v>
      </c>
      <c r="J362" s="437"/>
      <c r="K362" s="1052">
        <f>C348</f>
        <v>9.5</v>
      </c>
      <c r="L362" s="586"/>
      <c r="M362" s="586"/>
    </row>
    <row r="363" spans="1:14" ht="16.5" x14ac:dyDescent="0.3">
      <c r="A363" s="1029" t="s">
        <v>511</v>
      </c>
      <c r="B363" s="437"/>
      <c r="C363" s="437">
        <f>G364</f>
        <v>125244</v>
      </c>
      <c r="D363" s="437"/>
      <c r="E363" s="437" t="s">
        <v>512</v>
      </c>
      <c r="F363" s="437"/>
      <c r="G363" s="437">
        <v>0</v>
      </c>
      <c r="H363" s="437"/>
      <c r="I363" s="437" t="s">
        <v>513</v>
      </c>
      <c r="J363" s="437"/>
      <c r="K363" s="1053">
        <v>10.75</v>
      </c>
      <c r="L363" s="586"/>
      <c r="M363" s="586"/>
    </row>
    <row r="364" spans="1:14" ht="17.25" thickBot="1" x14ac:dyDescent="0.35">
      <c r="A364" s="1029" t="s">
        <v>514</v>
      </c>
      <c r="B364" s="437"/>
      <c r="C364" s="437">
        <f>G363</f>
        <v>0</v>
      </c>
      <c r="D364" s="437"/>
      <c r="E364" s="437" t="s">
        <v>515</v>
      </c>
      <c r="F364" s="437"/>
      <c r="G364" s="437">
        <f>G127</f>
        <v>125244</v>
      </c>
      <c r="H364" s="437"/>
      <c r="I364" s="437" t="s">
        <v>516</v>
      </c>
      <c r="J364" s="437"/>
      <c r="K364" s="1054">
        <f>K363/K362-1</f>
        <v>0.13157894736842102</v>
      </c>
      <c r="L364" s="586"/>
      <c r="M364" s="586"/>
    </row>
    <row r="365" spans="1:14" ht="17.25" thickBot="1" x14ac:dyDescent="0.35">
      <c r="A365" s="1029" t="s">
        <v>755</v>
      </c>
      <c r="B365" s="437"/>
      <c r="C365" s="619">
        <f>(C362+C363-C364)*1000</f>
        <v>2334532783.4549403</v>
      </c>
      <c r="D365" s="437"/>
      <c r="E365" s="442" t="s">
        <v>509</v>
      </c>
      <c r="F365" s="442"/>
      <c r="G365" s="1299">
        <f>G362+G363-G364</f>
        <v>2923822.952</v>
      </c>
      <c r="H365" s="437"/>
      <c r="I365" s="437" t="s">
        <v>517</v>
      </c>
      <c r="J365" s="437"/>
      <c r="K365" s="1300">
        <f>XIRR(C359:J359,C354:J354)</f>
        <v>3.7159368395805373E-2</v>
      </c>
      <c r="L365" s="586"/>
      <c r="M365" s="586"/>
    </row>
    <row r="366" spans="1:14" ht="17.25" thickBot="1" x14ac:dyDescent="0.35">
      <c r="A366" s="1049"/>
      <c r="B366" s="437"/>
      <c r="C366" s="443"/>
      <c r="D366" s="437"/>
      <c r="E366" s="437"/>
      <c r="F366" s="441"/>
      <c r="G366" s="443"/>
      <c r="H366" s="437"/>
      <c r="I366" s="437"/>
      <c r="J366" s="437"/>
      <c r="K366" s="1054"/>
      <c r="L366" s="586"/>
      <c r="M366" s="586"/>
    </row>
    <row r="367" spans="1:14" ht="17.25" thickBot="1" x14ac:dyDescent="0.35">
      <c r="A367" s="1055" t="s">
        <v>518</v>
      </c>
      <c r="B367" s="1034"/>
      <c r="C367" s="444">
        <f>C365/C349</f>
        <v>7.2737207125853667</v>
      </c>
      <c r="D367" s="1034"/>
      <c r="E367" s="1034" t="s">
        <v>518</v>
      </c>
      <c r="F367" s="1034"/>
      <c r="G367" s="1056">
        <f>C348</f>
        <v>9.5</v>
      </c>
      <c r="H367" s="1034"/>
      <c r="I367" s="1034"/>
      <c r="J367" s="1034"/>
      <c r="K367" s="1057"/>
    </row>
    <row r="369" spans="1:21" x14ac:dyDescent="0.2">
      <c r="F369" s="642"/>
      <c r="G369" s="1023"/>
    </row>
    <row r="370" spans="1:21" x14ac:dyDescent="0.2">
      <c r="C370" s="691"/>
    </row>
    <row r="371" spans="1:21" s="1070" customFormat="1" ht="15.75" x14ac:dyDescent="0.25">
      <c r="A371" s="1071" t="s">
        <v>925</v>
      </c>
      <c r="B371" s="1071"/>
      <c r="C371" s="1071"/>
      <c r="D371" s="1071"/>
      <c r="E371" s="1071"/>
      <c r="F371" s="1071"/>
      <c r="G371" s="1071"/>
      <c r="H371" s="1071"/>
      <c r="I371" s="1071"/>
      <c r="J371" s="1071"/>
      <c r="K371" s="1071"/>
      <c r="L371" s="1071"/>
      <c r="M371" s="1071"/>
      <c r="N371" s="1071"/>
      <c r="O371" s="1071"/>
      <c r="P371" s="1071"/>
      <c r="Q371" s="1071"/>
      <c r="R371" s="1071"/>
      <c r="S371" s="1071"/>
      <c r="U371" s="1072"/>
    </row>
    <row r="375" spans="1:21" ht="15.75" x14ac:dyDescent="0.25">
      <c r="B375" s="1073"/>
      <c r="C375" s="1074"/>
      <c r="D375" s="1075" t="s">
        <v>926</v>
      </c>
      <c r="E375" s="1076"/>
      <c r="F375" s="1076"/>
      <c r="G375" s="1076"/>
      <c r="H375" s="1076"/>
      <c r="I375" s="1076"/>
      <c r="J375" s="1076"/>
      <c r="K375" s="1076"/>
      <c r="L375" s="1076"/>
      <c r="M375" s="1076"/>
      <c r="N375" s="1077"/>
    </row>
    <row r="376" spans="1:21" ht="15.75" x14ac:dyDescent="0.25">
      <c r="B376" s="1078"/>
      <c r="C376" s="1197">
        <f>$G$367</f>
        <v>9.5</v>
      </c>
      <c r="D376" s="1079">
        <v>8.5000000000000006E-2</v>
      </c>
      <c r="E376" s="1079">
        <v>8.7499999999999994E-2</v>
      </c>
      <c r="F376" s="1079">
        <v>0.09</v>
      </c>
      <c r="G376" s="1079">
        <v>9.2499999999999999E-2</v>
      </c>
      <c r="H376" s="1079">
        <v>9.5000000000000001E-2</v>
      </c>
      <c r="I376" s="1079">
        <v>9.7500000000000003E-2</v>
      </c>
      <c r="J376" s="1079">
        <v>0.1</v>
      </c>
      <c r="K376" s="1079">
        <v>0.10249999999999999</v>
      </c>
      <c r="L376" s="1079">
        <v>0.105</v>
      </c>
      <c r="M376" s="1079">
        <v>0.1075</v>
      </c>
    </row>
    <row r="377" spans="1:21" x14ac:dyDescent="0.2">
      <c r="B377" s="1303" t="s">
        <v>927</v>
      </c>
      <c r="C377" s="1080">
        <v>25</v>
      </c>
      <c r="D377" s="1211">
        <f t="dataTable" ref="D377:M385" dt2D="1" dtr="1" r1="C345" r2="C347"/>
        <v>9.5</v>
      </c>
      <c r="E377" s="1211">
        <v>9.5</v>
      </c>
      <c r="F377" s="1211">
        <v>9.5</v>
      </c>
      <c r="G377" s="1211">
        <v>9.5</v>
      </c>
      <c r="H377" s="1211">
        <v>9.5</v>
      </c>
      <c r="I377" s="1211">
        <v>9.5</v>
      </c>
      <c r="J377" s="1211">
        <v>9.5</v>
      </c>
      <c r="K377" s="1211">
        <v>9.5</v>
      </c>
      <c r="L377" s="1211">
        <v>9.5</v>
      </c>
      <c r="M377" s="1211">
        <v>9.5</v>
      </c>
    </row>
    <row r="378" spans="1:21" x14ac:dyDescent="0.2">
      <c r="B378" s="1304"/>
      <c r="C378" s="1080">
        <v>23</v>
      </c>
      <c r="D378" s="1211">
        <v>9.5</v>
      </c>
      <c r="E378" s="1211">
        <v>9.5</v>
      </c>
      <c r="F378" s="1211">
        <v>9.5</v>
      </c>
      <c r="G378" s="1211">
        <v>9.5</v>
      </c>
      <c r="H378" s="1211">
        <v>9.5</v>
      </c>
      <c r="I378" s="1211">
        <v>9.5</v>
      </c>
      <c r="J378" s="1211">
        <v>9.5</v>
      </c>
      <c r="K378" s="1211">
        <v>9.5</v>
      </c>
      <c r="L378" s="1211">
        <v>9.5</v>
      </c>
      <c r="M378" s="1211">
        <v>9.5</v>
      </c>
    </row>
    <row r="379" spans="1:21" x14ac:dyDescent="0.2">
      <c r="B379" s="1304"/>
      <c r="C379" s="1080">
        <v>21</v>
      </c>
      <c r="D379" s="1211">
        <v>9.5</v>
      </c>
      <c r="E379" s="1211">
        <v>9.5</v>
      </c>
      <c r="F379" s="1211">
        <v>9.5</v>
      </c>
      <c r="G379" s="1211">
        <v>9.5</v>
      </c>
      <c r="H379" s="1211">
        <v>9.5</v>
      </c>
      <c r="I379" s="1211">
        <v>9.5</v>
      </c>
      <c r="J379" s="1211">
        <v>9.5</v>
      </c>
      <c r="K379" s="1211">
        <v>9.5</v>
      </c>
      <c r="L379" s="1211">
        <v>9.5</v>
      </c>
      <c r="M379" s="1211">
        <v>9.5</v>
      </c>
    </row>
    <row r="380" spans="1:21" x14ac:dyDescent="0.2">
      <c r="B380" s="1304"/>
      <c r="C380" s="1080">
        <v>18</v>
      </c>
      <c r="D380" s="1211">
        <v>9.5</v>
      </c>
      <c r="E380" s="1211">
        <v>9.5</v>
      </c>
      <c r="F380" s="1211">
        <v>9.5</v>
      </c>
      <c r="G380" s="1211">
        <v>9.5</v>
      </c>
      <c r="H380" s="1211">
        <v>9.5</v>
      </c>
      <c r="I380" s="1211">
        <v>9.5</v>
      </c>
      <c r="J380" s="1211">
        <v>9.5</v>
      </c>
      <c r="K380" s="1211">
        <v>9.5</v>
      </c>
      <c r="L380" s="1211">
        <v>9.5</v>
      </c>
      <c r="M380" s="1211">
        <v>9.5</v>
      </c>
    </row>
    <row r="381" spans="1:21" x14ac:dyDescent="0.2">
      <c r="B381" s="1304"/>
      <c r="C381" s="1080">
        <v>16</v>
      </c>
      <c r="D381" s="1211">
        <v>9.5</v>
      </c>
      <c r="E381" s="1211">
        <v>9.5</v>
      </c>
      <c r="F381" s="1211">
        <v>9.5</v>
      </c>
      <c r="G381" s="1211">
        <v>9.5</v>
      </c>
      <c r="H381" s="1211">
        <v>9.5</v>
      </c>
      <c r="I381" s="1211">
        <v>9.5</v>
      </c>
      <c r="J381" s="1211">
        <v>9.5</v>
      </c>
      <c r="K381" s="1211">
        <v>9.5</v>
      </c>
      <c r="L381" s="1211">
        <v>9.5</v>
      </c>
      <c r="M381" s="1211">
        <v>9.5</v>
      </c>
    </row>
    <row r="382" spans="1:21" x14ac:dyDescent="0.2">
      <c r="B382" s="1304"/>
      <c r="C382" s="1080">
        <v>14</v>
      </c>
      <c r="D382" s="1211">
        <v>9.5</v>
      </c>
      <c r="E382" s="1211">
        <v>9.5</v>
      </c>
      <c r="F382" s="1211">
        <v>9.5</v>
      </c>
      <c r="G382" s="1211">
        <v>9.5</v>
      </c>
      <c r="H382" s="1211">
        <v>9.5</v>
      </c>
      <c r="I382" s="1211">
        <v>9.5</v>
      </c>
      <c r="J382" s="1211">
        <v>9.5</v>
      </c>
      <c r="K382" s="1211">
        <v>9.5</v>
      </c>
      <c r="L382" s="1211">
        <v>9.5</v>
      </c>
      <c r="M382" s="1211">
        <v>9.5</v>
      </c>
    </row>
    <row r="383" spans="1:21" x14ac:dyDescent="0.2">
      <c r="B383" s="1304"/>
      <c r="C383" s="1080">
        <v>12</v>
      </c>
      <c r="D383" s="1211">
        <v>9.5</v>
      </c>
      <c r="E383" s="1211">
        <v>9.5</v>
      </c>
      <c r="F383" s="1211">
        <v>9.5</v>
      </c>
      <c r="G383" s="1211">
        <v>9.5</v>
      </c>
      <c r="H383" s="1211">
        <v>9.5</v>
      </c>
      <c r="I383" s="1211">
        <v>9.5</v>
      </c>
      <c r="J383" s="1211">
        <v>9.5</v>
      </c>
      <c r="K383" s="1211">
        <v>9.5</v>
      </c>
      <c r="L383" s="1211">
        <v>9.5</v>
      </c>
      <c r="M383" s="1211">
        <v>9.5</v>
      </c>
    </row>
    <row r="384" spans="1:21" x14ac:dyDescent="0.2">
      <c r="B384" s="1304"/>
      <c r="C384" s="1080">
        <v>10</v>
      </c>
      <c r="D384" s="1211">
        <v>9.5</v>
      </c>
      <c r="E384" s="1211">
        <v>9.5</v>
      </c>
      <c r="F384" s="1211">
        <v>9.5</v>
      </c>
      <c r="G384" s="1211">
        <v>9.5</v>
      </c>
      <c r="H384" s="1211">
        <v>9.5</v>
      </c>
      <c r="I384" s="1211">
        <v>9.5</v>
      </c>
      <c r="J384" s="1211">
        <v>9.5</v>
      </c>
      <c r="K384" s="1211">
        <v>9.5</v>
      </c>
      <c r="L384" s="1211">
        <v>9.5</v>
      </c>
      <c r="M384" s="1211">
        <v>9.5</v>
      </c>
    </row>
    <row r="385" spans="1:16" x14ac:dyDescent="0.2">
      <c r="B385" s="1305"/>
      <c r="C385" s="1080">
        <v>8</v>
      </c>
      <c r="D385" s="1211">
        <v>9.5</v>
      </c>
      <c r="E385" s="1211">
        <v>9.5</v>
      </c>
      <c r="F385" s="1211">
        <v>9.5</v>
      </c>
      <c r="G385" s="1211">
        <v>9.5</v>
      </c>
      <c r="H385" s="1211">
        <v>9.5</v>
      </c>
      <c r="I385" s="1211">
        <v>9.5</v>
      </c>
      <c r="J385" s="1211">
        <v>9.5</v>
      </c>
      <c r="K385" s="1211">
        <v>9.5</v>
      </c>
      <c r="L385" s="1211">
        <v>9.5</v>
      </c>
      <c r="M385" s="1211">
        <v>9.5</v>
      </c>
    </row>
    <row r="388" spans="1:16" ht="13.5" thickBot="1" x14ac:dyDescent="0.25"/>
    <row r="389" spans="1:16" ht="16.5" x14ac:dyDescent="0.3">
      <c r="B389" s="1102"/>
      <c r="C389" s="1306" t="s">
        <v>929</v>
      </c>
      <c r="D389" s="1307"/>
      <c r="E389" s="1307"/>
      <c r="F389" s="1307"/>
      <c r="G389" s="1307"/>
      <c r="H389" s="1308"/>
      <c r="J389" s="1309" t="s">
        <v>932</v>
      </c>
      <c r="K389" s="1310"/>
      <c r="L389" s="1310"/>
      <c r="M389" s="1310"/>
      <c r="N389" s="1310"/>
      <c r="O389" s="1310"/>
      <c r="P389" s="1311"/>
    </row>
    <row r="390" spans="1:16" ht="16.5" x14ac:dyDescent="0.3">
      <c r="B390" s="1103"/>
      <c r="C390" s="411"/>
      <c r="D390" s="1090" t="s">
        <v>930</v>
      </c>
      <c r="E390" s="1091"/>
      <c r="F390" s="1091"/>
      <c r="G390" s="1091"/>
      <c r="H390" s="1092"/>
      <c r="J390" s="1140"/>
      <c r="K390" s="411"/>
      <c r="L390" s="1090" t="s">
        <v>492</v>
      </c>
      <c r="M390" s="1091"/>
      <c r="N390" s="1091"/>
      <c r="O390" s="1091"/>
      <c r="P390" s="1108"/>
    </row>
    <row r="391" spans="1:16" ht="16.5" x14ac:dyDescent="0.3">
      <c r="B391" s="1103"/>
      <c r="C391" s="1106">
        <f>$K$365</f>
        <v>3.7159368395805373E-2</v>
      </c>
      <c r="D391" s="1117">
        <v>2000000</v>
      </c>
      <c r="E391" s="442">
        <f>D391+5000000</f>
        <v>7000000</v>
      </c>
      <c r="F391" s="442">
        <f t="shared" ref="F391:H391" si="114">E391+5000000</f>
        <v>12000000</v>
      </c>
      <c r="G391" s="442">
        <f t="shared" si="114"/>
        <v>17000000</v>
      </c>
      <c r="H391" s="1093">
        <f t="shared" si="114"/>
        <v>22000000</v>
      </c>
      <c r="J391" s="1140"/>
      <c r="K391" s="1118">
        <f>$C$367</f>
        <v>7.2737207125853667</v>
      </c>
      <c r="L391" s="1119">
        <v>0.08</v>
      </c>
      <c r="M391" s="1087">
        <f>L391+0.02</f>
        <v>0.1</v>
      </c>
      <c r="N391" s="1087">
        <f t="shared" ref="N391:P391" si="115">M391+0.02</f>
        <v>0.12000000000000001</v>
      </c>
      <c r="O391" s="1087">
        <f t="shared" si="115"/>
        <v>0.14000000000000001</v>
      </c>
      <c r="P391" s="985">
        <f t="shared" si="115"/>
        <v>0.16</v>
      </c>
    </row>
    <row r="392" spans="1:16" ht="16.5" x14ac:dyDescent="0.3">
      <c r="B392" s="1104" t="s">
        <v>931</v>
      </c>
      <c r="C392" s="1083">
        <v>14</v>
      </c>
      <c r="D392" s="1084">
        <f t="dataTable" ref="D392:H396" dt2D="1" dtr="1" r1="G365" r2="C347"/>
        <v>0.11958951354026792</v>
      </c>
      <c r="E392" s="415">
        <v>-0.12738031484186643</v>
      </c>
      <c r="F392" s="415">
        <v>-0.21455546058714389</v>
      </c>
      <c r="G392" s="415">
        <v>-0.26592456772923467</v>
      </c>
      <c r="H392" s="1094">
        <v>-0.30167031027376656</v>
      </c>
      <c r="J392" s="1141" t="s">
        <v>931</v>
      </c>
      <c r="K392" s="1083">
        <v>14</v>
      </c>
      <c r="L392" s="1089">
        <f t="dataTable" ref="L392:P396" dt2D="1" dtr="1" r1="C345" r2="C347" ca="1"/>
        <v>15.257912195372691</v>
      </c>
      <c r="M392" s="1088">
        <v>6.7308397011925809</v>
      </c>
      <c r="N392" s="1088">
        <v>4.4076901716791328</v>
      </c>
      <c r="O392" s="1088">
        <v>3.3251740327938717</v>
      </c>
      <c r="P392" s="1109">
        <v>2.6996264875859564</v>
      </c>
    </row>
    <row r="393" spans="1:16" ht="16.5" x14ac:dyDescent="0.3">
      <c r="B393" s="1103"/>
      <c r="C393" s="1085">
        <f>C392+2</f>
        <v>16</v>
      </c>
      <c r="D393" s="1086">
        <v>0.11958951354026792</v>
      </c>
      <c r="E393" s="1095">
        <v>-0.12738031484186643</v>
      </c>
      <c r="F393" s="1095">
        <v>-0.21455546058714389</v>
      </c>
      <c r="G393" s="1095">
        <v>-0.26592456772923467</v>
      </c>
      <c r="H393" s="1096">
        <v>-0.30167031027376656</v>
      </c>
      <c r="J393" s="1140"/>
      <c r="K393" s="1085">
        <f>K392+2</f>
        <v>16</v>
      </c>
      <c r="L393" s="1089">
        <v>15.257912195372691</v>
      </c>
      <c r="M393" s="1110">
        <v>6.7308397011925809</v>
      </c>
      <c r="N393" s="1110">
        <v>4.4076901716791328</v>
      </c>
      <c r="O393" s="1110">
        <v>3.3251740327938717</v>
      </c>
      <c r="P393" s="1111">
        <v>2.6996264875859564</v>
      </c>
    </row>
    <row r="394" spans="1:16" ht="16.5" x14ac:dyDescent="0.3">
      <c r="B394" s="1103"/>
      <c r="C394" s="1085">
        <f t="shared" ref="C394:C396" si="116">C393+2</f>
        <v>18</v>
      </c>
      <c r="D394" s="1086">
        <v>0.11958951354026792</v>
      </c>
      <c r="E394" s="1095">
        <v>-0.12738031484186643</v>
      </c>
      <c r="F394" s="1097">
        <v>-0.21455546058714389</v>
      </c>
      <c r="G394" s="1095">
        <v>-0.26592456772923467</v>
      </c>
      <c r="H394" s="1096">
        <v>-0.30167031027376656</v>
      </c>
      <c r="J394" s="1140"/>
      <c r="K394" s="1085">
        <f t="shared" ref="K394:K396" si="117">K393+2</f>
        <v>18</v>
      </c>
      <c r="L394" s="1089">
        <v>15.257912195372691</v>
      </c>
      <c r="M394" s="1110">
        <v>6.7308397011925809</v>
      </c>
      <c r="N394" s="1112">
        <v>4.4076901716791328</v>
      </c>
      <c r="O394" s="1110">
        <v>3.3251740327938717</v>
      </c>
      <c r="P394" s="1111">
        <v>2.6996264875859564</v>
      </c>
    </row>
    <row r="395" spans="1:16" ht="16.5" x14ac:dyDescent="0.3">
      <c r="B395" s="1103"/>
      <c r="C395" s="1085">
        <f t="shared" si="116"/>
        <v>20</v>
      </c>
      <c r="D395" s="1086">
        <v>0.11958951354026792</v>
      </c>
      <c r="E395" s="1095">
        <v>-0.12738031484186643</v>
      </c>
      <c r="F395" s="1095">
        <v>-0.21455546058714389</v>
      </c>
      <c r="G395" s="1095">
        <v>-0.26592456772923467</v>
      </c>
      <c r="H395" s="1096">
        <v>-0.30167031027376656</v>
      </c>
      <c r="J395" s="1140"/>
      <c r="K395" s="1085">
        <f t="shared" si="117"/>
        <v>20</v>
      </c>
      <c r="L395" s="1089">
        <v>15.257912195372691</v>
      </c>
      <c r="M395" s="1110">
        <v>6.7308397011925809</v>
      </c>
      <c r="N395" s="1110">
        <v>4.4076901716791328</v>
      </c>
      <c r="O395" s="1110">
        <v>3.3251740327938717</v>
      </c>
      <c r="P395" s="1111">
        <v>2.6996264875859564</v>
      </c>
    </row>
    <row r="396" spans="1:16" ht="17.25" thickBot="1" x14ac:dyDescent="0.35">
      <c r="B396" s="1105"/>
      <c r="C396" s="1098">
        <f t="shared" si="116"/>
        <v>22</v>
      </c>
      <c r="D396" s="1099">
        <v>0.11958951354026792</v>
      </c>
      <c r="E396" s="1100">
        <v>-0.12738031484186643</v>
      </c>
      <c r="F396" s="1100">
        <v>-0.21455546058714389</v>
      </c>
      <c r="G396" s="1100">
        <v>-0.26592456772923467</v>
      </c>
      <c r="H396" s="1101">
        <v>-0.30167031027376656</v>
      </c>
      <c r="J396" s="1140"/>
      <c r="K396" s="1113">
        <f t="shared" si="117"/>
        <v>22</v>
      </c>
      <c r="L396" s="1114">
        <v>15.257912195372691</v>
      </c>
      <c r="M396" s="1115">
        <v>6.7308397011925809</v>
      </c>
      <c r="N396" s="1115">
        <v>4.4076901716791328</v>
      </c>
      <c r="O396" s="1115">
        <v>3.3251740327938717</v>
      </c>
      <c r="P396" s="1116">
        <v>2.6996264875859564</v>
      </c>
    </row>
    <row r="399" spans="1:16" ht="16.5" x14ac:dyDescent="0.3">
      <c r="A399" s="1064"/>
      <c r="B399" s="1143" t="s">
        <v>519</v>
      </c>
      <c r="C399" s="1142"/>
      <c r="D399" s="1120"/>
      <c r="E399" s="1143" t="s">
        <v>492</v>
      </c>
      <c r="F399" s="1107"/>
      <c r="G399" s="1121"/>
      <c r="H399" s="1144" t="s">
        <v>933</v>
      </c>
      <c r="I399" s="1107"/>
      <c r="J399" s="1121"/>
      <c r="K399" s="1143" t="s">
        <v>498</v>
      </c>
      <c r="L399" s="1144"/>
    </row>
    <row r="400" spans="1:16" ht="15.75" x14ac:dyDescent="0.25">
      <c r="A400" s="1064"/>
      <c r="B400" s="1122" t="s">
        <v>934</v>
      </c>
      <c r="C400" s="1122" t="s">
        <v>520</v>
      </c>
      <c r="D400" s="1120"/>
      <c r="E400" s="1122" t="s">
        <v>934</v>
      </c>
      <c r="F400" s="1122" t="s">
        <v>520</v>
      </c>
      <c r="G400" s="1123"/>
      <c r="H400" s="1122" t="s">
        <v>934</v>
      </c>
      <c r="I400" s="1122" t="s">
        <v>520</v>
      </c>
      <c r="J400" s="1123"/>
      <c r="K400" s="1122" t="s">
        <v>934</v>
      </c>
      <c r="L400" s="1122" t="s">
        <v>520</v>
      </c>
    </row>
    <row r="401" spans="1:12" ht="15.75" x14ac:dyDescent="0.25">
      <c r="A401" s="1064"/>
      <c r="B401" s="1124">
        <v>0</v>
      </c>
      <c r="C401" s="1125">
        <f>$C$367</f>
        <v>7.2737207125853667</v>
      </c>
      <c r="D401" s="1120"/>
      <c r="E401" s="1124">
        <v>0</v>
      </c>
      <c r="F401" s="1125">
        <f>$C$367</f>
        <v>7.2737207125853667</v>
      </c>
      <c r="G401" s="1123"/>
      <c r="H401" s="1124">
        <v>0</v>
      </c>
      <c r="I401" s="1125">
        <f>$C$367</f>
        <v>7.2737207125853667</v>
      </c>
      <c r="J401" s="1123"/>
      <c r="K401" s="1124">
        <v>0</v>
      </c>
      <c r="L401" s="1125">
        <f>$C$367</f>
        <v>7.2737207125853667</v>
      </c>
    </row>
    <row r="402" spans="1:12" ht="15.75" x14ac:dyDescent="0.25">
      <c r="A402" s="1064"/>
      <c r="B402" s="1126">
        <v>-0.1</v>
      </c>
      <c r="C402" s="1127"/>
      <c r="D402" s="1120"/>
      <c r="E402" s="1126">
        <v>-0.1</v>
      </c>
      <c r="F402" s="1127">
        <v>5.1013271603069112</v>
      </c>
      <c r="G402" s="1123"/>
      <c r="H402" s="1126">
        <v>-0.1</v>
      </c>
      <c r="I402" s="1127">
        <v>5.6973695355813865</v>
      </c>
      <c r="J402" s="1123"/>
      <c r="K402" s="1126">
        <v>-0.1</v>
      </c>
      <c r="L402" s="1127">
        <v>4.3629832547545995</v>
      </c>
    </row>
    <row r="403" spans="1:12" ht="15.75" x14ac:dyDescent="0.25">
      <c r="B403" s="1126">
        <v>0.1</v>
      </c>
      <c r="C403" s="1127"/>
      <c r="D403" s="1120"/>
      <c r="E403" s="1126">
        <v>0.1</v>
      </c>
      <c r="F403" s="1127">
        <v>4.5567082374203647</v>
      </c>
      <c r="G403" s="1123"/>
      <c r="H403" s="1126">
        <v>0.1</v>
      </c>
      <c r="I403" s="1127">
        <v>3.9425637057219425</v>
      </c>
      <c r="J403" s="1128"/>
      <c r="K403" s="1126">
        <v>0.1</v>
      </c>
      <c r="L403" s="1127">
        <v>5.2769499865487335</v>
      </c>
    </row>
    <row r="404" spans="1:12" ht="15.75" x14ac:dyDescent="0.25">
      <c r="B404" s="1129"/>
      <c r="C404" s="1130"/>
      <c r="D404" s="1131"/>
      <c r="E404" s="1128"/>
      <c r="F404" s="1123"/>
      <c r="G404" s="1129"/>
      <c r="H404" s="1130"/>
      <c r="I404" s="1131"/>
      <c r="J404" s="1128"/>
      <c r="K404" s="1123"/>
      <c r="L404" s="1123"/>
    </row>
    <row r="405" spans="1:12" ht="16.5" x14ac:dyDescent="0.3">
      <c r="B405" s="1144" t="s">
        <v>935</v>
      </c>
      <c r="C405" s="1144"/>
      <c r="D405" s="1144" t="s">
        <v>936</v>
      </c>
      <c r="E405" s="1144" t="s">
        <v>937</v>
      </c>
      <c r="F405" s="1144" t="s">
        <v>938</v>
      </c>
      <c r="G405" s="1144" t="s">
        <v>939</v>
      </c>
      <c r="H405" s="1144" t="s">
        <v>940</v>
      </c>
      <c r="I405" s="1144" t="s">
        <v>941</v>
      </c>
      <c r="J405" s="1144"/>
      <c r="K405" s="1144" t="s">
        <v>942</v>
      </c>
      <c r="L405" s="1144" t="s">
        <v>943</v>
      </c>
    </row>
    <row r="406" spans="1:12" ht="15.75" x14ac:dyDescent="0.25">
      <c r="B406" s="1121" t="str">
        <f>B399</f>
        <v>Revenue</v>
      </c>
      <c r="C406" s="1121"/>
      <c r="D406" s="1132">
        <f>C402/C401-1</f>
        <v>-1</v>
      </c>
      <c r="E406" s="1132">
        <f>C403/C401-1</f>
        <v>-1</v>
      </c>
      <c r="F406" s="1133">
        <v>1</v>
      </c>
      <c r="G406" s="1134">
        <f>ABS(E406)</f>
        <v>1</v>
      </c>
      <c r="H406" s="1134">
        <f>SMALL($G$406:$G$409,F406)</f>
        <v>0.27451847616058689</v>
      </c>
      <c r="I406" s="1135" t="str">
        <f>B407</f>
        <v>Discount Rate</v>
      </c>
      <c r="J406" s="1136"/>
      <c r="K406" s="1136">
        <f>VLOOKUP(I406,$B$406:$E$409,4,FALSE)</f>
        <v>-0.37353819077269312</v>
      </c>
      <c r="L406" s="1136">
        <f>VLOOKUP(I406,$B$406:$E$409,3,FALSE)</f>
        <v>-0.29866331663238976</v>
      </c>
    </row>
    <row r="407" spans="1:12" ht="15.75" x14ac:dyDescent="0.25">
      <c r="B407" s="1123" t="str">
        <f>E399</f>
        <v>Discount Rate</v>
      </c>
      <c r="C407" s="1123"/>
      <c r="D407" s="1138">
        <f>F402/F401-1</f>
        <v>-0.29866331663238976</v>
      </c>
      <c r="E407" s="1138">
        <f>F403/F401-1</f>
        <v>-0.37353819077269312</v>
      </c>
      <c r="F407" s="1139">
        <f>+F406+1</f>
        <v>2</v>
      </c>
      <c r="G407" s="1134">
        <f t="shared" ref="G407:G409" si="118">ABS(E407)</f>
        <v>0.37353819077269312</v>
      </c>
      <c r="H407" s="1134">
        <f t="shared" ref="H407:H409" si="119">SMALL($G$406:$G$409,F407)</f>
        <v>0.37353819077269312</v>
      </c>
      <c r="I407" s="1135" t="str">
        <f>B409</f>
        <v>EV/EBITDA</v>
      </c>
      <c r="J407" s="1137"/>
      <c r="K407" s="1136">
        <f>VLOOKUP(I407,$B$407:$E$409,4,FALSE)</f>
        <v>-0.27451847616058689</v>
      </c>
      <c r="L407" s="1136">
        <f>VLOOKUP(I407,$B$406:$E$409,4,FALSE)</f>
        <v>-0.27451847616058689</v>
      </c>
    </row>
    <row r="408" spans="1:12" ht="15.75" x14ac:dyDescent="0.25">
      <c r="B408" s="1123" t="str">
        <f>H399</f>
        <v>Employee Expense</v>
      </c>
      <c r="C408" s="1123"/>
      <c r="D408" s="1138">
        <f>I402/I401-1</f>
        <v>-0.21671868350354673</v>
      </c>
      <c r="E408" s="1138">
        <f>I403/I401-1</f>
        <v>-0.45797153045753936</v>
      </c>
      <c r="F408" s="1139">
        <f t="shared" ref="F408:F409" si="120">+F407+1</f>
        <v>3</v>
      </c>
      <c r="G408" s="1134">
        <f t="shared" si="118"/>
        <v>0.45797153045753936</v>
      </c>
      <c r="H408" s="1134">
        <f t="shared" si="119"/>
        <v>0.45797153045753936</v>
      </c>
      <c r="I408" s="1135" t="str">
        <f>B408</f>
        <v>Employee Expense</v>
      </c>
      <c r="J408" s="1137"/>
      <c r="K408" s="1136">
        <f>VLOOKUP(I408,$B$408:$E$409,4,FALSE)</f>
        <v>-0.45797153045753936</v>
      </c>
      <c r="L408" s="1136">
        <f>VLOOKUP(I408,$B$406:$E$409,4,FALSE)</f>
        <v>-0.45797153045753936</v>
      </c>
    </row>
    <row r="409" spans="1:12" ht="15.75" x14ac:dyDescent="0.25">
      <c r="B409" s="1123" t="str">
        <f>K399</f>
        <v>EV/EBITDA</v>
      </c>
      <c r="C409" s="1123"/>
      <c r="D409" s="1138">
        <f>L402/L401-1</f>
        <v>-0.40017173780049864</v>
      </c>
      <c r="E409" s="1138">
        <f>L403/L401-1</f>
        <v>-0.27451847616058689</v>
      </c>
      <c r="F409" s="1139">
        <f t="shared" si="120"/>
        <v>4</v>
      </c>
      <c r="G409" s="1134">
        <f t="shared" si="118"/>
        <v>0.27451847616058689</v>
      </c>
      <c r="H409" s="1134">
        <f t="shared" si="119"/>
        <v>1</v>
      </c>
      <c r="I409" s="1135" t="str">
        <f>B406</f>
        <v>Revenue</v>
      </c>
      <c r="J409" s="1137"/>
      <c r="K409" s="1136">
        <f>VLOOKUP(I409,$B$406:$E$409,4,FALSE)</f>
        <v>-1</v>
      </c>
      <c r="L409" s="1136">
        <f>VLOOKUP(I409,$B$406:$E$409,4,FALSE)</f>
        <v>-1</v>
      </c>
    </row>
  </sheetData>
  <mergeCells count="4">
    <mergeCell ref="H58:L58"/>
    <mergeCell ref="B377:B385"/>
    <mergeCell ref="C389:H389"/>
    <mergeCell ref="J389:P389"/>
  </mergeCells>
  <dataValidations count="1">
    <dataValidation type="list" allowBlank="1" showInputMessage="1" showErrorMessage="1" sqref="B350" xr:uid="{00000000-0002-0000-0200-000000000000}">
      <formula1>$L$354:$L$355</formula1>
    </dataValidation>
  </dataValidations>
  <pageMargins left="0.7" right="0.7" top="0.75" bottom="0.75" header="0.3" footer="0.3"/>
  <pageSetup orientation="portrait" r:id="rId1"/>
  <ignoredErrors>
    <ignoredError sqref="D409:F409 D406:D408 G406:G409 F407:F408 E406:E408 F401 I401 L401 B407:B409 K364:K365 K362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 1">
              <controlPr defaultSize="0" autoLine="0" autoPict="0">
                <anchor moveWithCells="1">
                  <from>
                    <xdr:col>0</xdr:col>
                    <xdr:colOff>2962275</xdr:colOff>
                    <xdr:row>0</xdr:row>
                    <xdr:rowOff>19050</xdr:rowOff>
                  </from>
                  <to>
                    <xdr:col>0</xdr:col>
                    <xdr:colOff>4257675</xdr:colOff>
                    <xdr:row>0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O222"/>
  <sheetViews>
    <sheetView topLeftCell="A91" zoomScaleNormal="100" workbookViewId="0">
      <selection activeCell="O107" sqref="O107"/>
    </sheetView>
  </sheetViews>
  <sheetFormatPr defaultColWidth="9.33203125" defaultRowHeight="12.75" x14ac:dyDescent="0.2"/>
  <cols>
    <col min="1" max="1" width="51" style="410" customWidth="1"/>
    <col min="2" max="2" width="16.83203125" style="410" bestFit="1" customWidth="1"/>
    <col min="3" max="3" width="12.83203125" style="410" bestFit="1" customWidth="1"/>
    <col min="4" max="4" width="9.33203125" style="410" customWidth="1"/>
    <col min="5" max="8" width="9.33203125" style="410"/>
    <col min="9" max="9" width="12.33203125" style="410" bestFit="1" customWidth="1"/>
    <col min="10" max="13" width="12.83203125" style="410" bestFit="1" customWidth="1"/>
    <col min="14" max="14" width="11.5" style="410" bestFit="1" customWidth="1"/>
    <col min="15" max="16384" width="9.33203125" style="410"/>
  </cols>
  <sheetData>
    <row r="1" spans="1:13" ht="41.25" thickBot="1" x14ac:dyDescent="0.35">
      <c r="A1" s="1280" t="s">
        <v>607</v>
      </c>
      <c r="B1" s="1280" t="s">
        <v>407</v>
      </c>
      <c r="C1" s="523">
        <f>'3 way Model - TNE '!C362</f>
        <v>2209288.7834549402</v>
      </c>
      <c r="D1" s="1289" t="s">
        <v>408</v>
      </c>
      <c r="E1" s="1280"/>
      <c r="F1" s="1280"/>
      <c r="G1" s="1280"/>
      <c r="H1" s="1280"/>
      <c r="I1" s="1280" t="s">
        <v>409</v>
      </c>
      <c r="J1" s="1280"/>
      <c r="K1" s="1280"/>
      <c r="L1" s="1279"/>
      <c r="M1" s="1279"/>
    </row>
    <row r="2" spans="1:13" ht="21" thickBot="1" x14ac:dyDescent="0.35">
      <c r="A2" s="1280" t="s">
        <v>410</v>
      </c>
      <c r="B2" s="1280" t="s">
        <v>411</v>
      </c>
      <c r="C2" s="524">
        <f>'3 way Model - TNE '!C367</f>
        <v>7.2737207125853667</v>
      </c>
      <c r="D2" s="1290">
        <v>2016</v>
      </c>
      <c r="E2" s="1290">
        <f>D2+1</f>
        <v>2017</v>
      </c>
      <c r="F2" s="1290">
        <f t="shared" ref="F2:M2" si="0">E2+1</f>
        <v>2018</v>
      </c>
      <c r="G2" s="1290">
        <f t="shared" si="0"/>
        <v>2019</v>
      </c>
      <c r="H2" s="1290">
        <f t="shared" si="0"/>
        <v>2020</v>
      </c>
      <c r="I2" s="1281">
        <f t="shared" si="0"/>
        <v>2021</v>
      </c>
      <c r="J2" s="1281">
        <f t="shared" si="0"/>
        <v>2022</v>
      </c>
      <c r="K2" s="1281">
        <f t="shared" si="0"/>
        <v>2023</v>
      </c>
      <c r="L2" s="1281">
        <f t="shared" si="0"/>
        <v>2024</v>
      </c>
      <c r="M2" s="1282">
        <f t="shared" si="0"/>
        <v>2025</v>
      </c>
    </row>
    <row r="3" spans="1:13" x14ac:dyDescent="0.2">
      <c r="M3" s="1254"/>
    </row>
    <row r="4" spans="1:13" ht="15" x14ac:dyDescent="0.25">
      <c r="A4" s="525" t="s">
        <v>608</v>
      </c>
      <c r="M4" s="1254"/>
    </row>
    <row r="5" spans="1:13" ht="15" x14ac:dyDescent="0.25">
      <c r="A5" s="525"/>
      <c r="M5" s="1254"/>
    </row>
    <row r="6" spans="1:13" ht="15.75" thickBot="1" x14ac:dyDescent="0.3">
      <c r="A6" s="526" t="s">
        <v>609</v>
      </c>
      <c r="B6" s="526"/>
      <c r="C6" s="526" t="s">
        <v>610</v>
      </c>
      <c r="E6" s="525" t="s">
        <v>611</v>
      </c>
      <c r="M6" s="1254"/>
    </row>
    <row r="7" spans="1:13" ht="15.75" thickBot="1" x14ac:dyDescent="0.3">
      <c r="A7" s="1283" t="s">
        <v>801</v>
      </c>
      <c r="B7" s="1187"/>
      <c r="C7" s="1284">
        <v>1</v>
      </c>
      <c r="E7" s="410" t="s">
        <v>610</v>
      </c>
      <c r="F7" s="527">
        <v>3</v>
      </c>
      <c r="M7" s="1254"/>
    </row>
    <row r="8" spans="1:13" ht="15" x14ac:dyDescent="0.25">
      <c r="A8" s="1285" t="s">
        <v>612</v>
      </c>
      <c r="C8" s="1286">
        <v>2</v>
      </c>
      <c r="E8" s="410" t="s">
        <v>520</v>
      </c>
      <c r="F8" s="429">
        <f>'3 way Model - TNE '!C367</f>
        <v>7.2737207125853667</v>
      </c>
      <c r="M8" s="1254"/>
    </row>
    <row r="9" spans="1:13" ht="15" x14ac:dyDescent="0.25">
      <c r="A9" s="1287" t="s">
        <v>613</v>
      </c>
      <c r="B9" s="585"/>
      <c r="C9" s="1288">
        <v>3</v>
      </c>
      <c r="M9" s="1254"/>
    </row>
    <row r="10" spans="1:13" ht="13.5" thickBot="1" x14ac:dyDescent="0.25">
      <c r="M10" s="1254"/>
    </row>
    <row r="11" spans="1:13" s="1253" customFormat="1" ht="18.75" thickBot="1" x14ac:dyDescent="0.25">
      <c r="A11" s="1245" t="s">
        <v>614</v>
      </c>
      <c r="B11" s="1251"/>
      <c r="C11" s="1252"/>
      <c r="D11" s="1252"/>
      <c r="E11" s="1252"/>
      <c r="F11" s="1252"/>
      <c r="G11" s="1252"/>
      <c r="H11" s="1252"/>
      <c r="I11" s="1252"/>
      <c r="J11" s="1252"/>
      <c r="K11" s="1252"/>
      <c r="L11" s="1252"/>
      <c r="M11" s="1255"/>
    </row>
    <row r="12" spans="1:13" x14ac:dyDescent="0.2">
      <c r="M12" s="1254"/>
    </row>
    <row r="13" spans="1:13" ht="16.5" x14ac:dyDescent="0.3">
      <c r="A13" s="412" t="s">
        <v>413</v>
      </c>
      <c r="B13" s="413"/>
      <c r="C13" s="413"/>
      <c r="D13" s="413"/>
      <c r="E13" s="413"/>
      <c r="F13" s="413"/>
      <c r="G13" s="413"/>
      <c r="H13" s="411"/>
      <c r="I13" s="411"/>
      <c r="J13" s="411"/>
      <c r="K13" s="411"/>
      <c r="L13" s="411"/>
      <c r="M13" s="927"/>
    </row>
    <row r="14" spans="1:13" ht="16.5" x14ac:dyDescent="0.3">
      <c r="A14" s="411" t="s">
        <v>596</v>
      </c>
      <c r="B14" s="411"/>
      <c r="C14" s="411"/>
      <c r="D14" s="411"/>
      <c r="E14" s="414"/>
      <c r="F14" s="414"/>
      <c r="G14" s="414"/>
      <c r="H14" s="415"/>
      <c r="I14" s="528">
        <f>CHOOSE($F$7,I67,I120,I173)</f>
        <v>0.1</v>
      </c>
      <c r="J14" s="528">
        <f t="shared" ref="I14:M23" si="1">CHOOSE($F$7,J67,J120,J173)</f>
        <v>0.1</v>
      </c>
      <c r="K14" s="528">
        <f t="shared" si="1"/>
        <v>0.1</v>
      </c>
      <c r="L14" s="528">
        <f t="shared" si="1"/>
        <v>0.1</v>
      </c>
      <c r="M14" s="1256">
        <f t="shared" si="1"/>
        <v>0.1</v>
      </c>
    </row>
    <row r="15" spans="1:13" ht="16.5" x14ac:dyDescent="0.3">
      <c r="A15" s="411" t="s">
        <v>597</v>
      </c>
      <c r="B15" s="411"/>
      <c r="C15" s="411"/>
      <c r="D15" s="414"/>
      <c r="E15" s="414"/>
      <c r="F15" s="414"/>
      <c r="G15" s="414"/>
      <c r="H15" s="414"/>
      <c r="I15" s="529">
        <f t="shared" si="1"/>
        <v>0</v>
      </c>
      <c r="J15" s="529">
        <f t="shared" si="1"/>
        <v>0</v>
      </c>
      <c r="K15" s="529">
        <f t="shared" si="1"/>
        <v>0</v>
      </c>
      <c r="L15" s="529">
        <f t="shared" si="1"/>
        <v>0</v>
      </c>
      <c r="M15" s="1257">
        <f t="shared" si="1"/>
        <v>0</v>
      </c>
    </row>
    <row r="16" spans="1:13" ht="16.5" x14ac:dyDescent="0.3">
      <c r="A16" s="411" t="s">
        <v>598</v>
      </c>
      <c r="B16" s="411"/>
      <c r="C16" s="411"/>
      <c r="D16" s="414"/>
      <c r="E16" s="414"/>
      <c r="F16" s="414"/>
      <c r="G16" s="414"/>
      <c r="H16" s="414"/>
      <c r="I16" s="529">
        <f t="shared" si="1"/>
        <v>9.0999999999999998E-2</v>
      </c>
      <c r="J16" s="529">
        <f t="shared" si="1"/>
        <v>9.0999999999999998E-2</v>
      </c>
      <c r="K16" s="529">
        <f t="shared" si="1"/>
        <v>9.0999999999999998E-2</v>
      </c>
      <c r="L16" s="529">
        <f t="shared" si="1"/>
        <v>9.0999999999999998E-2</v>
      </c>
      <c r="M16" s="1257">
        <f t="shared" si="1"/>
        <v>9.0999999999999998E-2</v>
      </c>
    </row>
    <row r="17" spans="1:13" ht="16.5" x14ac:dyDescent="0.3">
      <c r="A17" s="411" t="s">
        <v>599</v>
      </c>
      <c r="B17" s="411"/>
      <c r="C17" s="411"/>
      <c r="D17" s="414"/>
      <c r="E17" s="414"/>
      <c r="F17" s="414"/>
      <c r="G17" s="414"/>
      <c r="H17" s="414"/>
      <c r="I17" s="529">
        <f t="shared" si="1"/>
        <v>6.2E-2</v>
      </c>
      <c r="J17" s="529">
        <f t="shared" si="1"/>
        <v>6.2E-2</v>
      </c>
      <c r="K17" s="529">
        <f t="shared" si="1"/>
        <v>6.2E-2</v>
      </c>
      <c r="L17" s="529">
        <f t="shared" si="1"/>
        <v>6.2E-2</v>
      </c>
      <c r="M17" s="1257">
        <f t="shared" si="1"/>
        <v>6.2E-2</v>
      </c>
    </row>
    <row r="18" spans="1:13" ht="16.5" x14ac:dyDescent="0.3">
      <c r="A18" s="411" t="s">
        <v>601</v>
      </c>
      <c r="B18" s="411"/>
      <c r="C18" s="411"/>
      <c r="D18" s="417"/>
      <c r="E18" s="417"/>
      <c r="F18" s="417"/>
      <c r="G18" s="417"/>
      <c r="H18" s="417"/>
      <c r="I18" s="424">
        <f t="shared" si="1"/>
        <v>-4700</v>
      </c>
      <c r="J18" s="424">
        <f t="shared" si="1"/>
        <v>-4900</v>
      </c>
      <c r="K18" s="424">
        <f t="shared" si="1"/>
        <v>-5000</v>
      </c>
      <c r="L18" s="424">
        <f t="shared" si="1"/>
        <v>-5100</v>
      </c>
      <c r="M18" s="1258">
        <f t="shared" si="1"/>
        <v>-5259</v>
      </c>
    </row>
    <row r="19" spans="1:13" ht="16.5" x14ac:dyDescent="0.3">
      <c r="A19" s="411" t="s">
        <v>600</v>
      </c>
      <c r="B19" s="411"/>
      <c r="C19" s="411"/>
      <c r="D19" s="414"/>
      <c r="E19" s="414"/>
      <c r="F19" s="414"/>
      <c r="G19" s="414"/>
      <c r="H19" s="414"/>
      <c r="I19" s="529">
        <f t="shared" si="1"/>
        <v>6.0999999999999999E-2</v>
      </c>
      <c r="J19" s="529">
        <f t="shared" si="1"/>
        <v>6.0999999999999999E-2</v>
      </c>
      <c r="K19" s="529">
        <f t="shared" si="1"/>
        <v>6.0999999999999999E-2</v>
      </c>
      <c r="L19" s="529">
        <f t="shared" si="1"/>
        <v>6.0999999999999999E-2</v>
      </c>
      <c r="M19" s="1257">
        <f t="shared" si="1"/>
        <v>6.0999999999999999E-2</v>
      </c>
    </row>
    <row r="20" spans="1:13" ht="16.5" x14ac:dyDescent="0.3">
      <c r="A20" s="411" t="s">
        <v>595</v>
      </c>
      <c r="B20" s="411"/>
      <c r="C20" s="411"/>
      <c r="D20" s="414"/>
      <c r="E20" s="414"/>
      <c r="F20" s="414"/>
      <c r="G20" s="414"/>
      <c r="H20" s="414"/>
      <c r="I20" s="529">
        <f t="shared" si="1"/>
        <v>0</v>
      </c>
      <c r="J20" s="529">
        <f t="shared" si="1"/>
        <v>0</v>
      </c>
      <c r="K20" s="529">
        <f t="shared" si="1"/>
        <v>0</v>
      </c>
      <c r="L20" s="529">
        <f t="shared" si="1"/>
        <v>0</v>
      </c>
      <c r="M20" s="1257">
        <f t="shared" si="1"/>
        <v>0</v>
      </c>
    </row>
    <row r="21" spans="1:13" ht="16.5" x14ac:dyDescent="0.3">
      <c r="A21" s="411" t="s">
        <v>602</v>
      </c>
      <c r="B21" s="411"/>
      <c r="C21" s="411"/>
      <c r="D21" s="414"/>
      <c r="E21" s="414"/>
      <c r="F21" s="414"/>
      <c r="G21" s="414"/>
      <c r="H21" s="414"/>
      <c r="I21" s="529">
        <f t="shared" si="1"/>
        <v>3.6999999999999998E-2</v>
      </c>
      <c r="J21" s="529">
        <f t="shared" si="1"/>
        <v>3.6999999999999998E-2</v>
      </c>
      <c r="K21" s="529">
        <f t="shared" si="1"/>
        <v>3.6999999999999998E-2</v>
      </c>
      <c r="L21" s="529">
        <f t="shared" si="1"/>
        <v>3.6999999999999998E-2</v>
      </c>
      <c r="M21" s="1257">
        <f t="shared" si="1"/>
        <v>3.6999999999999998E-2</v>
      </c>
    </row>
    <row r="22" spans="1:13" ht="16.5" x14ac:dyDescent="0.3">
      <c r="A22" s="411" t="s">
        <v>603</v>
      </c>
      <c r="B22" s="411"/>
      <c r="C22" s="411"/>
      <c r="D22" s="417"/>
      <c r="E22" s="417"/>
      <c r="F22" s="417"/>
      <c r="G22" s="417"/>
      <c r="H22" s="417"/>
      <c r="I22" s="424">
        <f t="shared" si="1"/>
        <v>1.7999999999999999E-2</v>
      </c>
      <c r="J22" s="424">
        <f t="shared" si="1"/>
        <v>1.7999999999999999E-2</v>
      </c>
      <c r="K22" s="424">
        <f t="shared" si="1"/>
        <v>1.7999999999999999E-2</v>
      </c>
      <c r="L22" s="424">
        <f t="shared" si="1"/>
        <v>1.7999999999999999E-2</v>
      </c>
      <c r="M22" s="1258">
        <f t="shared" si="1"/>
        <v>1.7999999999999999E-2</v>
      </c>
    </row>
    <row r="23" spans="1:13" ht="16.5" x14ac:dyDescent="0.3">
      <c r="A23" s="411" t="s">
        <v>604</v>
      </c>
      <c r="B23" s="411"/>
      <c r="C23" s="411"/>
      <c r="D23" s="417"/>
      <c r="E23" s="417"/>
      <c r="F23" s="417"/>
      <c r="G23" s="417"/>
      <c r="H23" s="417"/>
      <c r="I23" s="424">
        <f t="shared" si="1"/>
        <v>0.48699999999999999</v>
      </c>
      <c r="J23" s="424">
        <f t="shared" si="1"/>
        <v>0.48699999999999999</v>
      </c>
      <c r="K23" s="424">
        <f t="shared" si="1"/>
        <v>0.48699999999999999</v>
      </c>
      <c r="L23" s="424">
        <f t="shared" si="1"/>
        <v>0.48699999999999999</v>
      </c>
      <c r="M23" s="1258">
        <f t="shared" si="1"/>
        <v>0.48699999999999999</v>
      </c>
    </row>
    <row r="24" spans="1:13" ht="16.5" x14ac:dyDescent="0.3">
      <c r="A24" s="411" t="s">
        <v>605</v>
      </c>
      <c r="B24" s="411"/>
      <c r="C24" s="411"/>
      <c r="D24" s="414"/>
      <c r="E24" s="414"/>
      <c r="F24" s="414"/>
      <c r="G24" s="414"/>
      <c r="H24" s="414"/>
      <c r="I24" s="529">
        <f t="shared" ref="I24:M29" si="2">CHOOSE($F$7,I77,I130,I183)</f>
        <v>7.0000000000000001E-3</v>
      </c>
      <c r="J24" s="529">
        <f t="shared" si="2"/>
        <v>7.0000000000000001E-3</v>
      </c>
      <c r="K24" s="529">
        <f t="shared" si="2"/>
        <v>7.0000000000000001E-3</v>
      </c>
      <c r="L24" s="529">
        <f t="shared" si="2"/>
        <v>7.0000000000000001E-3</v>
      </c>
      <c r="M24" s="1257">
        <f t="shared" si="2"/>
        <v>7.0000000000000001E-3</v>
      </c>
    </row>
    <row r="25" spans="1:13" ht="16.5" x14ac:dyDescent="0.3">
      <c r="A25" s="411" t="s">
        <v>606</v>
      </c>
      <c r="B25" s="411"/>
      <c r="C25" s="411"/>
      <c r="D25" s="414"/>
      <c r="E25" s="414"/>
      <c r="F25" s="414"/>
      <c r="G25" s="414"/>
      <c r="H25" s="414"/>
      <c r="I25" s="529">
        <f t="shared" si="2"/>
        <v>1E-3</v>
      </c>
      <c r="J25" s="529">
        <f t="shared" si="2"/>
        <v>1E-3</v>
      </c>
      <c r="K25" s="529">
        <f t="shared" si="2"/>
        <v>1E-3</v>
      </c>
      <c r="L25" s="529">
        <f t="shared" si="2"/>
        <v>1E-3</v>
      </c>
      <c r="M25" s="1257">
        <f t="shared" si="2"/>
        <v>1E-3</v>
      </c>
    </row>
    <row r="26" spans="1:13" ht="16.5" x14ac:dyDescent="0.3">
      <c r="A26" s="411" t="s">
        <v>414</v>
      </c>
      <c r="B26" s="411"/>
      <c r="C26" s="411"/>
      <c r="D26" s="414"/>
      <c r="E26" s="414"/>
      <c r="F26" s="414"/>
      <c r="G26" s="414"/>
      <c r="H26" s="414"/>
      <c r="I26" s="529">
        <f t="shared" si="2"/>
        <v>0.23899999999999999</v>
      </c>
      <c r="J26" s="529">
        <f t="shared" si="2"/>
        <v>0.23899999999999999</v>
      </c>
      <c r="K26" s="529">
        <f t="shared" si="2"/>
        <v>0.23899999999999999</v>
      </c>
      <c r="L26" s="529">
        <f t="shared" si="2"/>
        <v>0.23899999999999999</v>
      </c>
      <c r="M26" s="1257">
        <f t="shared" si="2"/>
        <v>0.23899999999999999</v>
      </c>
    </row>
    <row r="27" spans="1:13" ht="16.5" x14ac:dyDescent="0.3">
      <c r="A27" s="411" t="s">
        <v>415</v>
      </c>
      <c r="B27" s="411"/>
      <c r="C27" s="411"/>
      <c r="D27" s="414"/>
      <c r="E27" s="414"/>
      <c r="F27" s="414"/>
      <c r="G27" s="414"/>
      <c r="H27" s="414"/>
      <c r="I27" s="529">
        <f t="shared" si="2"/>
        <v>0.60799999999999998</v>
      </c>
      <c r="J27" s="529">
        <f t="shared" si="2"/>
        <v>0.60799999999999998</v>
      </c>
      <c r="K27" s="529">
        <f t="shared" si="2"/>
        <v>0.60799999999999998</v>
      </c>
      <c r="L27" s="529">
        <f t="shared" si="2"/>
        <v>0.60799999999999998</v>
      </c>
      <c r="M27" s="1257">
        <f t="shared" si="2"/>
        <v>0.60799999999999998</v>
      </c>
    </row>
    <row r="28" spans="1:13" ht="16.5" x14ac:dyDescent="0.3">
      <c r="A28" s="411" t="s">
        <v>416</v>
      </c>
      <c r="B28" s="411"/>
      <c r="C28" s="411"/>
      <c r="D28" s="414"/>
      <c r="E28" s="414"/>
      <c r="F28" s="414"/>
      <c r="G28" s="414"/>
      <c r="H28" s="414"/>
      <c r="I28" s="424">
        <f t="shared" si="2"/>
        <v>0</v>
      </c>
      <c r="J28" s="424">
        <f t="shared" si="2"/>
        <v>0</v>
      </c>
      <c r="K28" s="424">
        <f t="shared" si="2"/>
        <v>0</v>
      </c>
      <c r="L28" s="424">
        <f t="shared" si="2"/>
        <v>0</v>
      </c>
      <c r="M28" s="1258">
        <f t="shared" si="2"/>
        <v>0</v>
      </c>
    </row>
    <row r="29" spans="1:13" ht="16.5" x14ac:dyDescent="0.3">
      <c r="A29" s="411" t="s">
        <v>417</v>
      </c>
      <c r="B29" s="411"/>
      <c r="C29" s="411"/>
      <c r="D29" s="414"/>
      <c r="E29" s="414"/>
      <c r="F29" s="414"/>
      <c r="G29" s="414"/>
      <c r="H29" s="414"/>
      <c r="I29" s="529">
        <f t="shared" si="2"/>
        <v>7.0000000000000001E-3</v>
      </c>
      <c r="J29" s="529">
        <f t="shared" si="2"/>
        <v>7.0000000000000001E-3</v>
      </c>
      <c r="K29" s="529">
        <f t="shared" si="2"/>
        <v>7.0000000000000001E-3</v>
      </c>
      <c r="L29" s="529">
        <f t="shared" si="2"/>
        <v>7.0000000000000001E-3</v>
      </c>
      <c r="M29" s="1257">
        <f t="shared" si="2"/>
        <v>7.0000000000000001E-3</v>
      </c>
    </row>
    <row r="30" spans="1:13" ht="16.5" x14ac:dyDescent="0.3">
      <c r="A30" s="411"/>
      <c r="B30" s="411"/>
      <c r="C30" s="411"/>
      <c r="D30" s="411"/>
      <c r="E30" s="411"/>
      <c r="F30" s="411"/>
      <c r="G30" s="411"/>
      <c r="H30" s="411"/>
      <c r="I30" s="420"/>
      <c r="J30" s="420"/>
      <c r="K30" s="420"/>
      <c r="L30" s="420"/>
      <c r="M30" s="1259"/>
    </row>
    <row r="31" spans="1:13" ht="16.5" x14ac:dyDescent="0.3">
      <c r="A31" s="412" t="s">
        <v>418</v>
      </c>
      <c r="B31" s="413"/>
      <c r="C31" s="413"/>
      <c r="D31" s="413"/>
      <c r="E31" s="413"/>
      <c r="F31" s="419"/>
      <c r="G31" s="419"/>
      <c r="H31" s="420"/>
      <c r="I31" s="420"/>
      <c r="J31" s="420"/>
      <c r="K31" s="420"/>
      <c r="L31" s="420"/>
      <c r="M31" s="1259"/>
    </row>
    <row r="32" spans="1:13" ht="16.5" x14ac:dyDescent="0.3">
      <c r="A32" s="421" t="s">
        <v>624</v>
      </c>
      <c r="B32" s="411"/>
      <c r="C32" s="411"/>
      <c r="D32" s="411"/>
      <c r="E32" s="411"/>
      <c r="F32" s="420"/>
      <c r="G32" s="420"/>
      <c r="H32" s="422"/>
      <c r="I32" s="422"/>
      <c r="J32" s="422"/>
      <c r="K32" s="422"/>
      <c r="L32" s="422"/>
      <c r="M32" s="1260"/>
    </row>
    <row r="33" spans="1:13" ht="16.5" x14ac:dyDescent="0.3">
      <c r="A33" s="411" t="s">
        <v>446</v>
      </c>
      <c r="B33" s="411"/>
      <c r="C33" s="411"/>
      <c r="D33" s="411"/>
      <c r="E33" s="411"/>
      <c r="F33" s="420"/>
      <c r="G33" s="420"/>
      <c r="H33" s="420"/>
      <c r="I33" s="529">
        <f t="shared" ref="I33:I40" si="3">CHOOSE($F$7,I86,I139,I192)</f>
        <v>0</v>
      </c>
      <c r="J33" s="529">
        <f t="shared" ref="J33:M40" si="4">CHOOSE($F$7,J86,J139,J192)</f>
        <v>0</v>
      </c>
      <c r="K33" s="529">
        <f t="shared" si="4"/>
        <v>0</v>
      </c>
      <c r="L33" s="529">
        <f t="shared" si="4"/>
        <v>0</v>
      </c>
      <c r="M33" s="1257">
        <f t="shared" si="4"/>
        <v>0</v>
      </c>
    </row>
    <row r="34" spans="1:13" ht="16.5" x14ac:dyDescent="0.3">
      <c r="A34" s="411" t="s">
        <v>618</v>
      </c>
      <c r="B34" s="411"/>
      <c r="C34" s="411"/>
      <c r="D34" s="414"/>
      <c r="E34" s="414"/>
      <c r="F34" s="414"/>
      <c r="G34" s="414"/>
      <c r="H34" s="414"/>
      <c r="I34" s="529">
        <f t="shared" si="3"/>
        <v>3.2000000000000001E-2</v>
      </c>
      <c r="J34" s="529">
        <f>CHOOSE($F$7,J87,J140,J193)</f>
        <v>3.2000000000000001E-2</v>
      </c>
      <c r="K34" s="529">
        <f>CHOOSE($F$7,K87,K140,K193)</f>
        <v>3.2000000000000001E-2</v>
      </c>
      <c r="L34" s="529">
        <f>CHOOSE($F$7,L87,L140,L193)</f>
        <v>3.2000000000000001E-2</v>
      </c>
      <c r="M34" s="1257">
        <f>CHOOSE($F$7,M87,M140,M193)</f>
        <v>3.2000000000000001E-2</v>
      </c>
    </row>
    <row r="35" spans="1:13" ht="16.5" x14ac:dyDescent="0.3">
      <c r="A35" s="411" t="s">
        <v>419</v>
      </c>
      <c r="B35" s="411"/>
      <c r="C35" s="411"/>
      <c r="D35" s="414"/>
      <c r="E35" s="414"/>
      <c r="F35" s="414"/>
      <c r="G35" s="414"/>
      <c r="H35" s="414"/>
      <c r="I35" s="529">
        <f t="shared" si="3"/>
        <v>0.14899999999999999</v>
      </c>
      <c r="J35" s="529">
        <f t="shared" ref="J35:M36" si="5">CHOOSE($F$7,J88,J141,J194)</f>
        <v>0.14899999999999999</v>
      </c>
      <c r="K35" s="529">
        <f t="shared" si="5"/>
        <v>0.14899999999999999</v>
      </c>
      <c r="L35" s="529">
        <f t="shared" si="5"/>
        <v>0.14899999999999999</v>
      </c>
      <c r="M35" s="1257">
        <f t="shared" si="5"/>
        <v>0.14899999999999999</v>
      </c>
    </row>
    <row r="36" spans="1:13" ht="16.5" x14ac:dyDescent="0.3">
      <c r="A36" s="411" t="s">
        <v>619</v>
      </c>
      <c r="B36" s="411"/>
      <c r="C36" s="411"/>
      <c r="D36" s="414"/>
      <c r="E36" s="414"/>
      <c r="F36" s="414"/>
      <c r="G36" s="414"/>
      <c r="H36" s="414"/>
      <c r="I36" s="529">
        <f t="shared" si="3"/>
        <v>0</v>
      </c>
      <c r="J36" s="529">
        <f t="shared" si="5"/>
        <v>0</v>
      </c>
      <c r="K36" s="529">
        <f t="shared" si="5"/>
        <v>0</v>
      </c>
      <c r="L36" s="529">
        <f t="shared" si="5"/>
        <v>0</v>
      </c>
      <c r="M36" s="1257">
        <f t="shared" si="5"/>
        <v>0</v>
      </c>
    </row>
    <row r="37" spans="1:13" ht="16.5" x14ac:dyDescent="0.3">
      <c r="A37" s="411" t="s">
        <v>588</v>
      </c>
      <c r="B37" s="411"/>
      <c r="C37" s="411"/>
      <c r="D37" s="411"/>
      <c r="E37" s="411"/>
      <c r="F37" s="420"/>
      <c r="G37" s="420"/>
      <c r="H37" s="420"/>
      <c r="I37" s="534">
        <f>CHOOSE($F$7,I90,I143,I196)</f>
        <v>20051</v>
      </c>
      <c r="J37" s="534">
        <f t="shared" si="4"/>
        <v>20051</v>
      </c>
      <c r="K37" s="534">
        <f t="shared" si="4"/>
        <v>20051</v>
      </c>
      <c r="L37" s="534">
        <f t="shared" si="4"/>
        <v>20051</v>
      </c>
      <c r="M37" s="1261">
        <f t="shared" si="4"/>
        <v>20051</v>
      </c>
    </row>
    <row r="38" spans="1:13" ht="16.5" x14ac:dyDescent="0.3">
      <c r="A38" s="411" t="s">
        <v>447</v>
      </c>
      <c r="B38" s="411"/>
      <c r="C38" s="411"/>
      <c r="D38" s="417"/>
      <c r="E38" s="417"/>
      <c r="F38" s="417"/>
      <c r="G38" s="417"/>
      <c r="H38" s="417"/>
      <c r="I38" s="534">
        <f t="shared" si="3"/>
        <v>397</v>
      </c>
      <c r="J38" s="534">
        <f t="shared" si="4"/>
        <v>397</v>
      </c>
      <c r="K38" s="534">
        <f t="shared" si="4"/>
        <v>397</v>
      </c>
      <c r="L38" s="534">
        <f t="shared" si="4"/>
        <v>397</v>
      </c>
      <c r="M38" s="1261">
        <f t="shared" si="4"/>
        <v>397</v>
      </c>
    </row>
    <row r="39" spans="1:13" ht="16.5" x14ac:dyDescent="0.3">
      <c r="A39" s="411" t="s">
        <v>587</v>
      </c>
      <c r="B39" s="411"/>
      <c r="C39" s="411"/>
      <c r="D39" s="417"/>
      <c r="E39" s="417"/>
      <c r="F39" s="417"/>
      <c r="G39" s="417"/>
      <c r="H39" s="417"/>
      <c r="I39" s="534">
        <f t="shared" si="3"/>
        <v>9077</v>
      </c>
      <c r="J39" s="534">
        <f t="shared" si="4"/>
        <v>9077</v>
      </c>
      <c r="K39" s="534">
        <f t="shared" si="4"/>
        <v>9077</v>
      </c>
      <c r="L39" s="534">
        <f t="shared" si="4"/>
        <v>9077</v>
      </c>
      <c r="M39" s="1261">
        <f t="shared" si="4"/>
        <v>9077</v>
      </c>
    </row>
    <row r="40" spans="1:13" ht="16.5" x14ac:dyDescent="0.3">
      <c r="A40" s="411" t="s">
        <v>586</v>
      </c>
      <c r="B40" s="411"/>
      <c r="C40" s="411"/>
      <c r="D40" s="417"/>
      <c r="E40" s="417"/>
      <c r="F40" s="417"/>
      <c r="G40" s="417"/>
      <c r="H40" s="417"/>
      <c r="I40" s="639">
        <f t="shared" si="3"/>
        <v>0.29599999999999999</v>
      </c>
      <c r="J40" s="639">
        <f t="shared" si="4"/>
        <v>0.29599999999999999</v>
      </c>
      <c r="K40" s="639">
        <f t="shared" si="4"/>
        <v>0.29599999999999999</v>
      </c>
      <c r="L40" s="639">
        <f t="shared" si="4"/>
        <v>0.29599999999999999</v>
      </c>
      <c r="M40" s="1262">
        <f t="shared" si="4"/>
        <v>0.29599999999999999</v>
      </c>
    </row>
    <row r="41" spans="1:13" ht="16.5" x14ac:dyDescent="0.3">
      <c r="A41" s="421" t="s">
        <v>625</v>
      </c>
      <c r="B41" s="411"/>
      <c r="C41" s="411"/>
      <c r="D41" s="417"/>
      <c r="E41" s="417"/>
      <c r="F41" s="417"/>
      <c r="G41" s="417"/>
      <c r="H41" s="417"/>
      <c r="I41" s="529"/>
      <c r="J41" s="529"/>
      <c r="K41" s="529"/>
      <c r="L41" s="529"/>
      <c r="M41" s="1257"/>
    </row>
    <row r="42" spans="1:13" ht="16.5" x14ac:dyDescent="0.3">
      <c r="A42" s="411" t="s">
        <v>619</v>
      </c>
      <c r="B42" s="411"/>
      <c r="C42" s="411"/>
      <c r="D42" s="411"/>
      <c r="E42" s="411"/>
      <c r="F42" s="420"/>
      <c r="G42" s="420"/>
      <c r="H42" s="420"/>
      <c r="I42" s="529" t="str">
        <f t="shared" ref="I42:M45" si="6">CHOOSE($F$7,I95,I148,I201)</f>
        <v>-</v>
      </c>
      <c r="J42" s="529" t="str">
        <f t="shared" si="6"/>
        <v>-</v>
      </c>
      <c r="K42" s="529" t="str">
        <f t="shared" si="6"/>
        <v>-</v>
      </c>
      <c r="L42" s="529" t="str">
        <f t="shared" si="6"/>
        <v>-</v>
      </c>
      <c r="M42" s="1257" t="str">
        <f t="shared" si="6"/>
        <v>-</v>
      </c>
    </row>
    <row r="43" spans="1:13" ht="16.5" x14ac:dyDescent="0.3">
      <c r="A43" s="411" t="s">
        <v>588</v>
      </c>
      <c r="B43" s="411"/>
      <c r="C43" s="411"/>
      <c r="D43" s="411"/>
      <c r="E43" s="411"/>
      <c r="F43" s="420"/>
      <c r="G43" s="420"/>
      <c r="H43" s="424"/>
      <c r="I43" s="529" t="str">
        <f t="shared" si="6"/>
        <v>-</v>
      </c>
      <c r="J43" s="529" t="str">
        <f t="shared" si="6"/>
        <v>-</v>
      </c>
      <c r="K43" s="529" t="str">
        <f t="shared" si="6"/>
        <v>-</v>
      </c>
      <c r="L43" s="529" t="str">
        <f t="shared" si="6"/>
        <v>-</v>
      </c>
      <c r="M43" s="1257" t="str">
        <f t="shared" si="6"/>
        <v>-</v>
      </c>
    </row>
    <row r="44" spans="1:13" ht="16.5" x14ac:dyDescent="0.3">
      <c r="A44" s="411" t="s">
        <v>620</v>
      </c>
      <c r="B44" s="411"/>
      <c r="C44" s="411"/>
      <c r="D44" s="411"/>
      <c r="E44" s="411"/>
      <c r="F44" s="420"/>
      <c r="G44" s="420"/>
      <c r="H44" s="424"/>
      <c r="I44" s="534">
        <f t="shared" si="6"/>
        <v>28605</v>
      </c>
      <c r="J44" s="534">
        <f t="shared" si="6"/>
        <v>28605</v>
      </c>
      <c r="K44" s="534">
        <f t="shared" si="6"/>
        <v>28605</v>
      </c>
      <c r="L44" s="534">
        <f t="shared" si="6"/>
        <v>28605</v>
      </c>
      <c r="M44" s="1261">
        <f t="shared" si="6"/>
        <v>28605</v>
      </c>
    </row>
    <row r="45" spans="1:13" ht="16.5" x14ac:dyDescent="0.3">
      <c r="A45" s="411" t="s">
        <v>586</v>
      </c>
      <c r="B45" s="411"/>
      <c r="C45" s="411"/>
      <c r="D45" s="411"/>
      <c r="E45" s="411"/>
      <c r="F45" s="420"/>
      <c r="G45" s="420"/>
      <c r="H45" s="425"/>
      <c r="I45" s="425">
        <f t="shared" si="6"/>
        <v>0.72399999999999998</v>
      </c>
      <c r="J45" s="425">
        <f t="shared" si="6"/>
        <v>0.72399999999999998</v>
      </c>
      <c r="K45" s="425">
        <f t="shared" si="6"/>
        <v>0.72399999999999998</v>
      </c>
      <c r="L45" s="425">
        <f t="shared" si="6"/>
        <v>0.72399999999999998</v>
      </c>
      <c r="M45" s="1263">
        <f t="shared" si="6"/>
        <v>0.72399999999999998</v>
      </c>
    </row>
    <row r="46" spans="1:13" ht="16.5" x14ac:dyDescent="0.3">
      <c r="A46" s="421" t="s">
        <v>626</v>
      </c>
      <c r="B46" s="411"/>
      <c r="C46" s="411"/>
      <c r="D46" s="411"/>
      <c r="E46" s="411"/>
      <c r="F46" s="420"/>
      <c r="G46" s="420"/>
      <c r="H46" s="425"/>
      <c r="I46" s="529"/>
      <c r="J46" s="529"/>
      <c r="K46" s="529"/>
      <c r="L46" s="529"/>
      <c r="M46" s="1257"/>
    </row>
    <row r="47" spans="1:13" ht="16.5" x14ac:dyDescent="0.3">
      <c r="A47" s="411" t="s">
        <v>426</v>
      </c>
      <c r="B47" s="411"/>
      <c r="C47" s="411"/>
      <c r="D47" s="414"/>
      <c r="E47" s="414"/>
      <c r="F47" s="414"/>
      <c r="G47" s="414"/>
      <c r="H47" s="414"/>
      <c r="I47" s="529">
        <f t="shared" ref="I47:M51" si="7">CHOOSE($F$7,I100,I153,I206)</f>
        <v>0.14000000000000001</v>
      </c>
      <c r="J47" s="529">
        <f t="shared" si="7"/>
        <v>0.14000000000000001</v>
      </c>
      <c r="K47" s="529">
        <f t="shared" si="7"/>
        <v>0.14000000000000001</v>
      </c>
      <c r="L47" s="529">
        <f t="shared" si="7"/>
        <v>0.14000000000000001</v>
      </c>
      <c r="M47" s="1257">
        <f t="shared" si="7"/>
        <v>0.14000000000000001</v>
      </c>
    </row>
    <row r="48" spans="1:13" ht="16.5" x14ac:dyDescent="0.3">
      <c r="A48" s="411" t="s">
        <v>428</v>
      </c>
      <c r="B48" s="411"/>
      <c r="C48" s="411"/>
      <c r="D48" s="417"/>
      <c r="E48" s="417"/>
      <c r="F48" s="417"/>
      <c r="G48" s="417"/>
      <c r="H48" s="417"/>
      <c r="I48" s="529">
        <f t="shared" si="7"/>
        <v>0.104</v>
      </c>
      <c r="J48" s="529">
        <f t="shared" si="7"/>
        <v>0.104</v>
      </c>
      <c r="K48" s="529">
        <f t="shared" si="7"/>
        <v>0.104</v>
      </c>
      <c r="L48" s="529">
        <f t="shared" si="7"/>
        <v>0.104</v>
      </c>
      <c r="M48" s="1257">
        <f t="shared" si="7"/>
        <v>0.104</v>
      </c>
    </row>
    <row r="49" spans="1:13" ht="16.5" x14ac:dyDescent="0.3">
      <c r="A49" s="411" t="s">
        <v>591</v>
      </c>
      <c r="B49" s="411"/>
      <c r="C49" s="411"/>
      <c r="D49" s="414"/>
      <c r="E49" s="414"/>
      <c r="F49" s="414"/>
      <c r="G49" s="414"/>
      <c r="H49" s="414"/>
      <c r="I49" s="529">
        <f t="shared" si="7"/>
        <v>0.40100000000000002</v>
      </c>
      <c r="J49" s="529">
        <f t="shared" si="7"/>
        <v>0.42099999999999999</v>
      </c>
      <c r="K49" s="529">
        <f t="shared" si="7"/>
        <v>0.441</v>
      </c>
      <c r="L49" s="529">
        <f t="shared" si="7"/>
        <v>0.45100000000000001</v>
      </c>
      <c r="M49" s="1257">
        <f t="shared" si="7"/>
        <v>0.45100000000000001</v>
      </c>
    </row>
    <row r="50" spans="1:13" ht="16.5" x14ac:dyDescent="0.3">
      <c r="A50" s="411" t="s">
        <v>621</v>
      </c>
      <c r="B50" s="411"/>
      <c r="C50" s="411"/>
      <c r="D50" s="414"/>
      <c r="E50" s="414"/>
      <c r="F50" s="414"/>
      <c r="G50" s="414"/>
      <c r="H50" s="414"/>
      <c r="I50" s="529">
        <f t="shared" si="7"/>
        <v>0</v>
      </c>
      <c r="J50" s="529">
        <f t="shared" si="7"/>
        <v>0</v>
      </c>
      <c r="K50" s="529">
        <f t="shared" si="7"/>
        <v>0</v>
      </c>
      <c r="L50" s="529">
        <f t="shared" si="7"/>
        <v>0</v>
      </c>
      <c r="M50" s="1257">
        <f t="shared" si="7"/>
        <v>0</v>
      </c>
    </row>
    <row r="51" spans="1:13" ht="16.5" x14ac:dyDescent="0.3">
      <c r="A51" s="411" t="s">
        <v>622</v>
      </c>
      <c r="B51" s="411"/>
      <c r="C51" s="411"/>
      <c r="D51" s="417"/>
      <c r="E51" s="417"/>
      <c r="F51" s="417"/>
      <c r="G51" s="417"/>
      <c r="H51" s="417"/>
      <c r="I51" s="529">
        <f t="shared" si="7"/>
        <v>0</v>
      </c>
      <c r="J51" s="529">
        <f t="shared" si="7"/>
        <v>0</v>
      </c>
      <c r="K51" s="529">
        <f t="shared" si="7"/>
        <v>0</v>
      </c>
      <c r="L51" s="529">
        <f t="shared" si="7"/>
        <v>0</v>
      </c>
      <c r="M51" s="1257">
        <f t="shared" si="7"/>
        <v>0</v>
      </c>
    </row>
    <row r="52" spans="1:13" ht="16.5" x14ac:dyDescent="0.3">
      <c r="A52" s="411" t="s">
        <v>427</v>
      </c>
      <c r="B52" s="411"/>
      <c r="C52" s="411"/>
      <c r="D52" s="417"/>
      <c r="E52" s="417"/>
      <c r="F52" s="417"/>
      <c r="G52" s="417"/>
      <c r="H52" s="417"/>
      <c r="I52" s="529">
        <f>CHOOSE($F$7,I105,I163,I216)</f>
        <v>0</v>
      </c>
      <c r="J52" s="529">
        <f>CHOOSE($F$7,J105,J163,J216)</f>
        <v>0</v>
      </c>
      <c r="K52" s="529">
        <f>CHOOSE($F$7,K105,K163,K216)</f>
        <v>0</v>
      </c>
      <c r="L52" s="529">
        <f>CHOOSE($F$7,L105,L163,L216)</f>
        <v>0</v>
      </c>
      <c r="M52" s="1257">
        <f>CHOOSE($F$7,M105,M163,M216)</f>
        <v>0</v>
      </c>
    </row>
    <row r="53" spans="1:13" ht="16.5" x14ac:dyDescent="0.3">
      <c r="A53" s="411" t="s">
        <v>631</v>
      </c>
      <c r="B53" s="411"/>
      <c r="C53" s="411"/>
      <c r="D53" s="417"/>
      <c r="E53" s="417"/>
      <c r="F53" s="417"/>
      <c r="G53" s="417"/>
      <c r="H53" s="417"/>
      <c r="I53" s="529">
        <f>CHOOSE($F$7,I106,I159,I212)</f>
        <v>7.2999999999999995E-2</v>
      </c>
      <c r="J53" s="529">
        <f>CHOOSE($F$7,J106,J159,J212)</f>
        <v>7.2999999999999995E-2</v>
      </c>
      <c r="K53" s="529">
        <f>CHOOSE($F$7,K106,K159,K212)</f>
        <v>7.2999999999999995E-2</v>
      </c>
      <c r="L53" s="529">
        <f>CHOOSE($F$7,L106,L159,L212)</f>
        <v>7.2999999999999995E-2</v>
      </c>
      <c r="M53" s="1257">
        <f>CHOOSE($F$7,M106,M159,M212)</f>
        <v>7.2999999999999995E-2</v>
      </c>
    </row>
    <row r="54" spans="1:13" ht="16.5" x14ac:dyDescent="0.3">
      <c r="A54" s="421" t="s">
        <v>627</v>
      </c>
      <c r="B54" s="411"/>
      <c r="C54" s="411"/>
      <c r="D54" s="417"/>
      <c r="E54" s="417"/>
      <c r="F54" s="417"/>
      <c r="G54" s="417"/>
      <c r="H54" s="417"/>
      <c r="I54" s="529"/>
      <c r="J54" s="529"/>
      <c r="K54" s="529"/>
      <c r="L54" s="529"/>
      <c r="M54" s="1257"/>
    </row>
    <row r="55" spans="1:13" ht="16.5" x14ac:dyDescent="0.3">
      <c r="A55" s="411" t="s">
        <v>426</v>
      </c>
      <c r="B55" s="411"/>
      <c r="C55" s="411"/>
      <c r="D55" s="417"/>
      <c r="E55" s="417"/>
      <c r="F55" s="417"/>
      <c r="G55" s="417"/>
      <c r="H55" s="417"/>
      <c r="I55" s="529">
        <f t="shared" ref="I55:M59" si="8">CHOOSE($F$7,I108,I161,I214)</f>
        <v>0</v>
      </c>
      <c r="J55" s="529">
        <f t="shared" si="8"/>
        <v>0</v>
      </c>
      <c r="K55" s="529">
        <f t="shared" si="8"/>
        <v>0</v>
      </c>
      <c r="L55" s="529">
        <f t="shared" si="8"/>
        <v>0</v>
      </c>
      <c r="M55" s="1257">
        <f t="shared" si="8"/>
        <v>0</v>
      </c>
    </row>
    <row r="56" spans="1:13" ht="16.5" x14ac:dyDescent="0.3">
      <c r="A56" s="411" t="s">
        <v>428</v>
      </c>
      <c r="B56" s="411"/>
      <c r="C56" s="411"/>
      <c r="D56" s="417"/>
      <c r="E56" s="417"/>
      <c r="F56" s="417"/>
      <c r="G56" s="417"/>
      <c r="H56" s="417"/>
      <c r="I56" s="529">
        <f t="shared" si="8"/>
        <v>0.03</v>
      </c>
      <c r="J56" s="529">
        <f t="shared" si="8"/>
        <v>0.03</v>
      </c>
      <c r="K56" s="529">
        <f t="shared" si="8"/>
        <v>0.03</v>
      </c>
      <c r="L56" s="529">
        <f t="shared" si="8"/>
        <v>0.03</v>
      </c>
      <c r="M56" s="1257">
        <f t="shared" si="8"/>
        <v>0.03</v>
      </c>
    </row>
    <row r="57" spans="1:13" ht="16.5" x14ac:dyDescent="0.3">
      <c r="A57" s="411" t="s">
        <v>427</v>
      </c>
      <c r="B57" s="411"/>
      <c r="C57" s="411"/>
      <c r="D57" s="417"/>
      <c r="E57" s="417"/>
      <c r="F57" s="417"/>
      <c r="G57" s="417"/>
      <c r="H57" s="417"/>
      <c r="I57" s="529">
        <f t="shared" si="8"/>
        <v>0</v>
      </c>
      <c r="J57" s="529">
        <f t="shared" si="8"/>
        <v>0</v>
      </c>
      <c r="K57" s="529">
        <f t="shared" si="8"/>
        <v>0</v>
      </c>
      <c r="L57" s="529">
        <f t="shared" si="8"/>
        <v>0</v>
      </c>
      <c r="M57" s="1257">
        <f t="shared" si="8"/>
        <v>0</v>
      </c>
    </row>
    <row r="58" spans="1:13" ht="16.5" x14ac:dyDescent="0.3">
      <c r="A58" s="411" t="s">
        <v>623</v>
      </c>
      <c r="B58" s="411"/>
      <c r="C58" s="411"/>
      <c r="D58" s="417"/>
      <c r="E58" s="417"/>
      <c r="F58" s="426"/>
      <c r="G58" s="417"/>
      <c r="H58" s="426"/>
      <c r="I58" s="638">
        <f t="shared" si="8"/>
        <v>147</v>
      </c>
      <c r="J58" s="638">
        <f t="shared" si="8"/>
        <v>147</v>
      </c>
      <c r="K58" s="638">
        <f t="shared" si="8"/>
        <v>147</v>
      </c>
      <c r="L58" s="638">
        <f t="shared" si="8"/>
        <v>147</v>
      </c>
      <c r="M58" s="1264">
        <f t="shared" si="8"/>
        <v>147</v>
      </c>
    </row>
    <row r="59" spans="1:13" ht="17.45" customHeight="1" x14ac:dyDescent="0.3">
      <c r="A59" s="411" t="s">
        <v>631</v>
      </c>
      <c r="B59" s="411"/>
      <c r="C59" s="411"/>
      <c r="D59" s="414"/>
      <c r="E59" s="414"/>
      <c r="F59" s="414"/>
      <c r="G59" s="414"/>
      <c r="H59" s="414"/>
      <c r="I59" s="529">
        <f t="shared" si="8"/>
        <v>0.92700000000000005</v>
      </c>
      <c r="J59" s="529">
        <f t="shared" si="8"/>
        <v>0.92700000000000005</v>
      </c>
      <c r="K59" s="529">
        <f t="shared" si="8"/>
        <v>0.92700000000000005</v>
      </c>
      <c r="L59" s="529">
        <f t="shared" si="8"/>
        <v>0.92700000000000005</v>
      </c>
      <c r="M59" s="1257">
        <f t="shared" si="8"/>
        <v>0.92700000000000005</v>
      </c>
    </row>
    <row r="60" spans="1:13" ht="16.5" x14ac:dyDescent="0.3">
      <c r="A60" s="421" t="s">
        <v>429</v>
      </c>
      <c r="B60" s="411"/>
      <c r="C60" s="411"/>
      <c r="D60" s="426"/>
      <c r="E60" s="426"/>
      <c r="F60" s="426"/>
      <c r="G60" s="426"/>
      <c r="H60" s="426"/>
      <c r="I60" s="529"/>
      <c r="J60" s="529"/>
      <c r="K60" s="529"/>
      <c r="L60" s="529"/>
      <c r="M60" s="1257"/>
    </row>
    <row r="61" spans="1:13" ht="16.5" x14ac:dyDescent="0.3">
      <c r="A61" s="427" t="s">
        <v>430</v>
      </c>
      <c r="B61" s="411"/>
      <c r="C61" s="411"/>
      <c r="D61" s="426"/>
      <c r="E61" s="426"/>
      <c r="F61" s="426"/>
      <c r="G61" s="426"/>
      <c r="H61" s="426"/>
      <c r="I61" s="420"/>
      <c r="J61" s="420"/>
      <c r="K61" s="420"/>
      <c r="L61" s="420"/>
      <c r="M61" s="1259"/>
    </row>
    <row r="62" spans="1:13" ht="16.5" x14ac:dyDescent="0.3">
      <c r="A62" s="423" t="s">
        <v>431</v>
      </c>
      <c r="B62" s="411"/>
      <c r="C62" s="411"/>
      <c r="D62" s="417"/>
      <c r="E62" s="417"/>
      <c r="F62" s="417"/>
      <c r="G62" s="417"/>
      <c r="H62" s="417"/>
      <c r="I62" s="529">
        <f>CHOOSE($F$7,I115,I168,I221)</f>
        <v>0</v>
      </c>
      <c r="J62" s="529">
        <f>CHOOSE($F$7,J115,J168,J221)</f>
        <v>0</v>
      </c>
      <c r="K62" s="529">
        <f>CHOOSE($F$7,K115,K168,K221)</f>
        <v>0</v>
      </c>
      <c r="L62" s="529">
        <f>CHOOSE($F$7,L115,L168,L221)</f>
        <v>0</v>
      </c>
      <c r="M62" s="1257">
        <f>CHOOSE($F$7,M115,M168,M221)</f>
        <v>0</v>
      </c>
    </row>
    <row r="63" spans="1:13" ht="13.5" thickBot="1" x14ac:dyDescent="0.25">
      <c r="M63" s="1254"/>
    </row>
    <row r="64" spans="1:13" ht="18.75" thickBot="1" x14ac:dyDescent="0.25">
      <c r="A64" s="1245" t="s">
        <v>615</v>
      </c>
      <c r="B64" s="1251"/>
      <c r="C64" s="1252"/>
      <c r="D64" s="1252"/>
      <c r="E64" s="1252"/>
      <c r="F64" s="1252"/>
      <c r="G64" s="1252"/>
      <c r="H64" s="1252"/>
      <c r="I64" s="1252"/>
      <c r="J64" s="1252"/>
      <c r="K64" s="1252"/>
      <c r="L64" s="1252"/>
      <c r="M64" s="1255"/>
    </row>
    <row r="65" spans="1:15" x14ac:dyDescent="0.2">
      <c r="M65" s="1254"/>
    </row>
    <row r="66" spans="1:15" ht="16.5" x14ac:dyDescent="0.3">
      <c r="A66" s="412" t="s">
        <v>413</v>
      </c>
      <c r="B66" s="413"/>
      <c r="C66" s="413"/>
      <c r="D66" s="413"/>
      <c r="E66" s="413"/>
      <c r="F66" s="413"/>
      <c r="G66" s="413"/>
      <c r="H66" s="411"/>
      <c r="I66" s="411"/>
      <c r="J66" s="411"/>
      <c r="K66" s="411"/>
      <c r="L66" s="411"/>
      <c r="M66" s="927"/>
    </row>
    <row r="67" spans="1:15" ht="16.5" x14ac:dyDescent="0.3">
      <c r="A67" s="411" t="s">
        <v>596</v>
      </c>
      <c r="B67" s="411"/>
      <c r="C67" s="411"/>
      <c r="D67" s="411"/>
      <c r="E67" s="414"/>
      <c r="F67" s="414"/>
      <c r="G67" s="414"/>
      <c r="H67" s="415"/>
      <c r="I67" s="530">
        <v>0.15</v>
      </c>
      <c r="J67" s="530">
        <v>0.15</v>
      </c>
      <c r="K67" s="530">
        <v>0.15</v>
      </c>
      <c r="L67" s="530">
        <v>0.15</v>
      </c>
      <c r="M67" s="1265">
        <v>0.15</v>
      </c>
      <c r="N67" s="887"/>
      <c r="O67" s="411"/>
    </row>
    <row r="68" spans="1:15" ht="16.5" x14ac:dyDescent="0.3">
      <c r="A68" s="411" t="s">
        <v>597</v>
      </c>
      <c r="B68" s="411"/>
      <c r="C68" s="411"/>
      <c r="D68" s="414"/>
      <c r="E68" s="414"/>
      <c r="F68" s="414"/>
      <c r="G68" s="414"/>
      <c r="H68" s="414"/>
      <c r="I68" s="531">
        <v>6.0000000000000001E-3</v>
      </c>
      <c r="J68" s="531">
        <v>6.0000000000000001E-3</v>
      </c>
      <c r="K68" s="531">
        <v>6.0000000000000001E-3</v>
      </c>
      <c r="L68" s="531">
        <v>6.0000000000000001E-3</v>
      </c>
      <c r="M68" s="1266">
        <v>6.0000000000000001E-3</v>
      </c>
      <c r="N68" s="887"/>
      <c r="O68" s="411"/>
    </row>
    <row r="69" spans="1:15" ht="16.5" x14ac:dyDescent="0.3">
      <c r="A69" s="411" t="s">
        <v>598</v>
      </c>
      <c r="B69" s="411"/>
      <c r="C69" s="411"/>
      <c r="D69" s="414"/>
      <c r="E69" s="414"/>
      <c r="F69" s="414"/>
      <c r="G69" s="414"/>
      <c r="H69" s="414"/>
      <c r="I69" s="531">
        <v>8.5000000000000006E-2</v>
      </c>
      <c r="J69" s="531">
        <v>8.5000000000000006E-2</v>
      </c>
      <c r="K69" s="531">
        <v>8.5000000000000006E-2</v>
      </c>
      <c r="L69" s="531">
        <v>8.5000000000000006E-2</v>
      </c>
      <c r="M69" s="1266">
        <v>8.5000000000000006E-2</v>
      </c>
      <c r="N69" s="887"/>
      <c r="O69" s="411"/>
    </row>
    <row r="70" spans="1:15" ht="16.5" x14ac:dyDescent="0.3">
      <c r="A70" s="411" t="s">
        <v>599</v>
      </c>
      <c r="B70" s="411"/>
      <c r="C70" s="411"/>
      <c r="D70" s="414"/>
      <c r="E70" s="414"/>
      <c r="F70" s="414"/>
      <c r="G70" s="414"/>
      <c r="H70" s="414"/>
      <c r="I70" s="531">
        <v>4.7331890330905069E-2</v>
      </c>
      <c r="J70" s="531">
        <v>4.7331890330905069E-2</v>
      </c>
      <c r="K70" s="531">
        <v>4.7331890330905069E-2</v>
      </c>
      <c r="L70" s="531">
        <v>4.7331890330905069E-2</v>
      </c>
      <c r="M70" s="1266">
        <v>4.7331890330905069E-2</v>
      </c>
      <c r="N70" s="887"/>
      <c r="O70" s="411"/>
    </row>
    <row r="71" spans="1:15" ht="16.5" x14ac:dyDescent="0.3">
      <c r="A71" s="411" t="s">
        <v>601</v>
      </c>
      <c r="B71" s="411"/>
      <c r="C71" s="411"/>
      <c r="D71" s="417"/>
      <c r="E71" s="417"/>
      <c r="F71" s="417"/>
      <c r="G71" s="417"/>
      <c r="H71" s="417"/>
      <c r="I71" s="428">
        <v>-6111</v>
      </c>
      <c r="J71" s="428">
        <v>-5111</v>
      </c>
      <c r="K71" s="428">
        <v>-4111</v>
      </c>
      <c r="L71" s="428">
        <v>-3111</v>
      </c>
      <c r="M71" s="1267">
        <v>-2111</v>
      </c>
      <c r="N71" s="938"/>
      <c r="O71" s="411"/>
    </row>
    <row r="72" spans="1:15" ht="16.5" x14ac:dyDescent="0.3">
      <c r="A72" s="411" t="s">
        <v>600</v>
      </c>
      <c r="B72" s="411"/>
      <c r="C72" s="411"/>
      <c r="D72" s="414"/>
      <c r="E72" s="414"/>
      <c r="F72" s="414"/>
      <c r="G72" s="414"/>
      <c r="H72" s="414"/>
      <c r="I72" s="531">
        <v>5.7000000000000002E-2</v>
      </c>
      <c r="J72" s="531">
        <v>5.8000000000000003E-2</v>
      </c>
      <c r="K72" s="531">
        <v>5.8999999999999997E-2</v>
      </c>
      <c r="L72" s="531">
        <v>5.5E-2</v>
      </c>
      <c r="M72" s="1266">
        <v>5.5E-2</v>
      </c>
      <c r="N72" s="887"/>
      <c r="O72" s="411"/>
    </row>
    <row r="73" spans="1:15" ht="16.5" x14ac:dyDescent="0.3">
      <c r="A73" s="411" t="s">
        <v>595</v>
      </c>
      <c r="B73" s="411"/>
      <c r="C73" s="411"/>
      <c r="D73" s="414"/>
      <c r="E73" s="414"/>
      <c r="F73" s="414"/>
      <c r="G73" s="414"/>
      <c r="H73" s="414"/>
      <c r="I73" s="531"/>
      <c r="J73" s="531"/>
      <c r="K73" s="531"/>
      <c r="L73" s="531"/>
      <c r="M73" s="1266"/>
    </row>
    <row r="74" spans="1:15" ht="16.5" x14ac:dyDescent="0.3">
      <c r="A74" s="411" t="s">
        <v>602</v>
      </c>
      <c r="B74" s="411"/>
      <c r="C74" s="411"/>
      <c r="D74" s="414"/>
      <c r="E74" s="414"/>
      <c r="F74" s="414"/>
      <c r="G74" s="414"/>
      <c r="H74" s="414"/>
      <c r="I74" s="531">
        <v>3.5000000000000003E-2</v>
      </c>
      <c r="J74" s="531">
        <v>3.5000000000000003E-2</v>
      </c>
      <c r="K74" s="531">
        <v>3.5000000000000003E-2</v>
      </c>
      <c r="L74" s="531">
        <v>3.5000000000000003E-2</v>
      </c>
      <c r="M74" s="1266">
        <v>3.5000000000000003E-2</v>
      </c>
      <c r="N74" s="887"/>
      <c r="O74" s="411"/>
    </row>
    <row r="75" spans="1:15" ht="16.5" x14ac:dyDescent="0.3">
      <c r="A75" s="411" t="s">
        <v>603</v>
      </c>
      <c r="B75" s="411"/>
      <c r="C75" s="411"/>
      <c r="D75" s="417"/>
      <c r="E75" s="417"/>
      <c r="F75" s="417"/>
      <c r="G75" s="417"/>
      <c r="H75" s="417"/>
      <c r="I75" s="531">
        <v>1.7000000000000001E-2</v>
      </c>
      <c r="J75" s="531">
        <v>1.7000000000000001E-2</v>
      </c>
      <c r="K75" s="531">
        <v>1.7000000000000001E-2</v>
      </c>
      <c r="L75" s="531">
        <v>1.7000000000000001E-2</v>
      </c>
      <c r="M75" s="1266">
        <v>1.7000000000000001E-2</v>
      </c>
      <c r="N75" s="887"/>
      <c r="O75" s="411"/>
    </row>
    <row r="76" spans="1:15" ht="16.5" x14ac:dyDescent="0.3">
      <c r="A76" s="411" t="s">
        <v>604</v>
      </c>
      <c r="B76" s="411"/>
      <c r="C76" s="411"/>
      <c r="D76" s="417"/>
      <c r="E76" s="417"/>
      <c r="F76" s="417"/>
      <c r="G76" s="417"/>
      <c r="H76" s="417"/>
      <c r="I76" s="531">
        <v>0.45300000000000001</v>
      </c>
      <c r="J76" s="531">
        <v>0.45300000000000001</v>
      </c>
      <c r="K76" s="531">
        <v>0.45300000000000001</v>
      </c>
      <c r="L76" s="531">
        <v>0.45300000000000001</v>
      </c>
      <c r="M76" s="1266">
        <v>0.45300000000000001</v>
      </c>
      <c r="N76" s="887"/>
      <c r="O76" s="411"/>
    </row>
    <row r="77" spans="1:15" ht="16.5" x14ac:dyDescent="0.3">
      <c r="A77" s="411" t="s">
        <v>605</v>
      </c>
      <c r="B77" s="411"/>
      <c r="C77" s="411"/>
      <c r="D77" s="414"/>
      <c r="E77" s="414"/>
      <c r="F77" s="414"/>
      <c r="G77" s="414"/>
      <c r="H77" s="414"/>
      <c r="I77" s="531">
        <v>7.0000000000000001E-3</v>
      </c>
      <c r="J77" s="531">
        <v>7.0000000000000001E-3</v>
      </c>
      <c r="K77" s="531">
        <v>7.0000000000000001E-3</v>
      </c>
      <c r="L77" s="531">
        <v>7.0000000000000001E-3</v>
      </c>
      <c r="M77" s="1266">
        <v>7.0000000000000001E-3</v>
      </c>
      <c r="N77" s="887"/>
      <c r="O77" s="411"/>
    </row>
    <row r="78" spans="1:15" ht="16.5" x14ac:dyDescent="0.3">
      <c r="A78" s="411" t="s">
        <v>606</v>
      </c>
      <c r="B78" s="411"/>
      <c r="C78" s="411"/>
      <c r="D78" s="414"/>
      <c r="E78" s="414"/>
      <c r="F78" s="414"/>
      <c r="G78" s="414"/>
      <c r="H78" s="414"/>
      <c r="I78" s="531">
        <v>1E-3</v>
      </c>
      <c r="J78" s="531">
        <v>1E-3</v>
      </c>
      <c r="K78" s="531">
        <v>1E-3</v>
      </c>
      <c r="L78" s="531">
        <v>1E-3</v>
      </c>
      <c r="M78" s="1266">
        <v>1E-3</v>
      </c>
      <c r="N78" s="887"/>
      <c r="O78" s="411"/>
    </row>
    <row r="79" spans="1:15" ht="16.5" x14ac:dyDescent="0.3">
      <c r="A79" s="411" t="s">
        <v>414</v>
      </c>
      <c r="B79" s="411"/>
      <c r="C79" s="411"/>
      <c r="D79" s="414"/>
      <c r="E79" s="414"/>
      <c r="F79" s="414"/>
      <c r="G79" s="414"/>
      <c r="H79" s="414"/>
      <c r="I79" s="531">
        <v>0.21099999999999999</v>
      </c>
      <c r="J79" s="531">
        <v>0.21099999999999999</v>
      </c>
      <c r="K79" s="531">
        <v>0.21099999999999999</v>
      </c>
      <c r="L79" s="531">
        <v>0.21099999999999999</v>
      </c>
      <c r="M79" s="1266">
        <v>0.21099999999999999</v>
      </c>
      <c r="N79" s="887"/>
      <c r="O79" s="411"/>
    </row>
    <row r="80" spans="1:15" ht="16.5" x14ac:dyDescent="0.3">
      <c r="A80" s="411" t="s">
        <v>415</v>
      </c>
      <c r="B80" s="411"/>
      <c r="C80" s="411"/>
      <c r="D80" s="414"/>
      <c r="E80" s="414"/>
      <c r="F80" s="414"/>
      <c r="G80" s="414"/>
      <c r="H80" s="414"/>
      <c r="I80" s="531">
        <v>0.628</v>
      </c>
      <c r="J80" s="531">
        <v>0.72799999999999998</v>
      </c>
      <c r="K80" s="531">
        <v>0.65800000000000003</v>
      </c>
      <c r="L80" s="531">
        <v>0.65800000000000003</v>
      </c>
      <c r="M80" s="1266">
        <v>0.628</v>
      </c>
      <c r="N80" s="887"/>
      <c r="O80" s="411"/>
    </row>
    <row r="81" spans="1:15" ht="16.5" x14ac:dyDescent="0.3">
      <c r="A81" s="411" t="s">
        <v>416</v>
      </c>
      <c r="B81" s="411"/>
      <c r="C81" s="411"/>
      <c r="D81" s="414"/>
      <c r="E81" s="414"/>
      <c r="F81" s="414"/>
      <c r="G81" s="414"/>
      <c r="H81" s="414"/>
      <c r="I81" s="428">
        <v>0</v>
      </c>
      <c r="J81" s="428">
        <v>0</v>
      </c>
      <c r="K81" s="428">
        <v>0</v>
      </c>
      <c r="L81" s="428">
        <v>0</v>
      </c>
      <c r="M81" s="1267">
        <v>0</v>
      </c>
      <c r="N81" s="887"/>
      <c r="O81" s="411"/>
    </row>
    <row r="82" spans="1:15" ht="16.5" x14ac:dyDescent="0.3">
      <c r="A82" s="411" t="s">
        <v>417</v>
      </c>
      <c r="B82" s="411"/>
      <c r="C82" s="411"/>
      <c r="D82" s="414"/>
      <c r="E82" s="414"/>
      <c r="F82" s="414"/>
      <c r="G82" s="414"/>
      <c r="H82" s="414"/>
      <c r="I82" s="531">
        <v>7.0000000000000001E-3</v>
      </c>
      <c r="J82" s="531">
        <v>7.0000000000000001E-3</v>
      </c>
      <c r="K82" s="531">
        <v>7.0000000000000001E-3</v>
      </c>
      <c r="L82" s="531">
        <v>7.0000000000000001E-3</v>
      </c>
      <c r="M82" s="1266">
        <v>7.0000000000000001E-3</v>
      </c>
      <c r="N82" s="887"/>
      <c r="O82" s="411"/>
    </row>
    <row r="83" spans="1:15" ht="16.5" x14ac:dyDescent="0.3">
      <c r="A83" s="411"/>
      <c r="B83" s="411"/>
      <c r="C83" s="411"/>
      <c r="D83" s="411"/>
      <c r="E83" s="411"/>
      <c r="F83" s="411"/>
      <c r="G83" s="411"/>
      <c r="H83" s="411"/>
      <c r="I83" s="411"/>
      <c r="J83" s="411"/>
      <c r="K83" s="411"/>
      <c r="L83" s="411"/>
      <c r="M83" s="927"/>
      <c r="N83" s="887"/>
    </row>
    <row r="84" spans="1:15" ht="16.5" x14ac:dyDescent="0.3">
      <c r="A84" s="412" t="s">
        <v>418</v>
      </c>
      <c r="B84" s="413"/>
      <c r="C84" s="413"/>
      <c r="D84" s="413"/>
      <c r="E84" s="413"/>
      <c r="F84" s="419"/>
      <c r="G84" s="419"/>
      <c r="H84" s="420"/>
      <c r="I84" s="420"/>
      <c r="J84" s="420"/>
      <c r="K84" s="420"/>
      <c r="L84" s="420"/>
      <c r="M84" s="1259"/>
      <c r="N84" s="887"/>
    </row>
    <row r="85" spans="1:15" ht="16.5" x14ac:dyDescent="0.3">
      <c r="A85" s="421" t="s">
        <v>624</v>
      </c>
      <c r="B85" s="411"/>
      <c r="C85" s="411"/>
      <c r="D85" s="411"/>
      <c r="E85" s="411"/>
      <c r="F85" s="420"/>
      <c r="G85" s="420"/>
      <c r="H85" s="422"/>
      <c r="I85" s="422"/>
      <c r="J85" s="422"/>
      <c r="K85" s="422"/>
      <c r="L85" s="422"/>
      <c r="M85" s="1260"/>
      <c r="N85" s="887"/>
    </row>
    <row r="86" spans="1:15" ht="16.5" x14ac:dyDescent="0.3">
      <c r="A86" s="411" t="s">
        <v>446</v>
      </c>
      <c r="B86" s="411"/>
      <c r="C86" s="411"/>
      <c r="D86" s="411"/>
      <c r="E86" s="411"/>
      <c r="F86" s="420"/>
      <c r="G86" s="420"/>
      <c r="H86" s="420"/>
      <c r="I86" s="531"/>
      <c r="J86" s="531"/>
      <c r="K86" s="531"/>
      <c r="L86" s="531"/>
      <c r="M86" s="1266"/>
      <c r="N86" s="887"/>
    </row>
    <row r="87" spans="1:15" ht="16.5" x14ac:dyDescent="0.3">
      <c r="A87" s="411" t="s">
        <v>618</v>
      </c>
      <c r="B87" s="411"/>
      <c r="C87" s="411"/>
      <c r="D87" s="414"/>
      <c r="E87" s="414"/>
      <c r="F87" s="414"/>
      <c r="G87" s="414"/>
      <c r="H87" s="414"/>
      <c r="I87" s="531">
        <v>3.5999999999999997E-2</v>
      </c>
      <c r="J87" s="531">
        <v>3.5999999999999997E-2</v>
      </c>
      <c r="K87" s="531">
        <v>3.5999999999999997E-2</v>
      </c>
      <c r="L87" s="531">
        <v>3.5999999999999997E-2</v>
      </c>
      <c r="M87" s="1266">
        <v>3.5999999999999997E-2</v>
      </c>
      <c r="N87" s="887"/>
      <c r="O87" s="411"/>
    </row>
    <row r="88" spans="1:15" ht="16.5" x14ac:dyDescent="0.3">
      <c r="A88" s="411" t="s">
        <v>419</v>
      </c>
      <c r="B88" s="411"/>
      <c r="C88" s="411"/>
      <c r="D88" s="414"/>
      <c r="E88" s="414"/>
      <c r="F88" s="414"/>
      <c r="G88" s="414"/>
      <c r="H88" s="414"/>
      <c r="I88" s="531">
        <v>0.17899999999999999</v>
      </c>
      <c r="J88" s="531">
        <v>0.17899999999999999</v>
      </c>
      <c r="K88" s="531">
        <v>0.17899999999999999</v>
      </c>
      <c r="L88" s="531">
        <v>0.17899999999999999</v>
      </c>
      <c r="M88" s="1266">
        <v>0.17899999999999999</v>
      </c>
      <c r="N88" s="887"/>
      <c r="O88" s="411"/>
    </row>
    <row r="89" spans="1:15" ht="16.5" x14ac:dyDescent="0.3">
      <c r="A89" s="411" t="s">
        <v>619</v>
      </c>
      <c r="B89" s="411"/>
      <c r="C89" s="411"/>
      <c r="D89" s="414"/>
      <c r="E89" s="414"/>
      <c r="F89" s="414"/>
      <c r="G89" s="414"/>
      <c r="H89" s="414"/>
      <c r="I89" s="428">
        <v>0</v>
      </c>
      <c r="J89" s="428">
        <v>0</v>
      </c>
      <c r="K89" s="428">
        <v>0</v>
      </c>
      <c r="L89" s="428">
        <v>0</v>
      </c>
      <c r="M89" s="1267">
        <v>0</v>
      </c>
      <c r="N89" s="938"/>
      <c r="O89" s="411"/>
    </row>
    <row r="90" spans="1:15" ht="16.5" x14ac:dyDescent="0.3">
      <c r="A90" s="411" t="s">
        <v>588</v>
      </c>
      <c r="B90" s="411"/>
      <c r="C90" s="411"/>
      <c r="D90" s="411"/>
      <c r="E90" s="411"/>
      <c r="F90" s="420"/>
      <c r="G90" s="420"/>
      <c r="H90" s="420"/>
      <c r="I90" s="428">
        <v>22051</v>
      </c>
      <c r="J90" s="428">
        <v>22051</v>
      </c>
      <c r="K90" s="428">
        <v>22051</v>
      </c>
      <c r="L90" s="428">
        <v>22051</v>
      </c>
      <c r="M90" s="1267">
        <v>22051</v>
      </c>
      <c r="N90" s="938"/>
      <c r="O90" s="411"/>
    </row>
    <row r="91" spans="1:15" ht="16.5" x14ac:dyDescent="0.3">
      <c r="A91" s="411" t="s">
        <v>447</v>
      </c>
      <c r="B91" s="411"/>
      <c r="C91" s="411"/>
      <c r="D91" s="417"/>
      <c r="E91" s="417"/>
      <c r="F91" s="417"/>
      <c r="G91" s="417"/>
      <c r="H91" s="417"/>
      <c r="I91" s="428">
        <v>397</v>
      </c>
      <c r="J91" s="428">
        <v>397</v>
      </c>
      <c r="K91" s="428">
        <v>397</v>
      </c>
      <c r="L91" s="428">
        <v>397</v>
      </c>
      <c r="M91" s="1267">
        <v>397</v>
      </c>
      <c r="N91" s="938"/>
      <c r="O91" s="411"/>
    </row>
    <row r="92" spans="1:15" ht="16.5" x14ac:dyDescent="0.3">
      <c r="A92" s="411" t="s">
        <v>587</v>
      </c>
      <c r="B92" s="411"/>
      <c r="C92" s="411"/>
      <c r="D92" s="417"/>
      <c r="E92" s="417"/>
      <c r="F92" s="417"/>
      <c r="G92" s="417"/>
      <c r="H92" s="417"/>
      <c r="I92" s="428">
        <v>8077</v>
      </c>
      <c r="J92" s="428">
        <v>8077</v>
      </c>
      <c r="K92" s="428">
        <v>8077</v>
      </c>
      <c r="L92" s="428">
        <v>8077</v>
      </c>
      <c r="M92" s="1267">
        <v>8077</v>
      </c>
      <c r="N92" s="451"/>
      <c r="O92" s="411"/>
    </row>
    <row r="93" spans="1:15" ht="16.5" x14ac:dyDescent="0.3">
      <c r="A93" s="411" t="s">
        <v>586</v>
      </c>
      <c r="B93" s="411"/>
      <c r="C93" s="411"/>
      <c r="D93" s="417"/>
      <c r="E93" s="417"/>
      <c r="F93" s="417"/>
      <c r="G93" s="417"/>
      <c r="H93" s="417"/>
      <c r="I93" s="538">
        <v>0.27600000000000002</v>
      </c>
      <c r="J93" s="538">
        <v>0.27600000000000002</v>
      </c>
      <c r="K93" s="538">
        <v>0.27600000000000002</v>
      </c>
      <c r="L93" s="538">
        <v>0.27600000000000002</v>
      </c>
      <c r="M93" s="1268">
        <v>0.27600000000000002</v>
      </c>
      <c r="N93" s="887"/>
      <c r="O93" s="411"/>
    </row>
    <row r="94" spans="1:15" ht="16.5" x14ac:dyDescent="0.3">
      <c r="A94" s="421" t="s">
        <v>625</v>
      </c>
      <c r="B94" s="411"/>
      <c r="C94" s="411"/>
      <c r="D94" s="417"/>
      <c r="E94" s="417"/>
      <c r="F94" s="417"/>
      <c r="G94" s="417"/>
      <c r="H94" s="417"/>
      <c r="I94" s="428"/>
      <c r="J94" s="428"/>
      <c r="K94" s="428"/>
      <c r="L94" s="428"/>
      <c r="M94" s="1267"/>
      <c r="N94" s="887"/>
    </row>
    <row r="95" spans="1:15" ht="16.5" x14ac:dyDescent="0.3">
      <c r="A95" s="411" t="s">
        <v>619</v>
      </c>
      <c r="B95" s="411"/>
      <c r="C95" s="411"/>
      <c r="D95" s="411"/>
      <c r="E95" s="411"/>
      <c r="F95" s="420"/>
      <c r="G95" s="420"/>
      <c r="H95" s="420"/>
      <c r="I95" s="539" t="s">
        <v>633</v>
      </c>
      <c r="J95" s="539" t="s">
        <v>633</v>
      </c>
      <c r="K95" s="539" t="s">
        <v>633</v>
      </c>
      <c r="L95" s="539" t="s">
        <v>633</v>
      </c>
      <c r="M95" s="1269" t="s">
        <v>633</v>
      </c>
      <c r="N95" s="940"/>
      <c r="O95" s="411"/>
    </row>
    <row r="96" spans="1:15" ht="16.5" x14ac:dyDescent="0.3">
      <c r="A96" s="411" t="s">
        <v>588</v>
      </c>
      <c r="B96" s="411"/>
      <c r="C96" s="411"/>
      <c r="D96" s="411"/>
      <c r="E96" s="411"/>
      <c r="F96" s="420"/>
      <c r="G96" s="420"/>
      <c r="H96" s="424"/>
      <c r="I96" s="539" t="s">
        <v>633</v>
      </c>
      <c r="J96" s="539" t="s">
        <v>633</v>
      </c>
      <c r="K96" s="539" t="s">
        <v>633</v>
      </c>
      <c r="L96" s="539" t="s">
        <v>633</v>
      </c>
      <c r="M96" s="1269" t="s">
        <v>633</v>
      </c>
      <c r="N96" s="940"/>
      <c r="O96" s="411"/>
    </row>
    <row r="97" spans="1:15" ht="16.5" x14ac:dyDescent="0.3">
      <c r="A97" s="411" t="s">
        <v>620</v>
      </c>
      <c r="B97" s="411"/>
      <c r="C97" s="411"/>
      <c r="D97" s="411"/>
      <c r="E97" s="411"/>
      <c r="F97" s="420"/>
      <c r="G97" s="420"/>
      <c r="H97" s="424"/>
      <c r="I97" s="428">
        <v>28605</v>
      </c>
      <c r="J97" s="428">
        <v>28700</v>
      </c>
      <c r="K97" s="428">
        <v>29100</v>
      </c>
      <c r="L97" s="428">
        <v>29400</v>
      </c>
      <c r="M97" s="1267">
        <v>29800</v>
      </c>
      <c r="N97" s="642"/>
      <c r="O97" s="411"/>
    </row>
    <row r="98" spans="1:15" ht="16.5" x14ac:dyDescent="0.3">
      <c r="A98" s="411" t="s">
        <v>586</v>
      </c>
      <c r="B98" s="411"/>
      <c r="C98" s="411"/>
      <c r="D98" s="411"/>
      <c r="E98" s="411"/>
      <c r="F98" s="420"/>
      <c r="G98" s="420"/>
      <c r="H98" s="425"/>
      <c r="I98" s="538">
        <v>0.72399999999999998</v>
      </c>
      <c r="J98" s="538">
        <v>0.72399999999999998</v>
      </c>
      <c r="K98" s="538">
        <v>0.72399999999999998</v>
      </c>
      <c r="L98" s="538">
        <v>0.72399999999999998</v>
      </c>
      <c r="M98" s="1268">
        <v>0.72399999999999998</v>
      </c>
      <c r="N98" s="887"/>
      <c r="O98" s="411"/>
    </row>
    <row r="99" spans="1:15" ht="16.5" x14ac:dyDescent="0.3">
      <c r="A99" s="421" t="s">
        <v>626</v>
      </c>
      <c r="B99" s="411"/>
      <c r="C99" s="411"/>
      <c r="D99" s="411"/>
      <c r="E99" s="411"/>
      <c r="F99" s="420"/>
      <c r="G99" s="420"/>
      <c r="H99" s="425"/>
      <c r="I99" s="531"/>
      <c r="J99" s="531"/>
      <c r="K99" s="531"/>
      <c r="L99" s="531"/>
      <c r="M99" s="1266"/>
      <c r="N99" s="887"/>
    </row>
    <row r="100" spans="1:15" ht="16.5" x14ac:dyDescent="0.3">
      <c r="A100" s="411" t="s">
        <v>426</v>
      </c>
      <c r="B100" s="411"/>
      <c r="C100" s="411"/>
      <c r="D100" s="414"/>
      <c r="E100" s="414"/>
      <c r="F100" s="414"/>
      <c r="G100" s="414"/>
      <c r="H100" s="414"/>
      <c r="I100" s="432">
        <v>0.14000000000000001</v>
      </c>
      <c r="J100" s="432">
        <v>0.14000000000000001</v>
      </c>
      <c r="K100" s="432">
        <v>0.14000000000000001</v>
      </c>
      <c r="L100" s="432">
        <v>0.14000000000000001</v>
      </c>
      <c r="M100" s="1270">
        <v>0.14000000000000001</v>
      </c>
      <c r="N100" s="887"/>
      <c r="O100" s="411"/>
    </row>
    <row r="101" spans="1:15" ht="16.5" x14ac:dyDescent="0.3">
      <c r="A101" s="411" t="s">
        <v>428</v>
      </c>
      <c r="B101" s="411"/>
      <c r="C101" s="411"/>
      <c r="D101" s="417"/>
      <c r="E101" s="417"/>
      <c r="F101" s="417"/>
      <c r="G101" s="417"/>
      <c r="H101" s="417"/>
      <c r="I101" s="531">
        <v>0.108</v>
      </c>
      <c r="J101" s="531">
        <v>0.108</v>
      </c>
      <c r="K101" s="531">
        <v>0.108</v>
      </c>
      <c r="L101" s="531">
        <v>0.108</v>
      </c>
      <c r="M101" s="1266">
        <v>0.108</v>
      </c>
      <c r="N101" s="887"/>
      <c r="O101" s="411"/>
    </row>
    <row r="102" spans="1:15" ht="16.5" x14ac:dyDescent="0.3">
      <c r="A102" s="411" t="s">
        <v>591</v>
      </c>
      <c r="B102" s="411"/>
      <c r="C102" s="411"/>
      <c r="D102" s="414"/>
      <c r="E102" s="414"/>
      <c r="F102" s="414"/>
      <c r="G102" s="414"/>
      <c r="H102" s="414"/>
      <c r="I102" s="531">
        <v>0.51126818884963221</v>
      </c>
      <c r="J102" s="531">
        <v>0.51126818884963221</v>
      </c>
      <c r="K102" s="531">
        <v>0.51126818884963221</v>
      </c>
      <c r="L102" s="531">
        <v>0.51126818884963221</v>
      </c>
      <c r="M102" s="1266">
        <v>0.51126818884963221</v>
      </c>
      <c r="N102" s="887"/>
      <c r="O102" s="411"/>
    </row>
    <row r="103" spans="1:15" ht="16.5" x14ac:dyDescent="0.3">
      <c r="A103" s="411" t="s">
        <v>621</v>
      </c>
      <c r="B103" s="411"/>
      <c r="C103" s="411"/>
      <c r="D103" s="414"/>
      <c r="E103" s="414"/>
      <c r="F103" s="414"/>
      <c r="G103" s="414"/>
      <c r="H103" s="414"/>
      <c r="I103" s="428">
        <v>0</v>
      </c>
      <c r="J103" s="428">
        <v>0</v>
      </c>
      <c r="K103" s="428">
        <v>0</v>
      </c>
      <c r="L103" s="428">
        <v>0</v>
      </c>
      <c r="M103" s="1267">
        <v>0</v>
      </c>
      <c r="N103" s="887"/>
      <c r="O103" s="411"/>
    </row>
    <row r="104" spans="1:15" ht="16.5" x14ac:dyDescent="0.3">
      <c r="A104" s="411" t="s">
        <v>622</v>
      </c>
      <c r="B104" s="411"/>
      <c r="C104" s="411"/>
      <c r="D104" s="417"/>
      <c r="E104" s="417"/>
      <c r="F104" s="417"/>
      <c r="G104" s="417"/>
      <c r="H104" s="417"/>
      <c r="I104" s="428">
        <v>0</v>
      </c>
      <c r="J104" s="428">
        <v>0</v>
      </c>
      <c r="K104" s="428">
        <v>0</v>
      </c>
      <c r="L104" s="428">
        <v>0</v>
      </c>
      <c r="M104" s="1267">
        <v>0</v>
      </c>
      <c r="N104" s="887"/>
      <c r="O104" s="411"/>
    </row>
    <row r="105" spans="1:15" ht="16.5" x14ac:dyDescent="0.3">
      <c r="A105" s="411" t="s">
        <v>427</v>
      </c>
      <c r="B105" s="411"/>
      <c r="C105" s="411"/>
      <c r="D105" s="417"/>
      <c r="E105" s="417"/>
      <c r="F105" s="417"/>
      <c r="G105" s="417"/>
      <c r="H105" s="417"/>
      <c r="I105" s="428">
        <v>0</v>
      </c>
      <c r="J105" s="428">
        <v>0</v>
      </c>
      <c r="K105" s="428">
        <v>0</v>
      </c>
      <c r="L105" s="428">
        <v>0</v>
      </c>
      <c r="M105" s="1267">
        <v>0</v>
      </c>
      <c r="N105" s="887"/>
      <c r="O105" s="411"/>
    </row>
    <row r="106" spans="1:15" ht="16.5" x14ac:dyDescent="0.3">
      <c r="A106" s="411" t="s">
        <v>631</v>
      </c>
      <c r="B106" s="411"/>
      <c r="C106" s="411"/>
      <c r="D106" s="417"/>
      <c r="E106" s="417"/>
      <c r="F106" s="417"/>
      <c r="G106" s="417"/>
      <c r="H106" s="417"/>
      <c r="I106" s="432">
        <v>7.2999999999999995E-2</v>
      </c>
      <c r="J106" s="432">
        <v>7.2999999999999995E-2</v>
      </c>
      <c r="K106" s="432">
        <v>7.2999999999999995E-2</v>
      </c>
      <c r="L106" s="432">
        <v>7.2999999999999995E-2</v>
      </c>
      <c r="M106" s="1270">
        <v>7.2999999999999995E-2</v>
      </c>
      <c r="N106" s="887"/>
      <c r="O106" s="411"/>
    </row>
    <row r="107" spans="1:15" ht="16.5" x14ac:dyDescent="0.3">
      <c r="A107" s="421" t="s">
        <v>627</v>
      </c>
      <c r="B107" s="411"/>
      <c r="C107" s="411"/>
      <c r="D107" s="417"/>
      <c r="E107" s="417"/>
      <c r="F107" s="417"/>
      <c r="G107" s="417"/>
      <c r="H107" s="417"/>
      <c r="I107" s="428"/>
      <c r="J107" s="428"/>
      <c r="K107" s="428"/>
      <c r="L107" s="428"/>
      <c r="M107" s="1267"/>
      <c r="N107" s="887"/>
    </row>
    <row r="108" spans="1:15" ht="16.5" x14ac:dyDescent="0.3">
      <c r="A108" s="411" t="s">
        <v>426</v>
      </c>
      <c r="B108" s="411"/>
      <c r="C108" s="411"/>
      <c r="D108" s="417"/>
      <c r="E108" s="417"/>
      <c r="F108" s="417"/>
      <c r="G108" s="417"/>
      <c r="H108" s="417"/>
      <c r="I108" s="428">
        <v>0</v>
      </c>
      <c r="J108" s="428">
        <v>0</v>
      </c>
      <c r="K108" s="428">
        <v>0</v>
      </c>
      <c r="L108" s="428">
        <v>0</v>
      </c>
      <c r="M108" s="1267">
        <v>0</v>
      </c>
      <c r="N108" s="887"/>
      <c r="O108" s="411"/>
    </row>
    <row r="109" spans="1:15" ht="16.5" x14ac:dyDescent="0.3">
      <c r="A109" s="411" t="s">
        <v>428</v>
      </c>
      <c r="B109" s="411"/>
      <c r="C109" s="411"/>
      <c r="D109" s="417"/>
      <c r="E109" s="417"/>
      <c r="F109" s="417"/>
      <c r="G109" s="417"/>
      <c r="H109" s="417"/>
      <c r="I109" s="531">
        <v>0.03</v>
      </c>
      <c r="J109" s="531">
        <v>0.03</v>
      </c>
      <c r="K109" s="531">
        <v>0.03</v>
      </c>
      <c r="L109" s="531">
        <v>0.03</v>
      </c>
      <c r="M109" s="1266">
        <v>0.03</v>
      </c>
      <c r="N109" s="887"/>
      <c r="O109" s="411"/>
    </row>
    <row r="110" spans="1:15" ht="16.5" x14ac:dyDescent="0.3">
      <c r="A110" s="411" t="s">
        <v>427</v>
      </c>
      <c r="B110" s="411"/>
      <c r="C110" s="411"/>
      <c r="D110" s="417"/>
      <c r="E110" s="417"/>
      <c r="F110" s="417"/>
      <c r="G110" s="417"/>
      <c r="H110" s="417"/>
      <c r="I110" s="428">
        <v>0</v>
      </c>
      <c r="J110" s="428">
        <v>0</v>
      </c>
      <c r="K110" s="428">
        <v>0</v>
      </c>
      <c r="L110" s="428">
        <v>0</v>
      </c>
      <c r="M110" s="1267">
        <v>0</v>
      </c>
      <c r="N110" s="887"/>
      <c r="O110" s="411"/>
    </row>
    <row r="111" spans="1:15" ht="16.5" x14ac:dyDescent="0.3">
      <c r="A111" s="411" t="s">
        <v>623</v>
      </c>
      <c r="B111" s="411"/>
      <c r="C111" s="411"/>
      <c r="D111" s="417"/>
      <c r="E111" s="417"/>
      <c r="F111" s="426"/>
      <c r="G111" s="417"/>
      <c r="H111" s="426"/>
      <c r="I111" s="571">
        <v>147</v>
      </c>
      <c r="J111" s="571">
        <v>147</v>
      </c>
      <c r="K111" s="571">
        <v>147</v>
      </c>
      <c r="L111" s="571">
        <v>147</v>
      </c>
      <c r="M111" s="1271">
        <v>147</v>
      </c>
      <c r="N111" s="938"/>
      <c r="O111" s="411"/>
    </row>
    <row r="112" spans="1:15" ht="16.5" x14ac:dyDescent="0.3">
      <c r="A112" s="411" t="s">
        <v>631</v>
      </c>
      <c r="B112" s="411"/>
      <c r="C112" s="411"/>
      <c r="D112" s="414"/>
      <c r="E112" s="414"/>
      <c r="F112" s="414"/>
      <c r="G112" s="414"/>
      <c r="H112" s="414"/>
      <c r="I112" s="531">
        <v>0.92700000000000005</v>
      </c>
      <c r="J112" s="531">
        <v>0.92700000000000005</v>
      </c>
      <c r="K112" s="531">
        <v>0.92700000000000005</v>
      </c>
      <c r="L112" s="531">
        <v>0.92700000000000005</v>
      </c>
      <c r="M112" s="1266">
        <v>0.92700000000000005</v>
      </c>
      <c r="N112" s="887"/>
      <c r="O112" s="411"/>
    </row>
    <row r="113" spans="1:15" ht="16.5" x14ac:dyDescent="0.3">
      <c r="A113" s="421" t="s">
        <v>429</v>
      </c>
      <c r="B113" s="411"/>
      <c r="C113" s="411"/>
      <c r="D113" s="426"/>
      <c r="E113" s="426"/>
      <c r="F113" s="426"/>
      <c r="G113" s="426"/>
      <c r="H113" s="426"/>
      <c r="I113" s="531"/>
      <c r="J113" s="531"/>
      <c r="K113" s="531"/>
      <c r="L113" s="531"/>
      <c r="M113" s="1266"/>
    </row>
    <row r="114" spans="1:15" ht="16.5" x14ac:dyDescent="0.3">
      <c r="A114" s="427" t="s">
        <v>430</v>
      </c>
      <c r="B114" s="411"/>
      <c r="C114" s="411"/>
      <c r="D114" s="426"/>
      <c r="E114" s="426"/>
      <c r="F114" s="426"/>
      <c r="G114" s="426"/>
      <c r="H114" s="426"/>
      <c r="I114" s="420"/>
      <c r="J114" s="420"/>
      <c r="K114" s="420"/>
      <c r="L114" s="420"/>
      <c r="M114" s="1259"/>
    </row>
    <row r="115" spans="1:15" ht="16.5" x14ac:dyDescent="0.3">
      <c r="A115" s="423" t="s">
        <v>431</v>
      </c>
      <c r="B115" s="411"/>
      <c r="C115" s="411"/>
      <c r="D115" s="417"/>
      <c r="E115" s="417"/>
      <c r="F115" s="417"/>
      <c r="G115" s="417"/>
      <c r="H115" s="417"/>
      <c r="I115" s="557">
        <v>0</v>
      </c>
      <c r="J115" s="557">
        <v>0</v>
      </c>
      <c r="K115" s="557">
        <v>0</v>
      </c>
      <c r="L115" s="557">
        <v>0</v>
      </c>
      <c r="M115" s="1272">
        <v>0</v>
      </c>
      <c r="N115" s="557"/>
    </row>
    <row r="116" spans="1:15" ht="13.5" thickBot="1" x14ac:dyDescent="0.25">
      <c r="M116" s="1254"/>
    </row>
    <row r="117" spans="1:15" ht="18.75" thickBot="1" x14ac:dyDescent="0.25">
      <c r="A117" s="1251" t="s">
        <v>616</v>
      </c>
      <c r="B117" s="1251"/>
      <c r="C117" s="1252"/>
      <c r="D117" s="1252"/>
      <c r="E117" s="1252"/>
      <c r="F117" s="1252"/>
      <c r="G117" s="1252"/>
      <c r="H117" s="1252"/>
      <c r="I117" s="1252"/>
      <c r="J117" s="1252"/>
      <c r="K117" s="1252"/>
      <c r="L117" s="1252"/>
      <c r="M117" s="1255"/>
    </row>
    <row r="118" spans="1:15" x14ac:dyDescent="0.2">
      <c r="M118" s="1254"/>
    </row>
    <row r="119" spans="1:15" ht="16.5" x14ac:dyDescent="0.3">
      <c r="A119" s="412" t="s">
        <v>413</v>
      </c>
      <c r="B119" s="413"/>
      <c r="C119" s="413"/>
      <c r="D119" s="413"/>
      <c r="E119" s="413"/>
      <c r="F119" s="413"/>
      <c r="G119" s="413"/>
      <c r="H119" s="411"/>
      <c r="I119" s="411"/>
      <c r="J119" s="411"/>
      <c r="K119" s="411"/>
      <c r="L119" s="411"/>
      <c r="M119" s="927"/>
    </row>
    <row r="120" spans="1:15" ht="16.5" x14ac:dyDescent="0.3">
      <c r="A120" s="411" t="s">
        <v>596</v>
      </c>
      <c r="B120" s="411"/>
      <c r="C120" s="411"/>
      <c r="D120" s="411"/>
      <c r="E120" s="414"/>
      <c r="F120" s="414"/>
      <c r="G120" s="414"/>
      <c r="H120" s="415"/>
      <c r="I120" s="530">
        <v>0.25</v>
      </c>
      <c r="J120" s="530">
        <v>0.25</v>
      </c>
      <c r="K120" s="530">
        <v>0.25</v>
      </c>
      <c r="L120" s="530">
        <v>0.25</v>
      </c>
      <c r="M120" s="1265">
        <v>0.25</v>
      </c>
      <c r="N120" s="1065"/>
      <c r="O120" s="531"/>
    </row>
    <row r="121" spans="1:15" ht="16.5" x14ac:dyDescent="0.3">
      <c r="A121" s="411" t="s">
        <v>597</v>
      </c>
      <c r="B121" s="411"/>
      <c r="C121" s="411"/>
      <c r="D121" s="414"/>
      <c r="E121" s="414"/>
      <c r="F121" s="414"/>
      <c r="G121" s="414"/>
      <c r="H121" s="414"/>
      <c r="I121" s="531">
        <v>0</v>
      </c>
      <c r="J121" s="531">
        <v>0</v>
      </c>
      <c r="K121" s="531">
        <v>0</v>
      </c>
      <c r="L121" s="531">
        <v>0</v>
      </c>
      <c r="M121" s="1266">
        <v>0</v>
      </c>
      <c r="N121" s="1065"/>
      <c r="O121" s="531"/>
    </row>
    <row r="122" spans="1:15" ht="16.5" x14ac:dyDescent="0.3">
      <c r="A122" s="411" t="s">
        <v>598</v>
      </c>
      <c r="B122" s="411"/>
      <c r="C122" s="411"/>
      <c r="D122" s="414"/>
      <c r="E122" s="414"/>
      <c r="F122" s="414"/>
      <c r="G122" s="414"/>
      <c r="H122" s="414"/>
      <c r="I122" s="531">
        <v>7.0999999999999994E-2</v>
      </c>
      <c r="J122" s="531">
        <v>7.0999999999999994E-2</v>
      </c>
      <c r="K122" s="531">
        <v>7.0999999999999994E-2</v>
      </c>
      <c r="L122" s="531">
        <v>7.0999999999999994E-2</v>
      </c>
      <c r="M122" s="1266">
        <v>7.0999999999999994E-2</v>
      </c>
      <c r="O122" s="531"/>
    </row>
    <row r="123" spans="1:15" ht="16.5" x14ac:dyDescent="0.3">
      <c r="A123" s="411" t="s">
        <v>599</v>
      </c>
      <c r="B123" s="411"/>
      <c r="C123" s="411"/>
      <c r="D123" s="414"/>
      <c r="E123" s="414"/>
      <c r="F123" s="414"/>
      <c r="G123" s="414"/>
      <c r="H123" s="414"/>
      <c r="I123" s="531">
        <v>6.2E-2</v>
      </c>
      <c r="J123" s="531">
        <v>6.2E-2</v>
      </c>
      <c r="K123" s="531">
        <v>6.2E-2</v>
      </c>
      <c r="L123" s="531">
        <v>6.2E-2</v>
      </c>
      <c r="M123" s="1266">
        <v>6.2E-2</v>
      </c>
      <c r="O123" s="531"/>
    </row>
    <row r="124" spans="1:15" ht="16.5" x14ac:dyDescent="0.3">
      <c r="A124" s="411" t="s">
        <v>601</v>
      </c>
      <c r="B124" s="411"/>
      <c r="C124" s="411"/>
      <c r="D124" s="417"/>
      <c r="E124" s="417"/>
      <c r="F124" s="417"/>
      <c r="G124" s="417"/>
      <c r="H124" s="417"/>
      <c r="I124" s="428">
        <v>-3259</v>
      </c>
      <c r="J124" s="428">
        <v>-3259</v>
      </c>
      <c r="K124" s="428">
        <v>-3259</v>
      </c>
      <c r="L124" s="428">
        <v>-3259</v>
      </c>
      <c r="M124" s="1267">
        <v>-3259</v>
      </c>
      <c r="O124" s="428"/>
    </row>
    <row r="125" spans="1:15" ht="16.5" x14ac:dyDescent="0.3">
      <c r="A125" s="411" t="s">
        <v>600</v>
      </c>
      <c r="B125" s="411"/>
      <c r="C125" s="411"/>
      <c r="D125" s="414"/>
      <c r="E125" s="414"/>
      <c r="F125" s="414"/>
      <c r="G125" s="414"/>
      <c r="H125" s="414"/>
      <c r="I125" s="531">
        <v>0.06</v>
      </c>
      <c r="J125" s="531">
        <v>0.06</v>
      </c>
      <c r="K125" s="531">
        <v>0.06</v>
      </c>
      <c r="L125" s="531">
        <v>0.06</v>
      </c>
      <c r="M125" s="1266">
        <v>0.06</v>
      </c>
      <c r="O125" s="531"/>
    </row>
    <row r="126" spans="1:15" ht="16.5" x14ac:dyDescent="0.3">
      <c r="A126" s="411" t="s">
        <v>595</v>
      </c>
      <c r="B126" s="411"/>
      <c r="C126" s="411"/>
      <c r="D126" s="414"/>
      <c r="E126" s="414"/>
      <c r="F126" s="414"/>
      <c r="G126" s="414"/>
      <c r="H126" s="414"/>
      <c r="I126" s="531"/>
      <c r="J126" s="531"/>
      <c r="K126" s="531"/>
      <c r="L126" s="531"/>
      <c r="M126" s="1266"/>
      <c r="O126" s="531"/>
    </row>
    <row r="127" spans="1:15" ht="16.5" x14ac:dyDescent="0.3">
      <c r="A127" s="411" t="s">
        <v>602</v>
      </c>
      <c r="B127" s="411"/>
      <c r="C127" s="411"/>
      <c r="D127" s="414"/>
      <c r="E127" s="414"/>
      <c r="F127" s="414"/>
      <c r="G127" s="414"/>
      <c r="H127" s="414"/>
      <c r="I127" s="531">
        <v>3.2000000000000001E-2</v>
      </c>
      <c r="J127" s="531">
        <v>3.2000000000000001E-2</v>
      </c>
      <c r="K127" s="531">
        <v>3.2000000000000001E-2</v>
      </c>
      <c r="L127" s="531">
        <v>3.2000000000000001E-2</v>
      </c>
      <c r="M127" s="1266">
        <v>3.2000000000000001E-2</v>
      </c>
      <c r="O127" s="531"/>
    </row>
    <row r="128" spans="1:15" ht="16.5" x14ac:dyDescent="0.3">
      <c r="A128" s="411" t="s">
        <v>603</v>
      </c>
      <c r="B128" s="411"/>
      <c r="C128" s="411"/>
      <c r="D128" s="417"/>
      <c r="E128" s="417"/>
      <c r="F128" s="417"/>
      <c r="G128" s="417"/>
      <c r="H128" s="417"/>
      <c r="I128" s="531">
        <v>1.7000000000000001E-2</v>
      </c>
      <c r="J128" s="531">
        <v>1.7000000000000001E-2</v>
      </c>
      <c r="K128" s="531">
        <v>1.7000000000000001E-2</v>
      </c>
      <c r="L128" s="531">
        <v>1.7000000000000001E-2</v>
      </c>
      <c r="M128" s="1266">
        <v>1.7000000000000001E-2</v>
      </c>
      <c r="O128" s="531"/>
    </row>
    <row r="129" spans="1:15" ht="16.5" x14ac:dyDescent="0.3">
      <c r="A129" s="411" t="s">
        <v>604</v>
      </c>
      <c r="B129" s="411"/>
      <c r="C129" s="411"/>
      <c r="D129" s="417"/>
      <c r="E129" s="417"/>
      <c r="F129" s="417"/>
      <c r="G129" s="417"/>
      <c r="H129" s="417"/>
      <c r="I129" s="531">
        <v>0.40699999999999997</v>
      </c>
      <c r="J129" s="531">
        <v>0.40699999999999997</v>
      </c>
      <c r="K129" s="531">
        <v>0.40699999999999997</v>
      </c>
      <c r="L129" s="531">
        <v>0.40699999999999997</v>
      </c>
      <c r="M129" s="1266">
        <v>0.40699999999999997</v>
      </c>
      <c r="O129" s="531"/>
    </row>
    <row r="130" spans="1:15" ht="16.5" x14ac:dyDescent="0.3">
      <c r="A130" s="411" t="s">
        <v>605</v>
      </c>
      <c r="B130" s="411"/>
      <c r="C130" s="411"/>
      <c r="D130" s="414"/>
      <c r="E130" s="414"/>
      <c r="F130" s="414"/>
      <c r="G130" s="414"/>
      <c r="H130" s="414"/>
      <c r="I130" s="531">
        <v>6.0000000000000001E-3</v>
      </c>
      <c r="J130" s="531">
        <v>6.0000000000000001E-3</v>
      </c>
      <c r="K130" s="531">
        <v>6.0000000000000001E-3</v>
      </c>
      <c r="L130" s="531">
        <v>6.0000000000000001E-3</v>
      </c>
      <c r="M130" s="1266">
        <v>6.0000000000000001E-3</v>
      </c>
      <c r="O130" s="531"/>
    </row>
    <row r="131" spans="1:15" ht="16.5" x14ac:dyDescent="0.3">
      <c r="A131" s="411" t="s">
        <v>606</v>
      </c>
      <c r="B131" s="411"/>
      <c r="C131" s="411"/>
      <c r="D131" s="414"/>
      <c r="E131" s="414"/>
      <c r="F131" s="414"/>
      <c r="G131" s="414"/>
      <c r="H131" s="414"/>
      <c r="I131" s="531">
        <v>1E-3</v>
      </c>
      <c r="J131" s="531">
        <v>1E-3</v>
      </c>
      <c r="K131" s="531">
        <v>1E-3</v>
      </c>
      <c r="L131" s="531">
        <v>1E-3</v>
      </c>
      <c r="M131" s="1266">
        <v>1E-3</v>
      </c>
      <c r="O131" s="531"/>
    </row>
    <row r="132" spans="1:15" ht="16.5" x14ac:dyDescent="0.3">
      <c r="A132" s="411" t="s">
        <v>414</v>
      </c>
      <c r="B132" s="411"/>
      <c r="C132" s="411"/>
      <c r="D132" s="414"/>
      <c r="E132" s="414"/>
      <c r="F132" s="414"/>
      <c r="G132" s="414"/>
      <c r="H132" s="414"/>
      <c r="I132" s="531">
        <v>0.23899999999999999</v>
      </c>
      <c r="J132" s="531">
        <v>0.23899999999999999</v>
      </c>
      <c r="K132" s="531">
        <v>0.23899999999999999</v>
      </c>
      <c r="L132" s="531">
        <v>0.23899999999999999</v>
      </c>
      <c r="M132" s="1266">
        <v>0.23899999999999999</v>
      </c>
      <c r="O132" s="531"/>
    </row>
    <row r="133" spans="1:15" ht="16.5" x14ac:dyDescent="0.3">
      <c r="A133" s="411" t="s">
        <v>415</v>
      </c>
      <c r="B133" s="411"/>
      <c r="C133" s="411"/>
      <c r="D133" s="414"/>
      <c r="E133" s="414"/>
      <c r="F133" s="414"/>
      <c r="G133" s="414"/>
      <c r="H133" s="414"/>
      <c r="I133" s="531">
        <v>0.628</v>
      </c>
      <c r="J133" s="531">
        <v>0.628</v>
      </c>
      <c r="K133" s="531">
        <v>0.628</v>
      </c>
      <c r="L133" s="531">
        <v>0.628</v>
      </c>
      <c r="M133" s="1266">
        <v>0.628</v>
      </c>
      <c r="O133" s="531"/>
    </row>
    <row r="134" spans="1:15" ht="16.5" x14ac:dyDescent="0.3">
      <c r="A134" s="411" t="s">
        <v>416</v>
      </c>
      <c r="B134" s="411"/>
      <c r="C134" s="411"/>
      <c r="D134" s="414"/>
      <c r="E134" s="414"/>
      <c r="F134" s="414"/>
      <c r="G134" s="414"/>
      <c r="H134" s="414"/>
      <c r="I134" s="428">
        <v>0</v>
      </c>
      <c r="J134" s="428">
        <v>0</v>
      </c>
      <c r="K134" s="428">
        <v>0</v>
      </c>
      <c r="L134" s="428">
        <v>0</v>
      </c>
      <c r="M134" s="1267">
        <v>0</v>
      </c>
      <c r="O134" s="428"/>
    </row>
    <row r="135" spans="1:15" ht="16.5" x14ac:dyDescent="0.3">
      <c r="A135" s="411" t="s">
        <v>417</v>
      </c>
      <c r="B135" s="411"/>
      <c r="C135" s="411"/>
      <c r="D135" s="414"/>
      <c r="E135" s="414"/>
      <c r="F135" s="414"/>
      <c r="G135" s="414"/>
      <c r="H135" s="414"/>
      <c r="I135" s="531">
        <v>7.0000000000000001E-3</v>
      </c>
      <c r="J135" s="531">
        <v>7.0000000000000001E-3</v>
      </c>
      <c r="K135" s="531">
        <v>7.0000000000000001E-3</v>
      </c>
      <c r="L135" s="531">
        <v>7.0000000000000001E-3</v>
      </c>
      <c r="M135" s="1266">
        <v>7.0000000000000001E-3</v>
      </c>
      <c r="O135" s="531"/>
    </row>
    <row r="136" spans="1:15" ht="16.5" x14ac:dyDescent="0.3">
      <c r="A136" s="411"/>
      <c r="B136" s="411"/>
      <c r="C136" s="411"/>
      <c r="D136" s="411"/>
      <c r="E136" s="411"/>
      <c r="F136" s="411"/>
      <c r="G136" s="411"/>
      <c r="H136" s="411"/>
      <c r="I136" s="411"/>
      <c r="J136" s="411"/>
      <c r="K136" s="411"/>
      <c r="L136" s="411"/>
      <c r="M136" s="927"/>
    </row>
    <row r="137" spans="1:15" ht="16.5" x14ac:dyDescent="0.3">
      <c r="A137" s="412" t="s">
        <v>418</v>
      </c>
      <c r="B137" s="413"/>
      <c r="C137" s="413"/>
      <c r="D137" s="413"/>
      <c r="E137" s="413"/>
      <c r="F137" s="419"/>
      <c r="G137" s="419"/>
      <c r="H137" s="420"/>
      <c r="I137" s="420"/>
      <c r="J137" s="420"/>
      <c r="K137" s="420"/>
      <c r="L137" s="420"/>
      <c r="M137" s="1259"/>
    </row>
    <row r="138" spans="1:15" ht="16.5" x14ac:dyDescent="0.3">
      <c r="A138" s="421" t="s">
        <v>624</v>
      </c>
      <c r="B138" s="411"/>
      <c r="C138" s="411"/>
      <c r="D138" s="411"/>
      <c r="E138" s="411"/>
      <c r="F138" s="420"/>
      <c r="G138" s="420"/>
      <c r="H138" s="422"/>
      <c r="I138" s="422"/>
      <c r="J138" s="422"/>
      <c r="K138" s="422"/>
      <c r="L138" s="422"/>
      <c r="M138" s="1260"/>
    </row>
    <row r="139" spans="1:15" ht="16.5" x14ac:dyDescent="0.3">
      <c r="A139" s="411" t="s">
        <v>446</v>
      </c>
      <c r="B139" s="411"/>
      <c r="C139" s="411"/>
      <c r="D139" s="411"/>
      <c r="E139" s="411"/>
      <c r="F139" s="420"/>
      <c r="G139" s="420"/>
      <c r="H139" s="420"/>
      <c r="I139" s="531"/>
      <c r="J139" s="531"/>
      <c r="K139" s="531"/>
      <c r="L139" s="531"/>
      <c r="M139" s="1266"/>
    </row>
    <row r="140" spans="1:15" ht="16.5" x14ac:dyDescent="0.3">
      <c r="A140" s="411" t="s">
        <v>618</v>
      </c>
      <c r="B140" s="411"/>
      <c r="C140" s="411"/>
      <c r="D140" s="414"/>
      <c r="E140" s="414"/>
      <c r="F140" s="414"/>
      <c r="G140" s="414"/>
      <c r="H140" s="414"/>
      <c r="I140" s="531">
        <v>0.04</v>
      </c>
      <c r="J140" s="531">
        <v>4.2000000000000003E-2</v>
      </c>
      <c r="K140" s="531">
        <v>4.4999999999999998E-2</v>
      </c>
      <c r="L140" s="531">
        <v>4.7E-2</v>
      </c>
      <c r="M140" s="1266">
        <v>4.9000000000000002E-2</v>
      </c>
      <c r="N140" s="531"/>
    </row>
    <row r="141" spans="1:15" ht="16.5" x14ac:dyDescent="0.3">
      <c r="A141" s="411" t="s">
        <v>419</v>
      </c>
      <c r="B141" s="411"/>
      <c r="C141" s="411"/>
      <c r="D141" s="414"/>
      <c r="E141" s="414"/>
      <c r="F141" s="414"/>
      <c r="G141" s="414"/>
      <c r="H141" s="414"/>
      <c r="I141" s="531">
        <v>0.17899999999999999</v>
      </c>
      <c r="J141" s="531">
        <v>0.18</v>
      </c>
      <c r="K141" s="531">
        <v>0.182</v>
      </c>
      <c r="L141" s="531">
        <v>0.184</v>
      </c>
      <c r="M141" s="1266">
        <v>0.186</v>
      </c>
      <c r="N141" s="531"/>
    </row>
    <row r="142" spans="1:15" ht="16.5" x14ac:dyDescent="0.3">
      <c r="A142" s="411" t="s">
        <v>619</v>
      </c>
      <c r="B142" s="411"/>
      <c r="C142" s="411"/>
      <c r="D142" s="414"/>
      <c r="E142" s="414"/>
      <c r="F142" s="414"/>
      <c r="G142" s="414"/>
      <c r="H142" s="414"/>
      <c r="I142" s="428">
        <v>0</v>
      </c>
      <c r="J142" s="428">
        <v>0</v>
      </c>
      <c r="K142" s="428">
        <v>0</v>
      </c>
      <c r="L142" s="428">
        <v>0</v>
      </c>
      <c r="M142" s="1267">
        <v>0</v>
      </c>
      <c r="N142" s="428"/>
    </row>
    <row r="143" spans="1:15" ht="16.5" x14ac:dyDescent="0.3">
      <c r="A143" s="411" t="s">
        <v>588</v>
      </c>
      <c r="B143" s="411"/>
      <c r="C143" s="411"/>
      <c r="D143" s="411"/>
      <c r="E143" s="411"/>
      <c r="F143" s="420"/>
      <c r="G143" s="420"/>
      <c r="H143" s="420"/>
      <c r="I143" s="428">
        <v>23500</v>
      </c>
      <c r="J143" s="428">
        <v>23700</v>
      </c>
      <c r="K143" s="428">
        <v>23800</v>
      </c>
      <c r="L143" s="428">
        <v>23900</v>
      </c>
      <c r="M143" s="1267">
        <v>24000</v>
      </c>
      <c r="N143" s="428"/>
    </row>
    <row r="144" spans="1:15" ht="16.5" x14ac:dyDescent="0.3">
      <c r="A144" s="411" t="s">
        <v>447</v>
      </c>
      <c r="B144" s="411"/>
      <c r="C144" s="411"/>
      <c r="D144" s="417"/>
      <c r="E144" s="417"/>
      <c r="F144" s="417"/>
      <c r="G144" s="417"/>
      <c r="H144" s="417"/>
      <c r="I144" s="428">
        <v>397</v>
      </c>
      <c r="J144" s="428">
        <v>420</v>
      </c>
      <c r="K144" s="428">
        <f>J144+20</f>
        <v>440</v>
      </c>
      <c r="L144" s="428">
        <f t="shared" ref="L144:M144" si="9">K144+20</f>
        <v>460</v>
      </c>
      <c r="M144" s="1267">
        <f t="shared" si="9"/>
        <v>480</v>
      </c>
      <c r="N144" s="428"/>
    </row>
    <row r="145" spans="1:14" ht="16.5" x14ac:dyDescent="0.3">
      <c r="A145" s="411" t="s">
        <v>587</v>
      </c>
      <c r="B145" s="411"/>
      <c r="C145" s="411"/>
      <c r="D145" s="417"/>
      <c r="E145" s="417"/>
      <c r="F145" s="417"/>
      <c r="G145" s="417"/>
      <c r="H145" s="417"/>
      <c r="I145" s="428">
        <v>7077</v>
      </c>
      <c r="J145" s="428">
        <f>I145+300</f>
        <v>7377</v>
      </c>
      <c r="K145" s="428">
        <f t="shared" ref="K145:M145" si="10">J145+300</f>
        <v>7677</v>
      </c>
      <c r="L145" s="428">
        <f t="shared" si="10"/>
        <v>7977</v>
      </c>
      <c r="M145" s="1267">
        <f t="shared" si="10"/>
        <v>8277</v>
      </c>
      <c r="N145" s="428"/>
    </row>
    <row r="146" spans="1:14" ht="16.5" x14ac:dyDescent="0.3">
      <c r="A146" s="411" t="s">
        <v>586</v>
      </c>
      <c r="B146" s="411"/>
      <c r="C146" s="411"/>
      <c r="D146" s="417"/>
      <c r="E146" s="417"/>
      <c r="F146" s="417"/>
      <c r="G146" s="417"/>
      <c r="H146" s="417"/>
      <c r="I146" s="538">
        <v>0.27600000000000002</v>
      </c>
      <c r="J146" s="538">
        <f>I146+0.005</f>
        <v>0.28100000000000003</v>
      </c>
      <c r="K146" s="538">
        <f t="shared" ref="K146:M146" si="11">J146+0.005</f>
        <v>0.28600000000000003</v>
      </c>
      <c r="L146" s="538">
        <f t="shared" si="11"/>
        <v>0.29100000000000004</v>
      </c>
      <c r="M146" s="1268">
        <f t="shared" si="11"/>
        <v>0.29600000000000004</v>
      </c>
      <c r="N146" s="538"/>
    </row>
    <row r="147" spans="1:14" ht="16.5" x14ac:dyDescent="0.3">
      <c r="A147" s="421" t="s">
        <v>625</v>
      </c>
      <c r="B147" s="411"/>
      <c r="C147" s="411"/>
      <c r="D147" s="417"/>
      <c r="E147" s="417"/>
      <c r="F147" s="417"/>
      <c r="G147" s="417"/>
      <c r="H147" s="417"/>
      <c r="I147" s="428"/>
      <c r="J147" s="428"/>
      <c r="K147" s="428"/>
      <c r="L147" s="428"/>
      <c r="M147" s="1267"/>
      <c r="N147" s="428"/>
    </row>
    <row r="148" spans="1:14" ht="16.5" x14ac:dyDescent="0.3">
      <c r="A148" s="411" t="s">
        <v>619</v>
      </c>
      <c r="B148" s="411"/>
      <c r="C148" s="411"/>
      <c r="D148" s="417"/>
      <c r="E148" s="417"/>
      <c r="F148" s="417"/>
      <c r="G148" s="417"/>
      <c r="H148" s="417"/>
      <c r="I148" s="539" t="s">
        <v>633</v>
      </c>
      <c r="J148" s="539" t="s">
        <v>633</v>
      </c>
      <c r="K148" s="539" t="s">
        <v>633</v>
      </c>
      <c r="L148" s="539" t="s">
        <v>633</v>
      </c>
      <c r="M148" s="1269" t="s">
        <v>633</v>
      </c>
      <c r="N148" s="539"/>
    </row>
    <row r="149" spans="1:14" ht="16.5" x14ac:dyDescent="0.3">
      <c r="A149" s="411" t="s">
        <v>588</v>
      </c>
      <c r="B149" s="411"/>
      <c r="C149" s="411"/>
      <c r="D149" s="417"/>
      <c r="E149" s="417"/>
      <c r="F149" s="417"/>
      <c r="G149" s="417"/>
      <c r="H149" s="417"/>
      <c r="I149" s="539" t="s">
        <v>633</v>
      </c>
      <c r="J149" s="539" t="s">
        <v>633</v>
      </c>
      <c r="K149" s="539" t="s">
        <v>633</v>
      </c>
      <c r="L149" s="539" t="s">
        <v>633</v>
      </c>
      <c r="M149" s="1269" t="s">
        <v>633</v>
      </c>
      <c r="N149" s="539"/>
    </row>
    <row r="150" spans="1:14" ht="16.5" x14ac:dyDescent="0.3">
      <c r="A150" s="411" t="s">
        <v>620</v>
      </c>
      <c r="B150" s="411"/>
      <c r="C150" s="411"/>
      <c r="D150" s="414"/>
      <c r="E150" s="414"/>
      <c r="F150" s="414"/>
      <c r="G150" s="414"/>
      <c r="H150" s="414"/>
      <c r="I150" s="428">
        <v>28605</v>
      </c>
      <c r="J150" s="428">
        <f>I150+200</f>
        <v>28805</v>
      </c>
      <c r="K150" s="428">
        <f t="shared" ref="K150:M150" si="12">J150+200</f>
        <v>29005</v>
      </c>
      <c r="L150" s="428">
        <f t="shared" si="12"/>
        <v>29205</v>
      </c>
      <c r="M150" s="1267">
        <f t="shared" si="12"/>
        <v>29405</v>
      </c>
      <c r="N150" s="428"/>
    </row>
    <row r="151" spans="1:14" ht="16.5" x14ac:dyDescent="0.3">
      <c r="A151" s="411" t="s">
        <v>586</v>
      </c>
      <c r="B151" s="411"/>
      <c r="C151" s="411"/>
      <c r="D151" s="411"/>
      <c r="E151" s="411"/>
      <c r="F151" s="420"/>
      <c r="G151" s="420"/>
      <c r="H151" s="420"/>
      <c r="I151" s="538">
        <v>0.72399999999999998</v>
      </c>
      <c r="J151" s="538">
        <v>0.72399999999999998</v>
      </c>
      <c r="K151" s="538">
        <v>0.72399999999999998</v>
      </c>
      <c r="L151" s="538">
        <v>0.72399999999999998</v>
      </c>
      <c r="M151" s="1268">
        <v>0.72399999999999998</v>
      </c>
      <c r="N151" s="538"/>
    </row>
    <row r="152" spans="1:14" ht="16.5" x14ac:dyDescent="0.3">
      <c r="A152" s="421" t="s">
        <v>626</v>
      </c>
      <c r="B152" s="411"/>
      <c r="C152" s="411"/>
      <c r="D152" s="411"/>
      <c r="E152" s="411"/>
      <c r="F152" s="420"/>
      <c r="G152" s="420"/>
      <c r="H152" s="424"/>
      <c r="I152" s="531"/>
      <c r="J152" s="531"/>
      <c r="K152" s="531"/>
      <c r="L152" s="531"/>
      <c r="M152" s="1266"/>
      <c r="N152" s="531"/>
    </row>
    <row r="153" spans="1:14" ht="16.5" x14ac:dyDescent="0.3">
      <c r="A153" s="411" t="s">
        <v>426</v>
      </c>
      <c r="B153" s="411"/>
      <c r="C153" s="411"/>
      <c r="D153" s="411"/>
      <c r="E153" s="411"/>
      <c r="F153" s="420"/>
      <c r="G153" s="420"/>
      <c r="H153" s="424"/>
      <c r="I153" s="432">
        <v>0.14000000000000001</v>
      </c>
      <c r="J153" s="432">
        <f>I153+0.002</f>
        <v>0.14200000000000002</v>
      </c>
      <c r="K153" s="432">
        <f t="shared" ref="K153:M153" si="13">J153+0.002</f>
        <v>0.14400000000000002</v>
      </c>
      <c r="L153" s="432">
        <f t="shared" si="13"/>
        <v>0.14600000000000002</v>
      </c>
      <c r="M153" s="1270">
        <f t="shared" si="13"/>
        <v>0.14800000000000002</v>
      </c>
      <c r="N153" s="432"/>
    </row>
    <row r="154" spans="1:14" ht="16.5" x14ac:dyDescent="0.3">
      <c r="A154" s="411" t="s">
        <v>428</v>
      </c>
      <c r="B154" s="411"/>
      <c r="C154" s="411"/>
      <c r="D154" s="411"/>
      <c r="E154" s="411"/>
      <c r="F154" s="420"/>
      <c r="G154" s="420"/>
      <c r="H154" s="425"/>
      <c r="I154" s="531">
        <v>0.104</v>
      </c>
      <c r="J154" s="531">
        <v>0.104</v>
      </c>
      <c r="K154" s="531">
        <v>0.104</v>
      </c>
      <c r="L154" s="531">
        <v>0.104</v>
      </c>
      <c r="M154" s="1266">
        <v>0.104</v>
      </c>
      <c r="N154" s="531"/>
    </row>
    <row r="155" spans="1:14" ht="16.5" x14ac:dyDescent="0.3">
      <c r="A155" s="411" t="s">
        <v>591</v>
      </c>
      <c r="B155" s="411"/>
      <c r="C155" s="411"/>
      <c r="D155" s="411"/>
      <c r="E155" s="411"/>
      <c r="F155" s="420"/>
      <c r="G155" s="420"/>
      <c r="H155" s="425"/>
      <c r="I155" s="531">
        <v>0.502</v>
      </c>
      <c r="J155" s="531">
        <f>I155+0.02</f>
        <v>0.52200000000000002</v>
      </c>
      <c r="K155" s="531">
        <f t="shared" ref="K155:M155" si="14">J155+0.02</f>
        <v>0.54200000000000004</v>
      </c>
      <c r="L155" s="531">
        <f t="shared" si="14"/>
        <v>0.56200000000000006</v>
      </c>
      <c r="M155" s="1266">
        <f t="shared" si="14"/>
        <v>0.58200000000000007</v>
      </c>
      <c r="N155" s="531"/>
    </row>
    <row r="156" spans="1:14" ht="16.5" x14ac:dyDescent="0.3">
      <c r="A156" s="411" t="s">
        <v>621</v>
      </c>
      <c r="B156" s="411"/>
      <c r="C156" s="411"/>
      <c r="D156" s="411"/>
      <c r="E156" s="411"/>
      <c r="F156" s="420"/>
      <c r="G156" s="420"/>
      <c r="H156" s="425"/>
      <c r="I156" s="428">
        <v>0</v>
      </c>
      <c r="J156" s="428">
        <v>0</v>
      </c>
      <c r="K156" s="428">
        <v>0</v>
      </c>
      <c r="L156" s="428">
        <v>0</v>
      </c>
      <c r="M156" s="1267">
        <v>0</v>
      </c>
      <c r="N156" s="428"/>
    </row>
    <row r="157" spans="1:14" ht="16.5" x14ac:dyDescent="0.3">
      <c r="A157" s="411" t="s">
        <v>622</v>
      </c>
      <c r="B157" s="411"/>
      <c r="C157" s="411"/>
      <c r="D157" s="414"/>
      <c r="E157" s="414"/>
      <c r="F157" s="414"/>
      <c r="G157" s="414"/>
      <c r="H157" s="414"/>
      <c r="I157" s="428">
        <v>0</v>
      </c>
      <c r="J157" s="428">
        <v>0</v>
      </c>
      <c r="K157" s="428">
        <v>0</v>
      </c>
      <c r="L157" s="428">
        <v>0</v>
      </c>
      <c r="M157" s="1267">
        <v>0</v>
      </c>
      <c r="N157" s="428"/>
    </row>
    <row r="158" spans="1:14" ht="16.5" x14ac:dyDescent="0.3">
      <c r="A158" s="411" t="s">
        <v>427</v>
      </c>
      <c r="B158" s="411"/>
      <c r="C158" s="411"/>
      <c r="D158" s="417"/>
      <c r="E158" s="417"/>
      <c r="F158" s="417"/>
      <c r="G158" s="417"/>
      <c r="H158" s="417"/>
      <c r="I158" s="428">
        <v>0</v>
      </c>
      <c r="J158" s="428">
        <v>0</v>
      </c>
      <c r="K158" s="428">
        <v>0</v>
      </c>
      <c r="L158" s="428">
        <v>0</v>
      </c>
      <c r="M158" s="1267">
        <v>0</v>
      </c>
      <c r="N158" s="428"/>
    </row>
    <row r="159" spans="1:14" ht="16.5" x14ac:dyDescent="0.3">
      <c r="A159" s="411" t="s">
        <v>631</v>
      </c>
      <c r="B159" s="411"/>
      <c r="C159" s="411"/>
      <c r="D159" s="414"/>
      <c r="E159" s="414"/>
      <c r="F159" s="414"/>
      <c r="G159" s="414"/>
      <c r="H159" s="414"/>
      <c r="I159" s="432">
        <v>7.2999999999999995E-2</v>
      </c>
      <c r="J159" s="432">
        <v>7.2999999999999995E-2</v>
      </c>
      <c r="K159" s="432">
        <v>7.2999999999999995E-2</v>
      </c>
      <c r="L159" s="432">
        <v>7.2999999999999995E-2</v>
      </c>
      <c r="M159" s="1270">
        <v>7.2999999999999995E-2</v>
      </c>
      <c r="N159" s="432"/>
    </row>
    <row r="160" spans="1:14" ht="16.5" x14ac:dyDescent="0.3">
      <c r="A160" s="421" t="s">
        <v>627</v>
      </c>
      <c r="B160" s="411"/>
      <c r="C160" s="411"/>
      <c r="D160" s="414"/>
      <c r="E160" s="414"/>
      <c r="F160" s="414"/>
      <c r="G160" s="414"/>
      <c r="H160" s="414"/>
      <c r="I160" s="428"/>
      <c r="J160" s="428"/>
      <c r="K160" s="428"/>
      <c r="L160" s="428"/>
      <c r="M160" s="1267"/>
      <c r="N160" s="428"/>
    </row>
    <row r="161" spans="1:15" ht="16.5" x14ac:dyDescent="0.3">
      <c r="A161" s="411" t="s">
        <v>426</v>
      </c>
      <c r="B161" s="411"/>
      <c r="C161" s="411"/>
      <c r="D161" s="417"/>
      <c r="E161" s="417"/>
      <c r="F161" s="417"/>
      <c r="G161" s="417"/>
      <c r="H161" s="417"/>
      <c r="I161" s="428">
        <v>0</v>
      </c>
      <c r="J161" s="428">
        <v>0</v>
      </c>
      <c r="K161" s="428">
        <v>0</v>
      </c>
      <c r="L161" s="428">
        <v>0</v>
      </c>
      <c r="M161" s="1267">
        <v>0</v>
      </c>
      <c r="N161" s="428"/>
    </row>
    <row r="162" spans="1:15" ht="16.5" x14ac:dyDescent="0.3">
      <c r="A162" s="411" t="s">
        <v>428</v>
      </c>
      <c r="B162" s="411"/>
      <c r="C162" s="411"/>
      <c r="D162" s="417"/>
      <c r="E162" s="417"/>
      <c r="F162" s="417"/>
      <c r="G162" s="417"/>
      <c r="H162" s="417"/>
      <c r="I162" s="531">
        <v>0.03</v>
      </c>
      <c r="J162" s="531">
        <v>0.03</v>
      </c>
      <c r="K162" s="531">
        <v>0.03</v>
      </c>
      <c r="L162" s="531">
        <v>0.03</v>
      </c>
      <c r="M162" s="1266">
        <v>0.03</v>
      </c>
      <c r="N162" s="531"/>
    </row>
    <row r="163" spans="1:15" ht="16.5" x14ac:dyDescent="0.3">
      <c r="A163" s="411" t="s">
        <v>427</v>
      </c>
      <c r="B163" s="411"/>
      <c r="C163" s="411"/>
      <c r="D163" s="417"/>
      <c r="E163" s="417"/>
      <c r="F163" s="417"/>
      <c r="G163" s="417"/>
      <c r="H163" s="417"/>
      <c r="I163" s="428">
        <v>0</v>
      </c>
      <c r="J163" s="428">
        <v>0</v>
      </c>
      <c r="K163" s="428">
        <v>0</v>
      </c>
      <c r="L163" s="428">
        <v>0</v>
      </c>
      <c r="M163" s="1267">
        <v>0</v>
      </c>
      <c r="N163" s="428"/>
    </row>
    <row r="164" spans="1:15" ht="16.5" x14ac:dyDescent="0.3">
      <c r="A164" s="411" t="s">
        <v>623</v>
      </c>
      <c r="B164" s="411"/>
      <c r="C164" s="411"/>
      <c r="D164" s="417"/>
      <c r="E164" s="417"/>
      <c r="F164" s="417"/>
      <c r="G164" s="417"/>
      <c r="H164" s="417"/>
      <c r="I164" s="571">
        <v>147</v>
      </c>
      <c r="J164" s="571">
        <v>147</v>
      </c>
      <c r="K164" s="571">
        <v>147</v>
      </c>
      <c r="L164" s="571">
        <v>147</v>
      </c>
      <c r="M164" s="1271">
        <v>147</v>
      </c>
      <c r="N164" s="571"/>
    </row>
    <row r="165" spans="1:15" ht="16.5" x14ac:dyDescent="0.3">
      <c r="A165" s="411" t="s">
        <v>631</v>
      </c>
      <c r="B165" s="411"/>
      <c r="C165" s="411"/>
      <c r="D165" s="417"/>
      <c r="E165" s="417"/>
      <c r="F165" s="417"/>
      <c r="G165" s="417"/>
      <c r="H165" s="417"/>
      <c r="I165" s="531">
        <v>0.92700000000000005</v>
      </c>
      <c r="J165" s="531">
        <v>0.92700000000000005</v>
      </c>
      <c r="K165" s="531">
        <v>0.92700000000000005</v>
      </c>
      <c r="L165" s="531">
        <v>0.92700000000000005</v>
      </c>
      <c r="M165" s="1266">
        <v>0.92700000000000005</v>
      </c>
      <c r="N165" s="531"/>
    </row>
    <row r="166" spans="1:15" ht="16.5" x14ac:dyDescent="0.3">
      <c r="A166" s="421" t="s">
        <v>429</v>
      </c>
      <c r="B166" s="411"/>
      <c r="C166" s="411"/>
      <c r="D166" s="417"/>
      <c r="E166" s="417"/>
      <c r="F166" s="417"/>
      <c r="G166" s="417"/>
      <c r="H166" s="417"/>
      <c r="I166" s="531"/>
      <c r="J166" s="531"/>
      <c r="K166" s="531"/>
      <c r="L166" s="531"/>
      <c r="M166" s="1266"/>
      <c r="N166" s="531"/>
    </row>
    <row r="167" spans="1:15" ht="16.5" x14ac:dyDescent="0.3">
      <c r="A167" s="427" t="s">
        <v>430</v>
      </c>
      <c r="B167" s="411"/>
      <c r="C167" s="411"/>
      <c r="D167" s="417"/>
      <c r="E167" s="417"/>
      <c r="F167" s="417"/>
      <c r="G167" s="417"/>
      <c r="H167" s="417"/>
      <c r="I167" s="420"/>
      <c r="J167" s="420"/>
      <c r="K167" s="420"/>
      <c r="L167" s="420"/>
      <c r="M167" s="1259"/>
      <c r="N167" s="420"/>
    </row>
    <row r="168" spans="1:15" ht="16.5" x14ac:dyDescent="0.3">
      <c r="A168" s="423" t="s">
        <v>431</v>
      </c>
      <c r="B168" s="411"/>
      <c r="C168" s="411"/>
      <c r="D168" s="417"/>
      <c r="E168" s="417"/>
      <c r="F168" s="426"/>
      <c r="G168" s="417"/>
      <c r="H168" s="426"/>
      <c r="I168" s="557">
        <v>0</v>
      </c>
      <c r="J168" s="557">
        <v>0</v>
      </c>
      <c r="K168" s="557">
        <v>0</v>
      </c>
      <c r="L168" s="557">
        <v>0</v>
      </c>
      <c r="M168" s="1272">
        <v>0</v>
      </c>
      <c r="N168" s="557"/>
    </row>
    <row r="169" spans="1:15" ht="17.25" thickBot="1" x14ac:dyDescent="0.35">
      <c r="A169" s="427"/>
      <c r="B169" s="411"/>
      <c r="C169" s="411"/>
      <c r="D169" s="414"/>
      <c r="E169" s="414"/>
      <c r="F169" s="414"/>
      <c r="G169" s="414"/>
      <c r="H169" s="414"/>
      <c r="I169" s="420"/>
      <c r="J169" s="420"/>
      <c r="K169" s="420"/>
      <c r="L169" s="420"/>
      <c r="M169" s="1259"/>
    </row>
    <row r="170" spans="1:15" ht="18.75" thickBot="1" x14ac:dyDescent="0.25">
      <c r="A170" s="1251" t="s">
        <v>617</v>
      </c>
      <c r="B170" s="1251"/>
      <c r="C170" s="1252"/>
      <c r="D170" s="1252"/>
      <c r="E170" s="1252"/>
      <c r="F170" s="1252"/>
      <c r="G170" s="1252"/>
      <c r="H170" s="1252"/>
      <c r="I170" s="1252"/>
      <c r="J170" s="1252"/>
      <c r="K170" s="1252"/>
      <c r="L170" s="1252"/>
      <c r="M170" s="1255"/>
    </row>
    <row r="171" spans="1:15" x14ac:dyDescent="0.2">
      <c r="M171" s="1254"/>
    </row>
    <row r="172" spans="1:15" ht="16.5" x14ac:dyDescent="0.3">
      <c r="A172" s="412" t="s">
        <v>413</v>
      </c>
      <c r="B172" s="413"/>
      <c r="C172" s="413"/>
      <c r="D172" s="413"/>
      <c r="E172" s="413"/>
      <c r="F172" s="413"/>
      <c r="G172" s="413"/>
      <c r="H172" s="411"/>
      <c r="I172" s="411"/>
      <c r="J172" s="411"/>
      <c r="K172" s="411"/>
      <c r="L172" s="411"/>
      <c r="M172" s="927"/>
    </row>
    <row r="173" spans="1:15" ht="16.5" x14ac:dyDescent="0.3">
      <c r="A173" s="411" t="s">
        <v>596</v>
      </c>
      <c r="B173" s="411"/>
      <c r="C173" s="411"/>
      <c r="D173" s="411"/>
      <c r="E173" s="414"/>
      <c r="F173" s="414"/>
      <c r="G173" s="414"/>
      <c r="H173" s="415"/>
      <c r="I173" s="530">
        <v>0.1</v>
      </c>
      <c r="J173" s="530">
        <v>0.1</v>
      </c>
      <c r="K173" s="530">
        <v>0.1</v>
      </c>
      <c r="L173" s="530">
        <v>0.1</v>
      </c>
      <c r="M173" s="1265">
        <v>0.1</v>
      </c>
      <c r="O173" s="531"/>
    </row>
    <row r="174" spans="1:15" ht="16.5" x14ac:dyDescent="0.3">
      <c r="A174" s="411" t="s">
        <v>597</v>
      </c>
      <c r="B174" s="411"/>
      <c r="C174" s="411"/>
      <c r="D174" s="414"/>
      <c r="E174" s="414"/>
      <c r="F174" s="414"/>
      <c r="G174" s="414"/>
      <c r="H174" s="414"/>
      <c r="I174" s="531">
        <v>0</v>
      </c>
      <c r="J174" s="531">
        <v>0</v>
      </c>
      <c r="K174" s="531">
        <v>0</v>
      </c>
      <c r="L174" s="531">
        <v>0</v>
      </c>
      <c r="M174" s="1266">
        <v>0</v>
      </c>
      <c r="O174" s="531"/>
    </row>
    <row r="175" spans="1:15" ht="16.5" x14ac:dyDescent="0.3">
      <c r="A175" s="411" t="s">
        <v>598</v>
      </c>
      <c r="B175" s="411"/>
      <c r="C175" s="411"/>
      <c r="D175" s="414"/>
      <c r="E175" s="414"/>
      <c r="F175" s="414"/>
      <c r="G175" s="414"/>
      <c r="H175" s="414"/>
      <c r="I175" s="531">
        <v>9.0999999999999998E-2</v>
      </c>
      <c r="J175" s="531">
        <v>9.0999999999999998E-2</v>
      </c>
      <c r="K175" s="531">
        <v>9.0999999999999998E-2</v>
      </c>
      <c r="L175" s="531">
        <v>9.0999999999999998E-2</v>
      </c>
      <c r="M175" s="1266">
        <v>9.0999999999999998E-2</v>
      </c>
      <c r="O175" s="531"/>
    </row>
    <row r="176" spans="1:15" ht="16.5" x14ac:dyDescent="0.3">
      <c r="A176" s="411" t="s">
        <v>599</v>
      </c>
      <c r="B176" s="411"/>
      <c r="C176" s="411"/>
      <c r="D176" s="414"/>
      <c r="E176" s="414"/>
      <c r="F176" s="414"/>
      <c r="G176" s="414"/>
      <c r="H176" s="414"/>
      <c r="I176" s="531">
        <v>6.2E-2</v>
      </c>
      <c r="J176" s="531">
        <v>6.2E-2</v>
      </c>
      <c r="K176" s="531">
        <v>6.2E-2</v>
      </c>
      <c r="L176" s="531">
        <v>6.2E-2</v>
      </c>
      <c r="M176" s="1266">
        <v>6.2E-2</v>
      </c>
      <c r="O176" s="531"/>
    </row>
    <row r="177" spans="1:15" ht="16.5" x14ac:dyDescent="0.3">
      <c r="A177" s="411" t="s">
        <v>601</v>
      </c>
      <c r="B177" s="411"/>
      <c r="C177" s="411"/>
      <c r="D177" s="417"/>
      <c r="E177" s="417"/>
      <c r="F177" s="417"/>
      <c r="G177" s="417"/>
      <c r="H177" s="417"/>
      <c r="I177" s="428">
        <v>-4700</v>
      </c>
      <c r="J177" s="428">
        <v>-4900</v>
      </c>
      <c r="K177" s="428">
        <f>-5000</f>
        <v>-5000</v>
      </c>
      <c r="L177" s="428">
        <f>-5100</f>
        <v>-5100</v>
      </c>
      <c r="M177" s="1267">
        <v>-5259</v>
      </c>
      <c r="O177" s="428"/>
    </row>
    <row r="178" spans="1:15" ht="16.5" x14ac:dyDescent="0.3">
      <c r="A178" s="411" t="s">
        <v>600</v>
      </c>
      <c r="B178" s="411"/>
      <c r="C178" s="411"/>
      <c r="D178" s="414"/>
      <c r="E178" s="414"/>
      <c r="F178" s="414"/>
      <c r="G178" s="414"/>
      <c r="H178" s="414"/>
      <c r="I178" s="531">
        <v>6.0999999999999999E-2</v>
      </c>
      <c r="J178" s="531">
        <v>6.0999999999999999E-2</v>
      </c>
      <c r="K178" s="531">
        <v>6.0999999999999999E-2</v>
      </c>
      <c r="L178" s="531">
        <v>6.0999999999999999E-2</v>
      </c>
      <c r="M178" s="1266">
        <v>6.0999999999999999E-2</v>
      </c>
      <c r="O178" s="531"/>
    </row>
    <row r="179" spans="1:15" ht="16.5" x14ac:dyDescent="0.3">
      <c r="A179" s="411" t="s">
        <v>595</v>
      </c>
      <c r="B179" s="411"/>
      <c r="C179" s="411"/>
      <c r="D179" s="414"/>
      <c r="E179" s="414"/>
      <c r="F179" s="414"/>
      <c r="G179" s="414"/>
      <c r="H179" s="414"/>
      <c r="I179" s="531"/>
      <c r="J179" s="531"/>
      <c r="K179" s="531"/>
      <c r="L179" s="531"/>
      <c r="M179" s="1266"/>
      <c r="O179" s="531"/>
    </row>
    <row r="180" spans="1:15" ht="16.5" x14ac:dyDescent="0.3">
      <c r="A180" s="411" t="s">
        <v>602</v>
      </c>
      <c r="B180" s="411"/>
      <c r="C180" s="411"/>
      <c r="D180" s="414"/>
      <c r="E180" s="414"/>
      <c r="F180" s="414"/>
      <c r="G180" s="414"/>
      <c r="H180" s="414"/>
      <c r="I180" s="531">
        <v>3.6999999999999998E-2</v>
      </c>
      <c r="J180" s="531">
        <v>3.6999999999999998E-2</v>
      </c>
      <c r="K180" s="531">
        <v>3.6999999999999998E-2</v>
      </c>
      <c r="L180" s="531">
        <v>3.6999999999999998E-2</v>
      </c>
      <c r="M180" s="1266">
        <v>3.6999999999999998E-2</v>
      </c>
      <c r="O180" s="531"/>
    </row>
    <row r="181" spans="1:15" ht="16.5" x14ac:dyDescent="0.3">
      <c r="A181" s="411" t="s">
        <v>603</v>
      </c>
      <c r="B181" s="411"/>
      <c r="C181" s="411"/>
      <c r="D181" s="417"/>
      <c r="E181" s="417"/>
      <c r="F181" s="417"/>
      <c r="G181" s="417"/>
      <c r="H181" s="417"/>
      <c r="I181" s="531">
        <v>1.7999999999999999E-2</v>
      </c>
      <c r="J181" s="531">
        <v>1.7999999999999999E-2</v>
      </c>
      <c r="K181" s="531">
        <v>1.7999999999999999E-2</v>
      </c>
      <c r="L181" s="531">
        <v>1.7999999999999999E-2</v>
      </c>
      <c r="M181" s="1266">
        <v>1.7999999999999999E-2</v>
      </c>
      <c r="O181" s="531"/>
    </row>
    <row r="182" spans="1:15" ht="16.5" x14ac:dyDescent="0.3">
      <c r="A182" s="411" t="s">
        <v>604</v>
      </c>
      <c r="B182" s="411"/>
      <c r="C182" s="411"/>
      <c r="D182" s="417"/>
      <c r="E182" s="417"/>
      <c r="F182" s="417"/>
      <c r="G182" s="417"/>
      <c r="H182" s="417"/>
      <c r="I182" s="531">
        <v>0.48699999999999999</v>
      </c>
      <c r="J182" s="531">
        <v>0.48699999999999999</v>
      </c>
      <c r="K182" s="531">
        <v>0.48699999999999999</v>
      </c>
      <c r="L182" s="531">
        <v>0.48699999999999999</v>
      </c>
      <c r="M182" s="1266">
        <v>0.48699999999999999</v>
      </c>
      <c r="O182" s="531"/>
    </row>
    <row r="183" spans="1:15" ht="16.5" x14ac:dyDescent="0.3">
      <c r="A183" s="411" t="s">
        <v>605</v>
      </c>
      <c r="B183" s="411"/>
      <c r="C183" s="411"/>
      <c r="D183" s="414"/>
      <c r="E183" s="414"/>
      <c r="F183" s="414"/>
      <c r="G183" s="414"/>
      <c r="H183" s="414"/>
      <c r="I183" s="531">
        <v>7.0000000000000001E-3</v>
      </c>
      <c r="J183" s="531">
        <v>7.0000000000000001E-3</v>
      </c>
      <c r="K183" s="531">
        <v>7.0000000000000001E-3</v>
      </c>
      <c r="L183" s="531">
        <v>7.0000000000000001E-3</v>
      </c>
      <c r="M183" s="1266">
        <v>7.0000000000000001E-3</v>
      </c>
      <c r="O183" s="531"/>
    </row>
    <row r="184" spans="1:15" ht="16.5" x14ac:dyDescent="0.3">
      <c r="A184" s="411" t="s">
        <v>606</v>
      </c>
      <c r="B184" s="411"/>
      <c r="C184" s="411"/>
      <c r="D184" s="414"/>
      <c r="E184" s="414"/>
      <c r="F184" s="414"/>
      <c r="G184" s="414"/>
      <c r="H184" s="414"/>
      <c r="I184" s="531">
        <v>1E-3</v>
      </c>
      <c r="J184" s="531">
        <v>1E-3</v>
      </c>
      <c r="K184" s="531">
        <v>1E-3</v>
      </c>
      <c r="L184" s="531">
        <v>1E-3</v>
      </c>
      <c r="M184" s="1266">
        <v>1E-3</v>
      </c>
      <c r="O184" s="531"/>
    </row>
    <row r="185" spans="1:15" ht="16.5" x14ac:dyDescent="0.3">
      <c r="A185" s="411" t="s">
        <v>414</v>
      </c>
      <c r="B185" s="411"/>
      <c r="C185" s="411"/>
      <c r="D185" s="414"/>
      <c r="E185" s="414"/>
      <c r="F185" s="414"/>
      <c r="G185" s="414"/>
      <c r="H185" s="414"/>
      <c r="I185" s="531">
        <v>0.23899999999999999</v>
      </c>
      <c r="J185" s="531">
        <v>0.23899999999999999</v>
      </c>
      <c r="K185" s="531">
        <v>0.23899999999999999</v>
      </c>
      <c r="L185" s="531">
        <v>0.23899999999999999</v>
      </c>
      <c r="M185" s="1266">
        <v>0.23899999999999999</v>
      </c>
      <c r="O185" s="531"/>
    </row>
    <row r="186" spans="1:15" ht="16.5" x14ac:dyDescent="0.3">
      <c r="A186" s="411" t="s">
        <v>415</v>
      </c>
      <c r="B186" s="411"/>
      <c r="C186" s="411"/>
      <c r="D186" s="414"/>
      <c r="E186" s="414"/>
      <c r="F186" s="414"/>
      <c r="G186" s="414"/>
      <c r="H186" s="414"/>
      <c r="I186" s="531">
        <v>0.60799999999999998</v>
      </c>
      <c r="J186" s="531">
        <v>0.60799999999999998</v>
      </c>
      <c r="K186" s="531">
        <v>0.60799999999999998</v>
      </c>
      <c r="L186" s="531">
        <v>0.60799999999999998</v>
      </c>
      <c r="M186" s="1266">
        <v>0.60799999999999998</v>
      </c>
      <c r="O186" s="531"/>
    </row>
    <row r="187" spans="1:15" ht="16.5" x14ac:dyDescent="0.3">
      <c r="A187" s="411" t="s">
        <v>416</v>
      </c>
      <c r="B187" s="411"/>
      <c r="C187" s="411"/>
      <c r="D187" s="414"/>
      <c r="E187" s="414"/>
      <c r="F187" s="414"/>
      <c r="G187" s="414"/>
      <c r="H187" s="414"/>
      <c r="I187" s="428">
        <v>0</v>
      </c>
      <c r="J187" s="428">
        <v>0</v>
      </c>
      <c r="K187" s="428">
        <v>0</v>
      </c>
      <c r="L187" s="428">
        <v>0</v>
      </c>
      <c r="M187" s="1267">
        <v>0</v>
      </c>
      <c r="O187" s="428"/>
    </row>
    <row r="188" spans="1:15" ht="16.5" x14ac:dyDescent="0.3">
      <c r="A188" s="411" t="s">
        <v>417</v>
      </c>
      <c r="B188" s="411"/>
      <c r="C188" s="411"/>
      <c r="D188" s="414"/>
      <c r="E188" s="414"/>
      <c r="F188" s="414"/>
      <c r="G188" s="414"/>
      <c r="H188" s="414"/>
      <c r="I188" s="531">
        <v>7.0000000000000001E-3</v>
      </c>
      <c r="J188" s="531">
        <v>7.0000000000000001E-3</v>
      </c>
      <c r="K188" s="531">
        <v>7.0000000000000001E-3</v>
      </c>
      <c r="L188" s="531">
        <v>7.0000000000000001E-3</v>
      </c>
      <c r="M188" s="1266">
        <v>7.0000000000000001E-3</v>
      </c>
      <c r="O188" s="531"/>
    </row>
    <row r="189" spans="1:15" ht="16.5" x14ac:dyDescent="0.3">
      <c r="A189" s="411"/>
      <c r="B189" s="411"/>
      <c r="C189" s="411"/>
      <c r="D189" s="411"/>
      <c r="E189" s="411"/>
      <c r="F189" s="411"/>
      <c r="G189" s="411"/>
      <c r="H189" s="411"/>
      <c r="I189" s="411"/>
      <c r="J189" s="411"/>
      <c r="K189" s="411"/>
      <c r="L189" s="411"/>
      <c r="M189" s="927"/>
    </row>
    <row r="190" spans="1:15" ht="16.5" x14ac:dyDescent="0.3">
      <c r="A190" s="412" t="s">
        <v>418</v>
      </c>
      <c r="B190" s="413"/>
      <c r="C190" s="413"/>
      <c r="D190" s="413"/>
      <c r="E190" s="413"/>
      <c r="F190" s="419"/>
      <c r="G190" s="419"/>
      <c r="H190" s="420"/>
      <c r="I190" s="420"/>
      <c r="J190" s="420"/>
      <c r="K190" s="420"/>
      <c r="L190" s="420"/>
      <c r="M190" s="1259"/>
    </row>
    <row r="191" spans="1:15" ht="16.5" x14ac:dyDescent="0.3">
      <c r="A191" s="421" t="s">
        <v>624</v>
      </c>
      <c r="B191" s="411"/>
      <c r="C191" s="411"/>
      <c r="D191" s="411"/>
      <c r="E191" s="411"/>
      <c r="F191" s="420"/>
      <c r="G191" s="420"/>
      <c r="H191" s="422"/>
      <c r="I191" s="422"/>
      <c r="J191" s="422"/>
      <c r="K191" s="422"/>
      <c r="L191" s="422"/>
      <c r="M191" s="1260"/>
    </row>
    <row r="192" spans="1:15" ht="16.5" x14ac:dyDescent="0.3">
      <c r="A192" s="411" t="s">
        <v>446</v>
      </c>
      <c r="B192" s="411"/>
      <c r="C192" s="411"/>
      <c r="D192" s="411"/>
      <c r="E192" s="411"/>
      <c r="F192" s="420"/>
      <c r="G192" s="420"/>
      <c r="H192" s="420"/>
      <c r="I192" s="531"/>
      <c r="J192" s="531"/>
      <c r="K192" s="531"/>
      <c r="L192" s="531"/>
      <c r="M192" s="1266"/>
    </row>
    <row r="193" spans="1:15" ht="16.5" x14ac:dyDescent="0.3">
      <c r="A193" s="411" t="s">
        <v>618</v>
      </c>
      <c r="B193" s="411"/>
      <c r="C193" s="411"/>
      <c r="D193" s="414"/>
      <c r="E193" s="414"/>
      <c r="F193" s="414"/>
      <c r="G193" s="414"/>
      <c r="H193" s="414"/>
      <c r="I193" s="531">
        <v>3.2000000000000001E-2</v>
      </c>
      <c r="J193" s="531">
        <v>3.2000000000000001E-2</v>
      </c>
      <c r="K193" s="531">
        <v>3.2000000000000001E-2</v>
      </c>
      <c r="L193" s="531">
        <v>3.2000000000000001E-2</v>
      </c>
      <c r="M193" s="1266">
        <v>3.2000000000000001E-2</v>
      </c>
      <c r="O193" s="531"/>
    </row>
    <row r="194" spans="1:15" ht="16.5" x14ac:dyDescent="0.3">
      <c r="A194" s="411" t="s">
        <v>419</v>
      </c>
      <c r="B194" s="411"/>
      <c r="C194" s="411"/>
      <c r="D194" s="414"/>
      <c r="E194" s="414"/>
      <c r="F194" s="414"/>
      <c r="G194" s="414"/>
      <c r="H194" s="414"/>
      <c r="I194" s="531">
        <v>0.14899999999999999</v>
      </c>
      <c r="J194" s="531">
        <v>0.14899999999999999</v>
      </c>
      <c r="K194" s="531">
        <v>0.14899999999999999</v>
      </c>
      <c r="L194" s="531">
        <v>0.14899999999999999</v>
      </c>
      <c r="M194" s="1266">
        <v>0.14899999999999999</v>
      </c>
      <c r="O194" s="531"/>
    </row>
    <row r="195" spans="1:15" ht="16.5" x14ac:dyDescent="0.3">
      <c r="A195" s="411" t="s">
        <v>619</v>
      </c>
      <c r="B195" s="411"/>
      <c r="C195" s="411"/>
      <c r="D195" s="414"/>
      <c r="E195" s="414"/>
      <c r="F195" s="414"/>
      <c r="G195" s="414"/>
      <c r="H195" s="414"/>
      <c r="I195" s="428">
        <v>0</v>
      </c>
      <c r="J195" s="428">
        <v>0</v>
      </c>
      <c r="K195" s="428">
        <v>0</v>
      </c>
      <c r="L195" s="428">
        <v>0</v>
      </c>
      <c r="M195" s="1267">
        <v>0</v>
      </c>
      <c r="O195" s="428"/>
    </row>
    <row r="196" spans="1:15" ht="16.5" x14ac:dyDescent="0.3">
      <c r="A196" s="411" t="s">
        <v>588</v>
      </c>
      <c r="B196" s="411"/>
      <c r="C196" s="411"/>
      <c r="D196" s="411"/>
      <c r="E196" s="411"/>
      <c r="F196" s="420"/>
      <c r="G196" s="420"/>
      <c r="H196" s="420"/>
      <c r="I196" s="428">
        <v>20051</v>
      </c>
      <c r="J196" s="428">
        <v>20051</v>
      </c>
      <c r="K196" s="428">
        <v>20051</v>
      </c>
      <c r="L196" s="428">
        <v>20051</v>
      </c>
      <c r="M196" s="1267">
        <v>20051</v>
      </c>
      <c r="O196" s="428"/>
    </row>
    <row r="197" spans="1:15" ht="16.5" x14ac:dyDescent="0.3">
      <c r="A197" s="411" t="s">
        <v>447</v>
      </c>
      <c r="B197" s="411"/>
      <c r="C197" s="411"/>
      <c r="D197" s="417"/>
      <c r="E197" s="417"/>
      <c r="F197" s="417"/>
      <c r="G197" s="417"/>
      <c r="H197" s="417"/>
      <c r="I197" s="428">
        <v>397</v>
      </c>
      <c r="J197" s="428">
        <v>397</v>
      </c>
      <c r="K197" s="428">
        <v>397</v>
      </c>
      <c r="L197" s="428">
        <v>397</v>
      </c>
      <c r="M197" s="1267">
        <v>397</v>
      </c>
      <c r="O197" s="428"/>
    </row>
    <row r="198" spans="1:15" ht="16.5" x14ac:dyDescent="0.3">
      <c r="A198" s="411" t="s">
        <v>587</v>
      </c>
      <c r="B198" s="411"/>
      <c r="C198" s="411"/>
      <c r="D198" s="417"/>
      <c r="E198" s="417"/>
      <c r="F198" s="417"/>
      <c r="G198" s="417"/>
      <c r="H198" s="417"/>
      <c r="I198" s="428">
        <v>9077</v>
      </c>
      <c r="J198" s="428">
        <v>9077</v>
      </c>
      <c r="K198" s="428">
        <v>9077</v>
      </c>
      <c r="L198" s="428">
        <v>9077</v>
      </c>
      <c r="M198" s="1267">
        <v>9077</v>
      </c>
      <c r="O198" s="428"/>
    </row>
    <row r="199" spans="1:15" ht="16.5" x14ac:dyDescent="0.3">
      <c r="A199" s="411" t="s">
        <v>586</v>
      </c>
      <c r="B199" s="411"/>
      <c r="C199" s="411"/>
      <c r="D199" s="417"/>
      <c r="E199" s="417"/>
      <c r="F199" s="417"/>
      <c r="G199" s="417"/>
      <c r="H199" s="417"/>
      <c r="I199" s="538">
        <v>0.29599999999999999</v>
      </c>
      <c r="J199" s="538">
        <v>0.29599999999999999</v>
      </c>
      <c r="K199" s="538">
        <v>0.29599999999999999</v>
      </c>
      <c r="L199" s="538">
        <v>0.29599999999999999</v>
      </c>
      <c r="M199" s="1268">
        <v>0.29599999999999999</v>
      </c>
      <c r="O199" s="538"/>
    </row>
    <row r="200" spans="1:15" ht="16.5" x14ac:dyDescent="0.3">
      <c r="A200" s="421" t="s">
        <v>625</v>
      </c>
      <c r="B200" s="411"/>
      <c r="C200" s="411"/>
      <c r="D200" s="417"/>
      <c r="E200" s="417"/>
      <c r="F200" s="417"/>
      <c r="G200" s="417"/>
      <c r="H200" s="417"/>
      <c r="I200" s="428"/>
      <c r="J200" s="428"/>
      <c r="K200" s="428"/>
      <c r="L200" s="428"/>
      <c r="M200" s="1267"/>
      <c r="O200" s="428"/>
    </row>
    <row r="201" spans="1:15" ht="16.5" x14ac:dyDescent="0.3">
      <c r="A201" s="411" t="s">
        <v>619</v>
      </c>
      <c r="B201" s="411"/>
      <c r="C201" s="411"/>
      <c r="D201" s="417"/>
      <c r="E201" s="417"/>
      <c r="F201" s="417"/>
      <c r="G201" s="417"/>
      <c r="H201" s="417"/>
      <c r="I201" s="539" t="s">
        <v>633</v>
      </c>
      <c r="J201" s="539" t="s">
        <v>633</v>
      </c>
      <c r="K201" s="539" t="s">
        <v>633</v>
      </c>
      <c r="L201" s="539" t="s">
        <v>633</v>
      </c>
      <c r="M201" s="1269" t="s">
        <v>633</v>
      </c>
      <c r="O201" s="539"/>
    </row>
    <row r="202" spans="1:15" ht="16.5" x14ac:dyDescent="0.3">
      <c r="A202" s="411" t="s">
        <v>588</v>
      </c>
      <c r="B202" s="411"/>
      <c r="C202" s="411"/>
      <c r="D202" s="414"/>
      <c r="E202" s="414"/>
      <c r="F202" s="414"/>
      <c r="G202" s="414"/>
      <c r="H202" s="414"/>
      <c r="I202" s="539" t="s">
        <v>633</v>
      </c>
      <c r="J202" s="539" t="s">
        <v>633</v>
      </c>
      <c r="K202" s="539" t="s">
        <v>633</v>
      </c>
      <c r="L202" s="539" t="s">
        <v>633</v>
      </c>
      <c r="M202" s="1269" t="s">
        <v>633</v>
      </c>
      <c r="O202" s="539"/>
    </row>
    <row r="203" spans="1:15" ht="16.5" x14ac:dyDescent="0.3">
      <c r="A203" s="411" t="s">
        <v>620</v>
      </c>
      <c r="B203" s="411"/>
      <c r="C203" s="411"/>
      <c r="D203" s="411"/>
      <c r="E203" s="411"/>
      <c r="F203" s="420"/>
      <c r="G203" s="420"/>
      <c r="H203" s="420"/>
      <c r="I203" s="428">
        <v>28605</v>
      </c>
      <c r="J203" s="428">
        <v>28605</v>
      </c>
      <c r="K203" s="428">
        <v>28605</v>
      </c>
      <c r="L203" s="428">
        <v>28605</v>
      </c>
      <c r="M203" s="1267">
        <v>28605</v>
      </c>
      <c r="O203" s="428"/>
    </row>
    <row r="204" spans="1:15" ht="16.5" x14ac:dyDescent="0.3">
      <c r="A204" s="411" t="s">
        <v>586</v>
      </c>
      <c r="B204" s="411"/>
      <c r="C204" s="411"/>
      <c r="D204" s="411"/>
      <c r="E204" s="411"/>
      <c r="F204" s="420"/>
      <c r="G204" s="420"/>
      <c r="H204" s="424"/>
      <c r="I204" s="538">
        <v>0.72399999999999998</v>
      </c>
      <c r="J204" s="538">
        <v>0.72399999999999998</v>
      </c>
      <c r="K204" s="538">
        <v>0.72399999999999998</v>
      </c>
      <c r="L204" s="538">
        <v>0.72399999999999998</v>
      </c>
      <c r="M204" s="1268">
        <v>0.72399999999999998</v>
      </c>
      <c r="O204" s="538"/>
    </row>
    <row r="205" spans="1:15" ht="16.5" x14ac:dyDescent="0.3">
      <c r="A205" s="421" t="s">
        <v>626</v>
      </c>
      <c r="B205" s="411"/>
      <c r="C205" s="411"/>
      <c r="D205" s="411"/>
      <c r="E205" s="411"/>
      <c r="F205" s="420"/>
      <c r="G205" s="420"/>
      <c r="H205" s="424"/>
      <c r="I205" s="531"/>
      <c r="J205" s="531"/>
      <c r="K205" s="531"/>
      <c r="L205" s="531"/>
      <c r="M205" s="1266"/>
      <c r="O205" s="531"/>
    </row>
    <row r="206" spans="1:15" ht="16.5" x14ac:dyDescent="0.3">
      <c r="A206" s="411" t="s">
        <v>426</v>
      </c>
      <c r="B206" s="411"/>
      <c r="C206" s="411"/>
      <c r="D206" s="411"/>
      <c r="E206" s="411"/>
      <c r="F206" s="420"/>
      <c r="G206" s="420"/>
      <c r="H206" s="425"/>
      <c r="I206" s="432">
        <v>0.14000000000000001</v>
      </c>
      <c r="J206" s="432">
        <v>0.14000000000000001</v>
      </c>
      <c r="K206" s="432">
        <v>0.14000000000000001</v>
      </c>
      <c r="L206" s="432">
        <v>0.14000000000000001</v>
      </c>
      <c r="M206" s="1270">
        <v>0.14000000000000001</v>
      </c>
      <c r="O206" s="432"/>
    </row>
    <row r="207" spans="1:15" ht="16.5" x14ac:dyDescent="0.3">
      <c r="A207" s="411" t="s">
        <v>428</v>
      </c>
      <c r="B207" s="411"/>
      <c r="C207" s="411"/>
      <c r="D207" s="411"/>
      <c r="E207" s="411"/>
      <c r="F207" s="420"/>
      <c r="G207" s="420"/>
      <c r="H207" s="425"/>
      <c r="I207" s="531">
        <v>0.104</v>
      </c>
      <c r="J207" s="531">
        <v>0.104</v>
      </c>
      <c r="K207" s="531">
        <v>0.104</v>
      </c>
      <c r="L207" s="531">
        <v>0.104</v>
      </c>
      <c r="M207" s="1266">
        <v>0.104</v>
      </c>
      <c r="O207" s="531"/>
    </row>
    <row r="208" spans="1:15" ht="16.5" x14ac:dyDescent="0.3">
      <c r="A208" s="411" t="s">
        <v>591</v>
      </c>
      <c r="B208" s="411"/>
      <c r="C208" s="411"/>
      <c r="D208" s="411"/>
      <c r="E208" s="411"/>
      <c r="F208" s="420"/>
      <c r="G208" s="420"/>
      <c r="H208" s="425"/>
      <c r="I208" s="531">
        <v>0.40100000000000002</v>
      </c>
      <c r="J208" s="531">
        <v>0.42099999999999999</v>
      </c>
      <c r="K208" s="531">
        <v>0.441</v>
      </c>
      <c r="L208" s="531">
        <v>0.45100000000000001</v>
      </c>
      <c r="M208" s="1266">
        <v>0.45100000000000001</v>
      </c>
      <c r="O208" s="531"/>
    </row>
    <row r="209" spans="1:15" s="533" customFormat="1" ht="16.5" x14ac:dyDescent="0.3">
      <c r="A209" s="411" t="s">
        <v>621</v>
      </c>
      <c r="B209" s="421"/>
      <c r="C209" s="421"/>
      <c r="D209" s="532"/>
      <c r="E209" s="532"/>
      <c r="F209" s="532"/>
      <c r="G209" s="532"/>
      <c r="H209" s="532"/>
      <c r="I209" s="428">
        <v>0</v>
      </c>
      <c r="J209" s="428">
        <v>0</v>
      </c>
      <c r="K209" s="428">
        <v>0</v>
      </c>
      <c r="L209" s="428">
        <v>0</v>
      </c>
      <c r="M209" s="1267">
        <v>0</v>
      </c>
      <c r="O209" s="428"/>
    </row>
    <row r="210" spans="1:15" ht="16.5" x14ac:dyDescent="0.3">
      <c r="A210" s="411" t="s">
        <v>622</v>
      </c>
      <c r="B210" s="411"/>
      <c r="C210" s="411"/>
      <c r="D210" s="417"/>
      <c r="E210" s="417"/>
      <c r="F210" s="417"/>
      <c r="G210" s="417"/>
      <c r="H210" s="417"/>
      <c r="I210" s="428">
        <v>0</v>
      </c>
      <c r="J210" s="428">
        <v>0</v>
      </c>
      <c r="K210" s="428">
        <v>0</v>
      </c>
      <c r="L210" s="428">
        <v>0</v>
      </c>
      <c r="M210" s="1267">
        <v>0</v>
      </c>
      <c r="O210" s="428"/>
    </row>
    <row r="211" spans="1:15" ht="16.5" x14ac:dyDescent="0.3">
      <c r="A211" s="411" t="s">
        <v>427</v>
      </c>
      <c r="B211" s="411"/>
      <c r="C211" s="411"/>
      <c r="D211" s="417"/>
      <c r="E211" s="417"/>
      <c r="F211" s="417"/>
      <c r="G211" s="417"/>
      <c r="H211" s="417"/>
      <c r="I211" s="428">
        <v>0</v>
      </c>
      <c r="J211" s="428">
        <v>0</v>
      </c>
      <c r="K211" s="428">
        <v>0</v>
      </c>
      <c r="L211" s="428">
        <v>0</v>
      </c>
      <c r="M211" s="1267">
        <v>0</v>
      </c>
      <c r="O211" s="428"/>
    </row>
    <row r="212" spans="1:15" ht="16.5" x14ac:dyDescent="0.3">
      <c r="A212" s="411" t="s">
        <v>631</v>
      </c>
      <c r="B212" s="411"/>
      <c r="C212" s="411"/>
      <c r="D212" s="417"/>
      <c r="E212" s="417"/>
      <c r="F212" s="417"/>
      <c r="G212" s="417"/>
      <c r="H212" s="417"/>
      <c r="I212" s="432">
        <v>7.2999999999999995E-2</v>
      </c>
      <c r="J212" s="432">
        <v>7.2999999999999995E-2</v>
      </c>
      <c r="K212" s="432">
        <v>7.2999999999999995E-2</v>
      </c>
      <c r="L212" s="432">
        <v>7.2999999999999995E-2</v>
      </c>
      <c r="M212" s="1270">
        <v>7.2999999999999995E-2</v>
      </c>
      <c r="O212" s="432"/>
    </row>
    <row r="213" spans="1:15" ht="16.5" x14ac:dyDescent="0.3">
      <c r="A213" s="421" t="s">
        <v>627</v>
      </c>
      <c r="B213" s="411"/>
      <c r="C213" s="411"/>
      <c r="D213" s="417"/>
      <c r="E213" s="417"/>
      <c r="F213" s="417"/>
      <c r="G213" s="417"/>
      <c r="H213" s="417"/>
      <c r="I213" s="428"/>
      <c r="J213" s="428"/>
      <c r="K213" s="428"/>
      <c r="L213" s="428"/>
      <c r="M213" s="1267"/>
      <c r="O213" s="428"/>
    </row>
    <row r="214" spans="1:15" ht="16.5" x14ac:dyDescent="0.3">
      <c r="A214" s="411" t="s">
        <v>426</v>
      </c>
      <c r="B214" s="411"/>
      <c r="C214" s="411"/>
      <c r="D214" s="417"/>
      <c r="E214" s="417"/>
      <c r="F214" s="417"/>
      <c r="G214" s="417"/>
      <c r="H214" s="417"/>
      <c r="I214" s="428">
        <v>0</v>
      </c>
      <c r="J214" s="428">
        <v>0</v>
      </c>
      <c r="K214" s="428">
        <v>0</v>
      </c>
      <c r="L214" s="428">
        <v>0</v>
      </c>
      <c r="M214" s="1267">
        <v>0</v>
      </c>
      <c r="O214" s="428"/>
    </row>
    <row r="215" spans="1:15" ht="16.5" x14ac:dyDescent="0.3">
      <c r="A215" s="411" t="s">
        <v>428</v>
      </c>
      <c r="B215" s="411"/>
      <c r="C215" s="411"/>
      <c r="D215" s="417"/>
      <c r="E215" s="417"/>
      <c r="F215" s="417"/>
      <c r="G215" s="417"/>
      <c r="H215" s="417"/>
      <c r="I215" s="531">
        <v>0.03</v>
      </c>
      <c r="J215" s="531">
        <v>0.03</v>
      </c>
      <c r="K215" s="531">
        <v>0.03</v>
      </c>
      <c r="L215" s="531">
        <v>0.03</v>
      </c>
      <c r="M215" s="1266">
        <v>0.03</v>
      </c>
      <c r="O215" s="531"/>
    </row>
    <row r="216" spans="1:15" ht="16.5" x14ac:dyDescent="0.3">
      <c r="A216" s="411" t="s">
        <v>427</v>
      </c>
      <c r="B216" s="411"/>
      <c r="C216" s="411"/>
      <c r="D216" s="417"/>
      <c r="E216" s="417"/>
      <c r="F216" s="417"/>
      <c r="G216" s="417"/>
      <c r="H216" s="417"/>
      <c r="I216" s="428">
        <v>0</v>
      </c>
      <c r="J216" s="428">
        <v>0</v>
      </c>
      <c r="K216" s="428">
        <v>0</v>
      </c>
      <c r="L216" s="428">
        <v>0</v>
      </c>
      <c r="M216" s="1267">
        <v>0</v>
      </c>
      <c r="O216" s="428"/>
    </row>
    <row r="217" spans="1:15" ht="16.5" x14ac:dyDescent="0.3">
      <c r="A217" s="411" t="s">
        <v>623</v>
      </c>
      <c r="B217" s="411"/>
      <c r="C217" s="411"/>
      <c r="D217" s="414"/>
      <c r="E217" s="414"/>
      <c r="F217" s="414"/>
      <c r="G217" s="414"/>
      <c r="H217" s="414"/>
      <c r="I217" s="571">
        <v>147</v>
      </c>
      <c r="J217" s="571">
        <v>147</v>
      </c>
      <c r="K217" s="571">
        <v>147</v>
      </c>
      <c r="L217" s="571">
        <v>147</v>
      </c>
      <c r="M217" s="1271">
        <v>147</v>
      </c>
      <c r="O217" s="571"/>
    </row>
    <row r="218" spans="1:15" ht="16.5" x14ac:dyDescent="0.3">
      <c r="A218" s="411" t="s">
        <v>631</v>
      </c>
      <c r="B218" s="411"/>
      <c r="C218" s="411"/>
      <c r="D218" s="426"/>
      <c r="E218" s="426"/>
      <c r="F218" s="426"/>
      <c r="G218" s="426"/>
      <c r="H218" s="426"/>
      <c r="I218" s="531">
        <v>0.92700000000000005</v>
      </c>
      <c r="J218" s="531">
        <v>0.92700000000000005</v>
      </c>
      <c r="K218" s="531">
        <v>0.92700000000000005</v>
      </c>
      <c r="L218" s="531">
        <v>0.92700000000000005</v>
      </c>
      <c r="M218" s="1266">
        <v>0.92700000000000005</v>
      </c>
      <c r="O218" s="531"/>
    </row>
    <row r="219" spans="1:15" ht="16.5" x14ac:dyDescent="0.3">
      <c r="A219" s="421" t="s">
        <v>429</v>
      </c>
      <c r="B219" s="411"/>
      <c r="C219" s="411"/>
      <c r="D219" s="426"/>
      <c r="E219" s="426"/>
      <c r="F219" s="426"/>
      <c r="G219" s="426"/>
      <c r="H219" s="426"/>
      <c r="I219" s="531"/>
      <c r="J219" s="531"/>
      <c r="K219" s="531"/>
      <c r="L219" s="531"/>
      <c r="M219" s="1266"/>
      <c r="O219" s="531"/>
    </row>
    <row r="220" spans="1:15" ht="16.5" x14ac:dyDescent="0.3">
      <c r="A220" s="427" t="s">
        <v>430</v>
      </c>
      <c r="B220" s="411"/>
      <c r="C220" s="411"/>
      <c r="D220" s="417"/>
      <c r="E220" s="417"/>
      <c r="F220" s="417"/>
      <c r="G220" s="417"/>
      <c r="H220" s="417"/>
      <c r="I220" s="420"/>
      <c r="J220" s="420"/>
      <c r="K220" s="420"/>
      <c r="L220" s="420"/>
      <c r="M220" s="1259"/>
      <c r="O220" s="420"/>
    </row>
    <row r="221" spans="1:15" ht="17.25" thickBot="1" x14ac:dyDescent="0.35">
      <c r="A221" s="1273" t="s">
        <v>431</v>
      </c>
      <c r="B221" s="1274"/>
      <c r="C221" s="1274"/>
      <c r="D221" s="1275"/>
      <c r="E221" s="1275"/>
      <c r="F221" s="1275"/>
      <c r="G221" s="1275"/>
      <c r="H221" s="1276"/>
      <c r="I221" s="1277">
        <v>0</v>
      </c>
      <c r="J221" s="1277">
        <v>0</v>
      </c>
      <c r="K221" s="1277">
        <v>0</v>
      </c>
      <c r="L221" s="1277">
        <v>0</v>
      </c>
      <c r="M221" s="1278">
        <v>0</v>
      </c>
      <c r="O221" s="557"/>
    </row>
    <row r="222" spans="1:15" ht="13.5" thickTop="1" x14ac:dyDescent="0.2"/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1" r:id="rId4" name="Drop Down 90">
              <controlPr defaultSize="0" autoLine="0" autoPict="0">
                <anchor moveWithCells="1">
                  <from>
                    <xdr:col>0</xdr:col>
                    <xdr:colOff>1800225</xdr:colOff>
                    <xdr:row>0</xdr:row>
                    <xdr:rowOff>0</xdr:rowOff>
                  </from>
                  <to>
                    <xdr:col>0</xdr:col>
                    <xdr:colOff>2895600</xdr:colOff>
                    <xdr:row>0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3"/>
  <sheetViews>
    <sheetView topLeftCell="B32" zoomScale="85" zoomScaleNormal="85" workbookViewId="0">
      <selection activeCell="G5" sqref="G5 B6:B8 E25 A26"/>
    </sheetView>
  </sheetViews>
  <sheetFormatPr defaultColWidth="9.33203125" defaultRowHeight="12.75" x14ac:dyDescent="0.2"/>
  <cols>
    <col min="1" max="1" width="59.1640625" style="410" bestFit="1" customWidth="1"/>
    <col min="2" max="2" width="23.83203125" style="410" bestFit="1" customWidth="1"/>
    <col min="3" max="3" width="16.5" style="410" bestFit="1" customWidth="1"/>
    <col min="4" max="4" width="34.33203125" style="410" bestFit="1" customWidth="1"/>
    <col min="5" max="5" width="23.5" style="410" customWidth="1"/>
    <col min="6" max="6" width="25.33203125" style="410" customWidth="1"/>
    <col min="7" max="7" width="15.1640625" style="410" customWidth="1"/>
    <col min="8" max="8" width="17.33203125" style="410" customWidth="1"/>
    <col min="9" max="9" width="15" style="410" bestFit="1" customWidth="1"/>
    <col min="10" max="10" width="11.6640625" style="410" customWidth="1"/>
    <col min="11" max="11" width="11.33203125" style="410" customWidth="1"/>
    <col min="12" max="12" width="12" style="410" customWidth="1"/>
    <col min="13" max="13" width="19.83203125" style="410" customWidth="1"/>
    <col min="14" max="14" width="9.33203125" style="410"/>
    <col min="15" max="15" width="13" style="410" customWidth="1"/>
    <col min="16" max="17" width="9.33203125" style="410"/>
    <col min="18" max="18" width="1.1640625" style="410" customWidth="1"/>
    <col min="19" max="19" width="56.33203125" style="410" customWidth="1"/>
    <col min="20" max="20" width="30.33203125" style="410" customWidth="1"/>
    <col min="21" max="21" width="24" style="410" customWidth="1"/>
    <col min="22" max="16384" width="9.33203125" style="410"/>
  </cols>
  <sheetData>
    <row r="1" spans="1:21" ht="18.75" thickBot="1" x14ac:dyDescent="0.35">
      <c r="A1" s="1245" t="s">
        <v>649</v>
      </c>
      <c r="B1" s="1246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</row>
    <row r="2" spans="1:21" ht="18.75" thickBot="1" x14ac:dyDescent="0.35">
      <c r="A2" s="1245" t="s">
        <v>650</v>
      </c>
      <c r="B2" s="1247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</row>
    <row r="3" spans="1:21" ht="13.5" thickBot="1" x14ac:dyDescent="0.25">
      <c r="S3" s="997" t="s">
        <v>919</v>
      </c>
    </row>
    <row r="4" spans="1:21" ht="18.75" thickBot="1" x14ac:dyDescent="0.35">
      <c r="A4" s="1245" t="s">
        <v>412</v>
      </c>
      <c r="B4" s="1244"/>
      <c r="C4" s="411"/>
      <c r="D4" s="1246" t="s">
        <v>651</v>
      </c>
      <c r="E4" s="1248"/>
      <c r="F4" s="1249"/>
      <c r="G4" s="1249"/>
      <c r="H4" s="1249"/>
      <c r="I4" s="1249"/>
      <c r="J4" s="1249"/>
      <c r="K4" s="1249"/>
      <c r="L4" s="1249"/>
      <c r="M4" s="1250"/>
      <c r="S4" s="997" t="s">
        <v>917</v>
      </c>
      <c r="T4" s="979"/>
      <c r="U4" s="998"/>
    </row>
    <row r="5" spans="1:21" ht="20.25" customHeight="1" x14ac:dyDescent="0.3">
      <c r="A5" s="411" t="s">
        <v>652</v>
      </c>
      <c r="B5" s="970">
        <f>AVERAGE('3 way Model - TNE '!C18:G18)</f>
        <v>0.19661124784918707</v>
      </c>
      <c r="C5" s="411"/>
      <c r="D5" s="1010" t="s">
        <v>653</v>
      </c>
      <c r="E5" s="1011" t="s">
        <v>654</v>
      </c>
      <c r="F5" s="1012" t="s">
        <v>655</v>
      </c>
      <c r="G5" s="1012" t="s">
        <v>656</v>
      </c>
      <c r="H5" s="1011" t="s">
        <v>657</v>
      </c>
      <c r="I5" s="1012" t="s">
        <v>658</v>
      </c>
      <c r="J5" s="1012" t="s">
        <v>659</v>
      </c>
      <c r="K5" s="1012" t="s">
        <v>660</v>
      </c>
      <c r="L5" s="1012" t="s">
        <v>661</v>
      </c>
      <c r="M5" s="1013" t="s">
        <v>662</v>
      </c>
      <c r="S5" s="634"/>
      <c r="U5" s="999"/>
    </row>
    <row r="6" spans="1:21" ht="16.5" x14ac:dyDescent="0.3">
      <c r="A6" s="411" t="s">
        <v>969</v>
      </c>
      <c r="B6" s="432">
        <v>6.5399999999999998E-3</v>
      </c>
      <c r="C6" s="411"/>
      <c r="D6" s="1008" t="s">
        <v>714</v>
      </c>
      <c r="E6" s="14" t="s">
        <v>722</v>
      </c>
      <c r="F6" s="1009">
        <f>'Comps Input'!G138</f>
        <v>0.26746948259637515</v>
      </c>
      <c r="G6" s="992">
        <v>0.76</v>
      </c>
      <c r="H6" s="993">
        <f>'Comps Input'!B105+'Comps Input'!B106</f>
        <v>45800</v>
      </c>
      <c r="I6" s="993">
        <f>'Comps Input'!B120</f>
        <v>9789078</v>
      </c>
      <c r="J6" s="993">
        <f>'Comps Input'!B108</f>
        <v>0</v>
      </c>
      <c r="K6" s="995">
        <f>H6/I6</f>
        <v>4.6786837330338978E-3</v>
      </c>
      <c r="L6" s="996">
        <f>J6/I6</f>
        <v>0</v>
      </c>
      <c r="M6" s="1022">
        <f>G6/(1+(1-F6)*(K6)+L6)</f>
        <v>0.75740416490216811</v>
      </c>
      <c r="N6" s="1186" t="s">
        <v>967</v>
      </c>
      <c r="O6" s="939"/>
      <c r="S6" s="1000" t="s">
        <v>895</v>
      </c>
      <c r="U6" s="999"/>
    </row>
    <row r="7" spans="1:21" ht="17.25" customHeight="1" x14ac:dyDescent="0.3">
      <c r="A7" s="411" t="s">
        <v>970</v>
      </c>
      <c r="B7" s="432">
        <v>0.1</v>
      </c>
      <c r="C7" s="411"/>
      <c r="D7" s="1008" t="s">
        <v>716</v>
      </c>
      <c r="E7" s="51" t="s">
        <v>721</v>
      </c>
      <c r="F7" s="1009">
        <f>'Comps Input'!G144</f>
        <v>0.15379026180493724</v>
      </c>
      <c r="G7" s="992">
        <v>0.56000000000000005</v>
      </c>
      <c r="H7" s="993">
        <f>'Comps Input'!C105+'Comps Input'!C106</f>
        <v>13215</v>
      </c>
      <c r="I7" s="993">
        <f>'Comps Input'!C120</f>
        <v>4789219.5999999996</v>
      </c>
      <c r="J7" s="993">
        <f>'Comps Input'!C108</f>
        <v>0</v>
      </c>
      <c r="K7" s="995">
        <f>H7/I7</f>
        <v>2.759322207735056E-3</v>
      </c>
      <c r="L7" s="996">
        <f>J7/I7</f>
        <v>0</v>
      </c>
      <c r="M7" s="1022">
        <f>G7/(1+(1-F7)*(K7)+L7)</f>
        <v>0.55869546546202697</v>
      </c>
      <c r="O7" s="939"/>
      <c r="S7" s="1001" t="s">
        <v>654</v>
      </c>
      <c r="T7" s="964" t="s">
        <v>653</v>
      </c>
      <c r="U7" s="1002" t="s">
        <v>897</v>
      </c>
    </row>
    <row r="8" spans="1:21" ht="17.25" customHeight="1" x14ac:dyDescent="0.3">
      <c r="A8" s="411" t="s">
        <v>663</v>
      </c>
      <c r="B8" s="432">
        <v>0</v>
      </c>
      <c r="C8" s="411"/>
      <c r="D8" s="1008" t="s">
        <v>718</v>
      </c>
      <c r="E8" s="51" t="s">
        <v>723</v>
      </c>
      <c r="F8" s="1009">
        <f>'Comps Input'!G150</f>
        <v>0.29474495153002667</v>
      </c>
      <c r="G8" s="992">
        <v>0.76</v>
      </c>
      <c r="H8" s="993">
        <f>'Comps Input'!D105+'Comps Input'!D106</f>
        <v>63963</v>
      </c>
      <c r="I8" s="993">
        <f>'Comps Input'!D120</f>
        <v>1585282.74</v>
      </c>
      <c r="J8" s="993">
        <f>'Comps Input'!D108</f>
        <v>0</v>
      </c>
      <c r="K8" s="995">
        <f>H8/I8</f>
        <v>4.0348007573715212E-2</v>
      </c>
      <c r="L8" s="996">
        <f>J8/I8</f>
        <v>0</v>
      </c>
      <c r="M8" s="1022">
        <f>G8/(1+(1-F8)*(K8)+L8)</f>
        <v>0.73897207946518395</v>
      </c>
      <c r="O8" s="939"/>
      <c r="S8" s="1003" t="s">
        <v>896</v>
      </c>
      <c r="T8" s="1004" t="s">
        <v>898</v>
      </c>
      <c r="U8" s="1005">
        <f>AVERAGE(U9:U17)</f>
        <v>1.1833333333333333</v>
      </c>
    </row>
    <row r="9" spans="1:21" ht="16.5" x14ac:dyDescent="0.3">
      <c r="A9" s="411" t="s">
        <v>681</v>
      </c>
      <c r="B9" s="577">
        <f>E25/(E25+E26+E27)</f>
        <v>0</v>
      </c>
      <c r="C9" s="411"/>
      <c r="D9" s="1008" t="str">
        <f>'Comps Input'!E104</f>
        <v>SAP SE</v>
      </c>
      <c r="E9" s="14" t="str">
        <f>'Comps Input'!E6</f>
        <v>SAP SE</v>
      </c>
      <c r="F9" s="1009">
        <f>'Comps Input'!G156</f>
        <v>0.30205080221044278</v>
      </c>
      <c r="G9" s="992">
        <v>0.47</v>
      </c>
      <c r="H9" s="993">
        <f>'Comps Input'!E105+'Comps Input'!E106</f>
        <v>243991</v>
      </c>
      <c r="I9" s="993">
        <f>'Comps Input'!E120</f>
        <v>17846079.043372519</v>
      </c>
      <c r="J9" s="993">
        <f>'Comps Input'!E108</f>
        <v>0</v>
      </c>
      <c r="K9" s="995">
        <f>H9/I9</f>
        <v>1.3671966789288132E-2</v>
      </c>
      <c r="L9" s="996">
        <f>J9/I9</f>
        <v>0</v>
      </c>
      <c r="M9" s="1022">
        <f>G9/(1+(1-F9)*(K9)+L9)</f>
        <v>0.46555749292637605</v>
      </c>
      <c r="O9" s="939"/>
      <c r="S9" s="634" t="s">
        <v>899</v>
      </c>
      <c r="T9" s="410" t="s">
        <v>900</v>
      </c>
      <c r="U9" s="1006">
        <v>0.9</v>
      </c>
    </row>
    <row r="10" spans="1:21" ht="16.5" x14ac:dyDescent="0.3">
      <c r="A10" s="411" t="s">
        <v>682</v>
      </c>
      <c r="B10" s="425">
        <f>E25/E26</f>
        <v>0</v>
      </c>
      <c r="C10" s="411"/>
      <c r="D10" s="1008" t="str">
        <f>'Comps Input'!F104</f>
        <v>EOL.AX</v>
      </c>
      <c r="E10" s="14" t="str">
        <f>'Comps Input'!F6</f>
        <v xml:space="preserve">Energy One </v>
      </c>
      <c r="F10" s="1009">
        <f>'Comps Input'!G161</f>
        <v>0.38495762130829964</v>
      </c>
      <c r="G10" s="992">
        <v>2.14</v>
      </c>
      <c r="H10" s="993">
        <f>'Comps Input'!F105+'Comps Input'!F106</f>
        <v>44298</v>
      </c>
      <c r="I10" s="993">
        <f>'Comps Input'!F120</f>
        <v>152744.74</v>
      </c>
      <c r="J10" s="993">
        <f>'Comps Input'!F108</f>
        <v>0</v>
      </c>
      <c r="K10" s="995">
        <f>H10/I10</f>
        <v>0.29001326003108197</v>
      </c>
      <c r="L10" s="996">
        <f>J10/I10</f>
        <v>0</v>
      </c>
      <c r="M10" s="1022">
        <f>G10/(1+(1-F10)*(K10)+L10)</f>
        <v>1.8160672719962703</v>
      </c>
      <c r="O10" s="939"/>
      <c r="S10" s="634" t="s">
        <v>901</v>
      </c>
      <c r="T10" s="410" t="s">
        <v>902</v>
      </c>
      <c r="U10" s="1006">
        <v>0.93</v>
      </c>
    </row>
    <row r="11" spans="1:21" ht="16.5" x14ac:dyDescent="0.3">
      <c r="A11" s="411" t="s">
        <v>683</v>
      </c>
      <c r="B11" s="425">
        <f>E27/E26</f>
        <v>0</v>
      </c>
      <c r="C11" s="411"/>
      <c r="D11" s="1008" t="str">
        <f>'Comps Input'!G104</f>
        <v>NXT.AX</v>
      </c>
      <c r="E11" s="14" t="str">
        <f>'Comps Input'!G6</f>
        <v xml:space="preserve">NEXTDC Limited </v>
      </c>
      <c r="F11" s="1009">
        <f>'Comps Input'!G168</f>
        <v>0</v>
      </c>
      <c r="G11" s="994">
        <f>U8</f>
        <v>1.1833333333333333</v>
      </c>
      <c r="H11" s="993">
        <f>'Comps Input'!G106</f>
        <v>735700</v>
      </c>
      <c r="I11" s="993">
        <f>'Comps Input'!F120</f>
        <v>152744.74</v>
      </c>
      <c r="J11" s="993">
        <f>'Comps Input'!G108</f>
        <v>0</v>
      </c>
      <c r="K11" s="995">
        <f t="shared" ref="K11" si="0">H11/I11</f>
        <v>4.8165324711017874</v>
      </c>
      <c r="L11" s="996">
        <f t="shared" ref="L11" si="1">J11/I11</f>
        <v>0</v>
      </c>
      <c r="M11" s="1022">
        <f t="shared" ref="M11" si="2">G11/(1+(1-F11)*(K11)+L11)</f>
        <v>0.20344308902468525</v>
      </c>
      <c r="O11" s="939"/>
      <c r="S11" s="634" t="s">
        <v>903</v>
      </c>
      <c r="T11" s="410" t="s">
        <v>904</v>
      </c>
      <c r="U11" s="1006">
        <v>0.97</v>
      </c>
    </row>
    <row r="12" spans="1:21" ht="16.5" x14ac:dyDescent="0.3">
      <c r="A12" s="411" t="s">
        <v>664</v>
      </c>
      <c r="B12" s="418"/>
      <c r="C12" s="411"/>
      <c r="D12" s="1008"/>
      <c r="E12" s="14"/>
      <c r="F12" s="1009"/>
      <c r="G12" s="992"/>
      <c r="H12" s="993"/>
      <c r="I12" s="993"/>
      <c r="J12" s="993"/>
      <c r="K12" s="995"/>
      <c r="L12" s="996"/>
      <c r="M12" s="1022"/>
      <c r="O12" s="939"/>
      <c r="S12" s="634" t="s">
        <v>905</v>
      </c>
      <c r="T12" s="410" t="s">
        <v>906</v>
      </c>
      <c r="U12" s="1006">
        <v>1</v>
      </c>
    </row>
    <row r="13" spans="1:21" ht="16.5" x14ac:dyDescent="0.3">
      <c r="A13" s="434" t="s">
        <v>918</v>
      </c>
      <c r="B13" s="416"/>
      <c r="C13" s="411"/>
      <c r="D13" s="965"/>
      <c r="E13" s="37"/>
      <c r="F13" s="797"/>
      <c r="G13" s="633"/>
      <c r="H13" s="966"/>
      <c r="I13" s="966"/>
      <c r="J13" s="966"/>
      <c r="K13" s="967"/>
      <c r="L13" s="968"/>
      <c r="M13" s="969"/>
      <c r="S13" s="634" t="s">
        <v>907</v>
      </c>
      <c r="T13" s="410" t="s">
        <v>908</v>
      </c>
      <c r="U13" s="1006">
        <v>1.1599999999999999</v>
      </c>
    </row>
    <row r="14" spans="1:21" ht="17.25" thickBot="1" x14ac:dyDescent="0.35">
      <c r="A14" s="434" t="s">
        <v>666</v>
      </c>
      <c r="B14" s="411"/>
      <c r="C14" s="411"/>
      <c r="D14" s="631"/>
      <c r="E14" s="411"/>
      <c r="F14" s="411"/>
      <c r="G14" s="411"/>
      <c r="H14" s="411"/>
      <c r="I14" s="411"/>
      <c r="J14" s="411"/>
      <c r="K14" s="411"/>
      <c r="L14" s="411"/>
      <c r="M14" s="632"/>
      <c r="S14" s="634" t="s">
        <v>909</v>
      </c>
      <c r="T14" s="410" t="s">
        <v>910</v>
      </c>
      <c r="U14" s="1006">
        <v>1.23</v>
      </c>
    </row>
    <row r="15" spans="1:21" ht="17.25" thickBot="1" x14ac:dyDescent="0.35">
      <c r="A15" s="434" t="s">
        <v>668</v>
      </c>
      <c r="B15" s="411"/>
      <c r="C15" s="411"/>
      <c r="D15" s="1018" t="s">
        <v>665</v>
      </c>
      <c r="E15" s="1019"/>
      <c r="F15" s="1019"/>
      <c r="G15" s="1020">
        <f>AVERAGE(G6:G12)</f>
        <v>0.97888888888888881</v>
      </c>
      <c r="H15" s="1019"/>
      <c r="I15" s="1019"/>
      <c r="J15" s="1019"/>
      <c r="K15" s="1019"/>
      <c r="L15" s="1019"/>
      <c r="M15" s="1021">
        <f>AVERAGE(M6:M12)</f>
        <v>0.75668992729611861</v>
      </c>
      <c r="S15" s="634" t="s">
        <v>911</v>
      </c>
      <c r="T15" s="410" t="s">
        <v>912</v>
      </c>
      <c r="U15" s="1006">
        <v>1.23</v>
      </c>
    </row>
    <row r="16" spans="1:21" ht="17.25" thickBot="1" x14ac:dyDescent="0.35">
      <c r="A16" s="411" t="s">
        <v>684</v>
      </c>
      <c r="B16" s="578">
        <v>0</v>
      </c>
      <c r="C16" s="411"/>
      <c r="D16" s="411"/>
      <c r="E16" s="411"/>
      <c r="F16" s="411"/>
      <c r="G16" s="411"/>
      <c r="H16" s="411"/>
      <c r="I16" s="411"/>
      <c r="J16" s="411"/>
      <c r="K16" s="411"/>
      <c r="L16" s="411"/>
      <c r="M16" s="411"/>
      <c r="S16" s="634" t="s">
        <v>913</v>
      </c>
      <c r="T16" s="410" t="s">
        <v>914</v>
      </c>
      <c r="U16" s="1006">
        <v>1.25</v>
      </c>
    </row>
    <row r="17" spans="1:21" ht="17.25" thickBot="1" x14ac:dyDescent="0.35">
      <c r="A17" s="411"/>
      <c r="B17" s="411"/>
      <c r="C17" s="411"/>
      <c r="D17" s="978" t="s">
        <v>667</v>
      </c>
      <c r="E17" s="630"/>
      <c r="F17" s="979"/>
      <c r="G17" s="979"/>
      <c r="H17" s="979"/>
      <c r="I17" s="979"/>
      <c r="J17" s="979"/>
      <c r="K17" s="630"/>
      <c r="L17" s="630"/>
      <c r="M17" s="1014">
        <f>M15</f>
        <v>0.75668992729611861</v>
      </c>
      <c r="S17" s="953" t="s">
        <v>915</v>
      </c>
      <c r="T17" s="954" t="s">
        <v>916</v>
      </c>
      <c r="U17" s="1007">
        <v>1.98</v>
      </c>
    </row>
    <row r="18" spans="1:21" ht="16.5" x14ac:dyDescent="0.3">
      <c r="A18" s="411"/>
      <c r="B18" s="411"/>
      <c r="C18" s="411"/>
      <c r="D18" s="980" t="str">
        <f>A10</f>
        <v>ASX: TNE D/E</v>
      </c>
      <c r="E18" s="411"/>
      <c r="K18" s="411"/>
      <c r="L18" s="411"/>
      <c r="M18" s="1015">
        <f>B10</f>
        <v>0</v>
      </c>
    </row>
    <row r="19" spans="1:21" ht="17.25" thickBot="1" x14ac:dyDescent="0.35">
      <c r="A19" s="411"/>
      <c r="B19" s="411"/>
      <c r="C19" s="411"/>
      <c r="D19" s="980" t="str">
        <f>A11</f>
        <v>ASX: TNE P/E</v>
      </c>
      <c r="E19" s="411"/>
      <c r="F19" s="411"/>
      <c r="G19" s="411"/>
      <c r="H19" s="411"/>
      <c r="I19" s="411"/>
      <c r="J19" s="411"/>
      <c r="K19" s="411"/>
      <c r="L19" s="411"/>
      <c r="M19" s="1016">
        <f>B11</f>
        <v>0</v>
      </c>
    </row>
    <row r="20" spans="1:21" ht="18.75" thickBot="1" x14ac:dyDescent="0.35">
      <c r="A20" s="1243" t="s">
        <v>669</v>
      </c>
      <c r="B20" s="1244"/>
      <c r="C20" s="411"/>
      <c r="D20" s="980" t="str">
        <f>A5</f>
        <v>Tax Rate (5-Year Average)</v>
      </c>
      <c r="E20" s="411"/>
      <c r="F20" s="411"/>
      <c r="G20" s="411"/>
      <c r="H20" s="411"/>
      <c r="I20" s="411"/>
      <c r="J20" s="411"/>
      <c r="K20" s="411"/>
      <c r="L20" s="411"/>
      <c r="M20" s="1015">
        <f>B5</f>
        <v>0.19661124784918707</v>
      </c>
    </row>
    <row r="21" spans="1:21" ht="17.25" thickBot="1" x14ac:dyDescent="0.35">
      <c r="A21" s="631"/>
      <c r="B21" s="632"/>
      <c r="C21" s="411"/>
      <c r="D21" s="982" t="s">
        <v>688</v>
      </c>
      <c r="E21" s="983"/>
      <c r="F21" s="983"/>
      <c r="G21" s="983"/>
      <c r="H21" s="983"/>
      <c r="I21" s="983"/>
      <c r="J21" s="983"/>
      <c r="K21" s="983"/>
      <c r="L21" s="983"/>
      <c r="M21" s="1017">
        <f>M17*(1+M18*(1-M20)+M19)</f>
        <v>0.75668992729611861</v>
      </c>
    </row>
    <row r="22" spans="1:21" ht="17.25" thickBot="1" x14ac:dyDescent="0.35">
      <c r="A22" s="631" t="s">
        <v>671</v>
      </c>
      <c r="B22" s="975">
        <f>B7-B6</f>
        <v>9.3460000000000001E-2</v>
      </c>
      <c r="C22" s="411"/>
      <c r="D22" s="411"/>
      <c r="E22" s="411"/>
      <c r="F22" s="411"/>
      <c r="G22" s="411"/>
      <c r="H22" s="411"/>
      <c r="I22" s="411"/>
      <c r="J22" s="411"/>
      <c r="K22" s="411"/>
      <c r="L22" s="411"/>
      <c r="M22" s="411"/>
    </row>
    <row r="23" spans="1:21" ht="36.75" thickBot="1" x14ac:dyDescent="0.35">
      <c r="A23" s="631" t="s">
        <v>687</v>
      </c>
      <c r="B23" s="969">
        <f>M21</f>
        <v>0.75668992729611861</v>
      </c>
      <c r="C23" s="411"/>
      <c r="D23" s="1243" t="s">
        <v>670</v>
      </c>
      <c r="E23" s="1244"/>
      <c r="F23" s="411"/>
      <c r="G23" s="411"/>
      <c r="H23" s="411"/>
      <c r="I23" s="411"/>
      <c r="J23" s="411"/>
      <c r="K23" s="411"/>
      <c r="L23" s="411"/>
      <c r="M23" s="411"/>
    </row>
    <row r="24" spans="1:21" ht="16.5" x14ac:dyDescent="0.3">
      <c r="A24" s="631" t="s">
        <v>672</v>
      </c>
      <c r="B24" s="975">
        <f>B6</f>
        <v>6.5399999999999998E-3</v>
      </c>
      <c r="C24" s="411"/>
      <c r="D24" s="631"/>
      <c r="E24" s="632"/>
      <c r="F24" s="411"/>
      <c r="G24" s="411"/>
      <c r="H24" s="411"/>
      <c r="I24" s="411"/>
      <c r="J24" s="411"/>
      <c r="K24" s="411"/>
      <c r="L24" s="411"/>
      <c r="M24" s="411"/>
    </row>
    <row r="25" spans="1:21" ht="16.5" x14ac:dyDescent="0.3">
      <c r="A25" s="631" t="s">
        <v>663</v>
      </c>
      <c r="B25" s="975">
        <v>0.02</v>
      </c>
      <c r="C25" s="411"/>
      <c r="D25" s="631" t="s">
        <v>657</v>
      </c>
      <c r="E25" s="971">
        <v>0</v>
      </c>
      <c r="F25" s="411"/>
      <c r="G25" s="411"/>
      <c r="H25" s="411"/>
      <c r="I25" s="411"/>
      <c r="J25" s="411"/>
      <c r="K25" s="411"/>
      <c r="L25" s="411"/>
      <c r="M25" s="411"/>
    </row>
    <row r="26" spans="1:21" ht="16.5" x14ac:dyDescent="0.3">
      <c r="A26" s="984" t="s">
        <v>673</v>
      </c>
      <c r="B26" s="985">
        <f>(B22*B23)+B24+B25</f>
        <v>9.7260240605095249E-2</v>
      </c>
      <c r="C26" s="411"/>
      <c r="D26" s="972" t="s">
        <v>658</v>
      </c>
      <c r="E26" s="973">
        <f>'3 way Model - TNE '!G362</f>
        <v>3049066.952</v>
      </c>
      <c r="F26" s="411"/>
      <c r="G26" s="411"/>
      <c r="H26" s="411"/>
      <c r="I26" s="411"/>
      <c r="J26" s="411"/>
      <c r="K26" s="411"/>
      <c r="L26" s="411"/>
      <c r="M26" s="411"/>
    </row>
    <row r="27" spans="1:21" ht="16.5" x14ac:dyDescent="0.3">
      <c r="A27" s="631" t="s">
        <v>685</v>
      </c>
      <c r="B27" s="981">
        <f>E26/(E25+E27+E26)</f>
        <v>1</v>
      </c>
      <c r="C27" s="411"/>
      <c r="D27" s="972" t="s">
        <v>659</v>
      </c>
      <c r="E27" s="974">
        <v>0</v>
      </c>
      <c r="F27" s="411"/>
      <c r="G27" s="411"/>
      <c r="H27" s="411"/>
      <c r="I27" s="411"/>
      <c r="J27" s="411"/>
      <c r="K27" s="411"/>
      <c r="L27" s="411"/>
      <c r="M27" s="411"/>
    </row>
    <row r="28" spans="1:21" ht="16.5" x14ac:dyDescent="0.3">
      <c r="A28" s="986" t="s">
        <v>674</v>
      </c>
      <c r="B28" s="987">
        <f>B26*B27</f>
        <v>9.7260240605095249E-2</v>
      </c>
      <c r="C28" s="411"/>
      <c r="D28" s="972" t="s">
        <v>660</v>
      </c>
      <c r="E28" s="975">
        <f>B10</f>
        <v>0</v>
      </c>
      <c r="F28" s="411"/>
      <c r="G28" s="411"/>
      <c r="H28" s="411"/>
      <c r="I28" s="411"/>
      <c r="J28" s="411"/>
      <c r="K28" s="411"/>
      <c r="L28" s="411"/>
      <c r="M28" s="411"/>
    </row>
    <row r="29" spans="1:21" ht="17.25" thickBot="1" x14ac:dyDescent="0.35">
      <c r="A29" s="631"/>
      <c r="B29" s="632"/>
      <c r="C29" s="411"/>
      <c r="D29" s="976" t="s">
        <v>661</v>
      </c>
      <c r="E29" s="977">
        <f>B11</f>
        <v>0</v>
      </c>
      <c r="F29" s="411"/>
      <c r="G29" s="411"/>
      <c r="H29" s="411"/>
      <c r="I29" s="411"/>
      <c r="J29" s="411"/>
      <c r="K29" s="411"/>
      <c r="L29" s="411"/>
      <c r="M29" s="411"/>
    </row>
    <row r="30" spans="1:21" ht="16.5" x14ac:dyDescent="0.3">
      <c r="A30" s="631" t="s">
        <v>675</v>
      </c>
      <c r="B30" s="975">
        <f>B13</f>
        <v>0</v>
      </c>
      <c r="C30" s="411"/>
      <c r="D30" s="411"/>
      <c r="E30" s="411"/>
      <c r="F30" s="411"/>
      <c r="G30" s="411"/>
      <c r="H30" s="411"/>
      <c r="I30" s="411"/>
      <c r="J30" s="411"/>
      <c r="K30" s="411"/>
      <c r="L30" s="411"/>
      <c r="M30" s="411"/>
    </row>
    <row r="31" spans="1:21" ht="16.5" x14ac:dyDescent="0.3">
      <c r="A31" s="631" t="s">
        <v>676</v>
      </c>
      <c r="B31" s="975">
        <f>B5</f>
        <v>0.19661124784918707</v>
      </c>
      <c r="C31" s="411"/>
      <c r="D31" s="411"/>
      <c r="E31" s="411"/>
      <c r="F31" s="411"/>
      <c r="G31" s="411"/>
      <c r="H31" s="411"/>
      <c r="I31" s="411"/>
      <c r="J31" s="411"/>
      <c r="K31" s="411"/>
      <c r="L31" s="411"/>
      <c r="M31" s="411"/>
    </row>
    <row r="32" spans="1:21" ht="16.5" x14ac:dyDescent="0.3">
      <c r="A32" s="984" t="s">
        <v>677</v>
      </c>
      <c r="B32" s="988">
        <f>B30*(1-B31)</f>
        <v>0</v>
      </c>
      <c r="C32" s="411"/>
      <c r="D32" s="411"/>
      <c r="E32" s="411"/>
      <c r="F32" s="411"/>
      <c r="G32" s="411"/>
      <c r="H32" s="411"/>
      <c r="I32" s="411"/>
      <c r="J32" s="411"/>
      <c r="K32" s="411"/>
      <c r="L32" s="411"/>
      <c r="M32" s="411"/>
    </row>
    <row r="33" spans="1:13" ht="16.5" x14ac:dyDescent="0.3">
      <c r="A33" s="631" t="s">
        <v>681</v>
      </c>
      <c r="B33" s="981">
        <f>E25/(E25+E26+E27)</f>
        <v>0</v>
      </c>
      <c r="C33" s="411"/>
      <c r="D33" s="411"/>
      <c r="E33" s="411"/>
      <c r="F33" s="411"/>
      <c r="G33" s="411"/>
      <c r="H33" s="411"/>
      <c r="I33" s="411"/>
      <c r="J33" s="411"/>
      <c r="K33" s="411"/>
      <c r="L33" s="411"/>
      <c r="M33" s="411"/>
    </row>
    <row r="34" spans="1:13" ht="16.5" x14ac:dyDescent="0.3">
      <c r="A34" s="986" t="s">
        <v>678</v>
      </c>
      <c r="B34" s="987">
        <f>B32*B33</f>
        <v>0</v>
      </c>
      <c r="C34" s="411"/>
      <c r="D34" s="411"/>
      <c r="E34" s="411"/>
      <c r="F34" s="411"/>
      <c r="G34" s="411"/>
      <c r="H34" s="411"/>
      <c r="I34" s="411"/>
      <c r="J34" s="411"/>
      <c r="K34" s="411"/>
      <c r="L34" s="411"/>
      <c r="M34" s="411"/>
    </row>
    <row r="35" spans="1:13" ht="16.5" x14ac:dyDescent="0.3">
      <c r="A35" s="631"/>
      <c r="B35" s="632"/>
      <c r="C35" s="411"/>
      <c r="D35" s="411"/>
      <c r="E35" s="411"/>
      <c r="F35" s="411"/>
      <c r="G35" s="411"/>
      <c r="H35" s="411"/>
      <c r="I35" s="411"/>
      <c r="J35" s="411"/>
      <c r="K35" s="411"/>
      <c r="L35" s="411"/>
      <c r="M35" s="411"/>
    </row>
    <row r="36" spans="1:13" ht="16.5" x14ac:dyDescent="0.3">
      <c r="A36" s="631" t="s">
        <v>679</v>
      </c>
      <c r="B36" s="974">
        <v>0</v>
      </c>
      <c r="C36" s="411"/>
      <c r="D36" s="411"/>
      <c r="E36" s="411"/>
      <c r="F36" s="411"/>
      <c r="G36" s="411"/>
      <c r="H36" s="411"/>
      <c r="I36" s="411"/>
      <c r="J36" s="411"/>
      <c r="K36" s="411"/>
      <c r="L36" s="411"/>
      <c r="M36" s="411"/>
    </row>
    <row r="37" spans="1:13" ht="16.5" x14ac:dyDescent="0.3">
      <c r="A37" s="631" t="s">
        <v>686</v>
      </c>
      <c r="B37" s="981">
        <f>E27/(E25+E27+E26)</f>
        <v>0</v>
      </c>
      <c r="C37" s="411"/>
      <c r="D37" s="411"/>
      <c r="E37" s="411"/>
      <c r="F37" s="411"/>
      <c r="G37" s="411"/>
      <c r="H37" s="411"/>
      <c r="I37" s="411"/>
      <c r="J37" s="411"/>
      <c r="K37" s="411"/>
      <c r="L37" s="411"/>
      <c r="M37" s="411"/>
    </row>
    <row r="38" spans="1:13" ht="16.5" x14ac:dyDescent="0.3">
      <c r="A38" s="986" t="s">
        <v>680</v>
      </c>
      <c r="B38" s="989">
        <f>B36*B37</f>
        <v>0</v>
      </c>
      <c r="C38" s="411"/>
      <c r="D38" s="411"/>
      <c r="E38" s="411"/>
      <c r="F38" s="411"/>
      <c r="G38" s="411"/>
      <c r="H38" s="411"/>
      <c r="I38" s="411"/>
      <c r="J38" s="411"/>
      <c r="K38" s="411"/>
      <c r="L38" s="411"/>
      <c r="M38" s="411"/>
    </row>
    <row r="39" spans="1:13" ht="16.5" x14ac:dyDescent="0.3">
      <c r="A39" s="631"/>
      <c r="B39" s="632"/>
      <c r="C39" s="411"/>
      <c r="D39" s="411"/>
      <c r="E39" s="411"/>
      <c r="F39" s="411"/>
      <c r="G39" s="411"/>
      <c r="H39" s="411"/>
      <c r="I39" s="411"/>
      <c r="J39" s="411"/>
      <c r="K39" s="411"/>
      <c r="L39" s="411"/>
      <c r="M39" s="411"/>
    </row>
    <row r="40" spans="1:13" ht="17.25" thickBot="1" x14ac:dyDescent="0.35">
      <c r="A40" s="990" t="s">
        <v>669</v>
      </c>
      <c r="B40" s="991">
        <f>B28+B34+B38</f>
        <v>9.7260240605095249E-2</v>
      </c>
      <c r="C40" s="411"/>
      <c r="D40" s="411"/>
      <c r="E40" s="411"/>
      <c r="F40" s="411"/>
      <c r="G40" s="411"/>
      <c r="H40" s="411"/>
      <c r="I40" s="411"/>
      <c r="J40" s="411"/>
      <c r="K40" s="411"/>
      <c r="L40" s="411"/>
      <c r="M40" s="411"/>
    </row>
    <row r="41" spans="1:13" ht="16.5" x14ac:dyDescent="0.3">
      <c r="D41" s="411"/>
      <c r="E41" s="411"/>
      <c r="F41" s="411"/>
      <c r="G41" s="411"/>
      <c r="H41" s="411"/>
      <c r="I41" s="411"/>
      <c r="J41" s="411"/>
      <c r="K41" s="411"/>
      <c r="L41" s="411"/>
      <c r="M41" s="411"/>
    </row>
    <row r="42" spans="1:13" ht="16.5" x14ac:dyDescent="0.3">
      <c r="D42" s="411"/>
      <c r="E42" s="411"/>
      <c r="F42" s="411"/>
      <c r="G42" s="411"/>
      <c r="H42" s="411"/>
      <c r="I42" s="411"/>
      <c r="J42" s="411"/>
      <c r="K42" s="411"/>
      <c r="L42" s="411"/>
      <c r="M42" s="411"/>
    </row>
    <row r="43" spans="1:13" ht="16.5" x14ac:dyDescent="0.3">
      <c r="D43" s="411"/>
      <c r="E43" s="411"/>
      <c r="F43" s="411"/>
      <c r="G43" s="411"/>
      <c r="H43" s="411"/>
      <c r="I43" s="411"/>
      <c r="J43" s="411"/>
      <c r="K43" s="411"/>
      <c r="L43" s="411"/>
      <c r="M43" s="41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2"/>
  </sheetPr>
  <dimension ref="A1:CZ30"/>
  <sheetViews>
    <sheetView topLeftCell="A12" workbookViewId="0">
      <selection activeCell="J23" sqref="J23"/>
    </sheetView>
  </sheetViews>
  <sheetFormatPr defaultColWidth="9.33203125" defaultRowHeight="12.75" x14ac:dyDescent="0.2"/>
  <cols>
    <col min="1" max="1" width="44.33203125" style="410" bestFit="1" customWidth="1"/>
    <col min="2" max="5" width="15.33203125" style="410" customWidth="1"/>
    <col min="6" max="6" width="13.6640625" style="410" customWidth="1"/>
    <col min="7" max="7" width="9.6640625" style="410" bestFit="1" customWidth="1"/>
    <col min="8" max="9" width="9.33203125" style="410"/>
    <col min="10" max="10" width="96.33203125" style="410" bestFit="1" customWidth="1"/>
    <col min="11" max="16384" width="9.33203125" style="410"/>
  </cols>
  <sheetData>
    <row r="1" spans="1:104" s="1218" customFormat="1" ht="18" x14ac:dyDescent="0.2">
      <c r="A1" s="1219" t="s">
        <v>696</v>
      </c>
      <c r="B1" s="1220"/>
      <c r="C1" s="1220"/>
      <c r="D1" s="1220"/>
      <c r="E1" s="1220"/>
      <c r="F1" s="1221"/>
      <c r="G1" s="410"/>
      <c r="H1" s="410"/>
      <c r="I1" s="410"/>
      <c r="J1" s="410"/>
      <c r="K1" s="410"/>
      <c r="L1" s="410"/>
      <c r="M1" s="410"/>
      <c r="N1" s="410"/>
      <c r="O1" s="410"/>
      <c r="P1" s="410"/>
      <c r="Q1" s="410"/>
      <c r="R1" s="410"/>
      <c r="S1" s="410"/>
      <c r="T1" s="410"/>
      <c r="U1" s="410"/>
      <c r="V1" s="410"/>
      <c r="W1" s="410"/>
      <c r="X1" s="410"/>
      <c r="Y1" s="410"/>
      <c r="Z1" s="410"/>
      <c r="AA1" s="410"/>
      <c r="AB1" s="410"/>
      <c r="AC1" s="410"/>
      <c r="AD1" s="410"/>
      <c r="AE1" s="410"/>
      <c r="AF1" s="410"/>
      <c r="AG1" s="410"/>
      <c r="AH1" s="410"/>
      <c r="AI1" s="410"/>
      <c r="AJ1" s="410"/>
      <c r="AK1" s="410"/>
      <c r="AL1" s="410"/>
      <c r="AM1" s="410"/>
      <c r="AN1" s="410"/>
      <c r="AO1" s="410"/>
      <c r="AP1" s="410"/>
      <c r="AQ1" s="410"/>
      <c r="AR1" s="410"/>
      <c r="AS1" s="410"/>
      <c r="AT1" s="410"/>
      <c r="AU1" s="410"/>
      <c r="AV1" s="410"/>
      <c r="AW1" s="410"/>
      <c r="AX1" s="410"/>
      <c r="AY1" s="410"/>
      <c r="AZ1" s="410"/>
      <c r="BA1" s="410"/>
      <c r="BB1" s="410"/>
      <c r="BC1" s="410"/>
      <c r="BD1" s="410"/>
      <c r="BE1" s="410"/>
      <c r="BF1" s="410"/>
      <c r="BG1" s="410"/>
      <c r="BH1" s="410"/>
      <c r="BI1" s="410"/>
      <c r="BJ1" s="410"/>
      <c r="BK1" s="410"/>
      <c r="BL1" s="410"/>
      <c r="BM1" s="410"/>
      <c r="BN1" s="410"/>
      <c r="BO1" s="410"/>
      <c r="BP1" s="410"/>
      <c r="BQ1" s="410"/>
      <c r="BR1" s="410"/>
      <c r="BS1" s="410"/>
      <c r="BT1" s="410"/>
      <c r="BU1" s="410"/>
      <c r="BV1" s="410"/>
      <c r="BW1" s="410"/>
      <c r="BX1" s="410"/>
      <c r="BY1" s="410"/>
      <c r="BZ1" s="410"/>
      <c r="CA1" s="410"/>
      <c r="CB1" s="410"/>
      <c r="CC1" s="410"/>
      <c r="CD1" s="410"/>
      <c r="CE1" s="410"/>
      <c r="CF1" s="410"/>
      <c r="CG1" s="410"/>
      <c r="CH1" s="410"/>
      <c r="CI1" s="410"/>
      <c r="CJ1" s="410"/>
      <c r="CK1" s="410"/>
      <c r="CL1" s="410"/>
      <c r="CM1" s="410"/>
      <c r="CN1" s="410"/>
      <c r="CO1" s="410"/>
      <c r="CP1" s="410"/>
      <c r="CQ1" s="410"/>
      <c r="CR1" s="410"/>
      <c r="CS1" s="410"/>
      <c r="CT1" s="410"/>
      <c r="CU1" s="410"/>
      <c r="CV1" s="410"/>
      <c r="CW1" s="410"/>
      <c r="CX1" s="410"/>
      <c r="CY1" s="410"/>
      <c r="CZ1" s="410"/>
    </row>
    <row r="2" spans="1:104" s="1218" customFormat="1" ht="18" x14ac:dyDescent="0.2">
      <c r="A2" s="1222" t="s">
        <v>697</v>
      </c>
      <c r="F2" s="1217"/>
      <c r="G2" s="410"/>
      <c r="H2" s="410"/>
      <c r="I2" s="410"/>
      <c r="J2" s="410"/>
      <c r="K2" s="410"/>
      <c r="L2" s="410"/>
      <c r="M2" s="410"/>
      <c r="N2" s="410"/>
      <c r="O2" s="410"/>
      <c r="P2" s="410"/>
      <c r="Q2" s="410"/>
      <c r="R2" s="410"/>
      <c r="S2" s="410"/>
      <c r="T2" s="410"/>
      <c r="U2" s="410"/>
      <c r="V2" s="410"/>
      <c r="W2" s="410"/>
      <c r="X2" s="410"/>
      <c r="Y2" s="410"/>
      <c r="Z2" s="410"/>
      <c r="AA2" s="410"/>
      <c r="AB2" s="410"/>
      <c r="AC2" s="410"/>
      <c r="AD2" s="410"/>
      <c r="AE2" s="410"/>
      <c r="AF2" s="410"/>
      <c r="AG2" s="410"/>
      <c r="AH2" s="410"/>
      <c r="AI2" s="410"/>
      <c r="AJ2" s="410"/>
      <c r="AK2" s="410"/>
      <c r="AL2" s="410"/>
      <c r="AM2" s="410"/>
      <c r="AN2" s="410"/>
      <c r="AO2" s="410"/>
      <c r="AP2" s="410"/>
      <c r="AQ2" s="410"/>
      <c r="AR2" s="410"/>
      <c r="AS2" s="410"/>
      <c r="AT2" s="410"/>
      <c r="AU2" s="410"/>
      <c r="AV2" s="410"/>
      <c r="AW2" s="410"/>
      <c r="AX2" s="410"/>
      <c r="AY2" s="410"/>
      <c r="AZ2" s="410"/>
      <c r="BA2" s="410"/>
      <c r="BB2" s="410"/>
      <c r="BC2" s="410"/>
      <c r="BD2" s="410"/>
      <c r="BE2" s="410"/>
      <c r="BF2" s="410"/>
      <c r="BG2" s="410"/>
      <c r="BH2" s="410"/>
      <c r="BI2" s="410"/>
      <c r="BJ2" s="410"/>
      <c r="BK2" s="410"/>
      <c r="BL2" s="410"/>
      <c r="BM2" s="410"/>
      <c r="BN2" s="410"/>
      <c r="BO2" s="410"/>
      <c r="BP2" s="410"/>
      <c r="BQ2" s="410"/>
      <c r="BR2" s="410"/>
      <c r="BS2" s="410"/>
      <c r="BT2" s="410"/>
      <c r="BU2" s="410"/>
      <c r="BV2" s="410"/>
      <c r="BW2" s="410"/>
      <c r="BX2" s="410"/>
      <c r="BY2" s="410"/>
      <c r="BZ2" s="410"/>
      <c r="CA2" s="410"/>
      <c r="CB2" s="410"/>
      <c r="CC2" s="410"/>
      <c r="CD2" s="410"/>
      <c r="CE2" s="410"/>
      <c r="CF2" s="410"/>
      <c r="CG2" s="410"/>
      <c r="CH2" s="410"/>
      <c r="CI2" s="410"/>
      <c r="CJ2" s="410"/>
      <c r="CK2" s="410"/>
      <c r="CL2" s="410"/>
      <c r="CM2" s="410"/>
      <c r="CN2" s="410"/>
      <c r="CO2" s="410"/>
      <c r="CP2" s="410"/>
      <c r="CQ2" s="410"/>
      <c r="CR2" s="410"/>
      <c r="CS2" s="410"/>
      <c r="CT2" s="410"/>
      <c r="CU2" s="410"/>
      <c r="CV2" s="410"/>
      <c r="CW2" s="410"/>
      <c r="CX2" s="410"/>
      <c r="CY2" s="410"/>
      <c r="CZ2" s="410"/>
    </row>
    <row r="3" spans="1:104" x14ac:dyDescent="0.2">
      <c r="A3" s="634"/>
      <c r="F3" s="999"/>
    </row>
    <row r="4" spans="1:104" s="1218" customFormat="1" ht="18" x14ac:dyDescent="0.2">
      <c r="A4" s="1222"/>
      <c r="C4" s="1218" t="s">
        <v>707</v>
      </c>
      <c r="D4" s="1218" t="s">
        <v>739</v>
      </c>
      <c r="E4" s="1218" t="s">
        <v>498</v>
      </c>
      <c r="F4" s="1217" t="s">
        <v>708</v>
      </c>
      <c r="G4" s="410"/>
      <c r="H4" s="410"/>
      <c r="I4" s="410"/>
      <c r="J4" s="410"/>
      <c r="K4" s="410"/>
      <c r="L4" s="410"/>
      <c r="M4" s="410"/>
      <c r="N4" s="410"/>
      <c r="O4" s="410"/>
      <c r="P4" s="410"/>
      <c r="Q4" s="410"/>
      <c r="R4" s="410"/>
      <c r="S4" s="410"/>
      <c r="T4" s="410"/>
      <c r="U4" s="410"/>
      <c r="V4" s="410"/>
      <c r="W4" s="410"/>
      <c r="X4" s="410"/>
      <c r="Y4" s="410"/>
      <c r="Z4" s="410"/>
      <c r="AA4" s="410"/>
      <c r="AB4" s="410"/>
      <c r="AC4" s="410"/>
      <c r="AD4" s="410"/>
      <c r="AE4" s="410"/>
      <c r="AF4" s="410"/>
      <c r="AG4" s="410"/>
      <c r="AH4" s="410"/>
      <c r="AI4" s="410"/>
      <c r="AJ4" s="410"/>
      <c r="AK4" s="410"/>
      <c r="AL4" s="410"/>
      <c r="AM4" s="410"/>
      <c r="AN4" s="410"/>
      <c r="AO4" s="410"/>
      <c r="AP4" s="410"/>
      <c r="AQ4" s="410"/>
      <c r="AR4" s="410"/>
      <c r="AS4" s="410"/>
      <c r="AT4" s="410"/>
      <c r="AU4" s="410"/>
      <c r="AV4" s="410"/>
      <c r="AW4" s="410"/>
      <c r="AX4" s="410"/>
      <c r="AY4" s="410"/>
      <c r="AZ4" s="410"/>
      <c r="BA4" s="410"/>
      <c r="BB4" s="410"/>
      <c r="BC4" s="410"/>
      <c r="BD4" s="410"/>
      <c r="BE4" s="410"/>
      <c r="BF4" s="410"/>
      <c r="BG4" s="410"/>
      <c r="BH4" s="410"/>
      <c r="BI4" s="410"/>
      <c r="BJ4" s="410"/>
      <c r="BK4" s="410"/>
      <c r="BL4" s="410"/>
      <c r="BM4" s="410"/>
      <c r="BN4" s="410"/>
      <c r="BO4" s="410"/>
      <c r="BP4" s="410"/>
      <c r="BQ4" s="410"/>
      <c r="BR4" s="410"/>
      <c r="BS4" s="410"/>
      <c r="BT4" s="410"/>
      <c r="BU4" s="410"/>
      <c r="BV4" s="410"/>
      <c r="BW4" s="410"/>
      <c r="BX4" s="410"/>
      <c r="BY4" s="410"/>
      <c r="BZ4" s="410"/>
      <c r="CA4" s="410"/>
      <c r="CB4" s="410"/>
      <c r="CC4" s="410"/>
      <c r="CD4" s="410"/>
      <c r="CE4" s="410"/>
      <c r="CF4" s="410"/>
      <c r="CG4" s="410"/>
      <c r="CH4" s="410"/>
      <c r="CI4" s="410"/>
      <c r="CJ4" s="410"/>
      <c r="CK4" s="410"/>
      <c r="CL4" s="410"/>
      <c r="CM4" s="410"/>
      <c r="CN4" s="410"/>
      <c r="CO4" s="410"/>
      <c r="CP4" s="410"/>
      <c r="CQ4" s="410"/>
      <c r="CR4" s="410"/>
      <c r="CS4" s="410"/>
      <c r="CT4" s="410"/>
      <c r="CU4" s="410"/>
      <c r="CV4" s="410"/>
      <c r="CW4" s="410"/>
      <c r="CX4" s="410"/>
      <c r="CY4" s="410"/>
      <c r="CZ4" s="410"/>
    </row>
    <row r="5" spans="1:104" s="1218" customFormat="1" ht="18" x14ac:dyDescent="0.2">
      <c r="A5" s="1222" t="s">
        <v>699</v>
      </c>
      <c r="B5" s="1218" t="s">
        <v>653</v>
      </c>
      <c r="C5" s="1218" t="s">
        <v>738</v>
      </c>
      <c r="D5" s="1218" t="s">
        <v>738</v>
      </c>
      <c r="E5" s="1218" t="s">
        <v>710</v>
      </c>
      <c r="F5" s="1217" t="s">
        <v>710</v>
      </c>
      <c r="G5" s="410"/>
      <c r="H5" s="410"/>
      <c r="I5" s="410"/>
      <c r="J5" s="410"/>
      <c r="K5" s="410"/>
      <c r="L5" s="410"/>
      <c r="M5" s="410"/>
      <c r="N5" s="410"/>
      <c r="O5" s="410"/>
      <c r="P5" s="410"/>
      <c r="Q5" s="410"/>
      <c r="R5" s="410"/>
      <c r="S5" s="410"/>
      <c r="T5" s="410"/>
      <c r="U5" s="410"/>
      <c r="V5" s="410"/>
      <c r="W5" s="410"/>
      <c r="X5" s="410"/>
      <c r="Y5" s="410"/>
      <c r="Z5" s="410"/>
      <c r="AA5" s="410"/>
      <c r="AB5" s="410"/>
      <c r="AC5" s="410"/>
      <c r="AD5" s="410"/>
      <c r="AE5" s="410"/>
      <c r="AF5" s="410"/>
      <c r="AG5" s="410"/>
      <c r="AH5" s="410"/>
      <c r="AI5" s="410"/>
      <c r="AJ5" s="410"/>
      <c r="AK5" s="410"/>
      <c r="AL5" s="410"/>
      <c r="AM5" s="410"/>
      <c r="AN5" s="410"/>
      <c r="AO5" s="410"/>
      <c r="AP5" s="410"/>
      <c r="AQ5" s="410"/>
      <c r="AR5" s="410"/>
      <c r="AS5" s="410"/>
      <c r="AT5" s="410"/>
      <c r="AU5" s="410"/>
      <c r="AV5" s="410"/>
      <c r="AW5" s="410"/>
      <c r="AX5" s="410"/>
      <c r="AY5" s="410"/>
      <c r="AZ5" s="410"/>
      <c r="BA5" s="410"/>
      <c r="BB5" s="410"/>
      <c r="BC5" s="410"/>
      <c r="BD5" s="410"/>
      <c r="BE5" s="410"/>
      <c r="BF5" s="410"/>
      <c r="BG5" s="410"/>
      <c r="BH5" s="410"/>
      <c r="BI5" s="410"/>
      <c r="BJ5" s="410"/>
      <c r="BK5" s="410"/>
      <c r="BL5" s="410"/>
      <c r="BM5" s="410"/>
      <c r="BN5" s="410"/>
      <c r="BO5" s="410"/>
      <c r="BP5" s="410"/>
      <c r="BQ5" s="410"/>
      <c r="BR5" s="410"/>
      <c r="BS5" s="410"/>
      <c r="BT5" s="410"/>
      <c r="BU5" s="410"/>
      <c r="BV5" s="410"/>
      <c r="BW5" s="410"/>
      <c r="BX5" s="410"/>
      <c r="BY5" s="410"/>
      <c r="BZ5" s="410"/>
      <c r="CA5" s="410"/>
      <c r="CB5" s="410"/>
      <c r="CC5" s="410"/>
      <c r="CD5" s="410"/>
      <c r="CE5" s="410"/>
      <c r="CF5" s="410"/>
      <c r="CG5" s="410"/>
      <c r="CH5" s="410"/>
      <c r="CI5" s="410"/>
      <c r="CJ5" s="410"/>
      <c r="CK5" s="410"/>
      <c r="CL5" s="410"/>
      <c r="CM5" s="410"/>
      <c r="CN5" s="410"/>
      <c r="CO5" s="410"/>
      <c r="CP5" s="410"/>
      <c r="CQ5" s="410"/>
      <c r="CR5" s="410"/>
      <c r="CS5" s="410"/>
      <c r="CT5" s="410"/>
      <c r="CU5" s="410"/>
      <c r="CV5" s="410"/>
      <c r="CW5" s="410"/>
      <c r="CX5" s="410"/>
      <c r="CY5" s="410"/>
      <c r="CZ5" s="410"/>
    </row>
    <row r="6" spans="1:104" ht="16.5" x14ac:dyDescent="0.3">
      <c r="A6" s="972" t="s">
        <v>713</v>
      </c>
      <c r="B6" s="1223" t="s">
        <v>714</v>
      </c>
      <c r="C6" s="1224">
        <f>'Comps Input'!B44</f>
        <v>109500</v>
      </c>
      <c r="D6" s="1225">
        <f>'Comps Input'!B40</f>
        <v>0.4712320200125078</v>
      </c>
      <c r="E6" s="1226">
        <f>'Comps Input'!B127</f>
        <v>65.742632639355278</v>
      </c>
      <c r="F6" s="1227">
        <f>'Comps Input'!B$129</f>
        <v>67.417892561983479</v>
      </c>
      <c r="I6" s="393"/>
      <c r="J6" s="393"/>
      <c r="K6" s="760"/>
      <c r="L6"/>
    </row>
    <row r="7" spans="1:104" ht="16.5" x14ac:dyDescent="0.3">
      <c r="A7" s="972" t="s">
        <v>715</v>
      </c>
      <c r="B7" s="1223" t="s">
        <v>716</v>
      </c>
      <c r="C7" s="1224">
        <f>'Comps Input'!C44</f>
        <v>121443</v>
      </c>
      <c r="D7" s="1225">
        <f>'Comps Input'!C40</f>
        <v>0.61799087551132548</v>
      </c>
      <c r="E7" s="1226">
        <f>'Comps Input'!C127</f>
        <v>45.468713566885022</v>
      </c>
      <c r="F7" s="1227">
        <f>'Comps Input'!C$129</f>
        <v>101.69019854479865</v>
      </c>
    </row>
    <row r="8" spans="1:104" ht="16.5" x14ac:dyDescent="0.3">
      <c r="A8" s="972" t="s">
        <v>717</v>
      </c>
      <c r="B8" s="1223" t="s">
        <v>718</v>
      </c>
      <c r="C8" s="1224">
        <f>'Comps Input'!D44</f>
        <v>137910</v>
      </c>
      <c r="D8" s="1225">
        <f>'Comps Input'!D40</f>
        <v>0.91370484485310177</v>
      </c>
      <c r="E8" s="1226">
        <f>'Comps Input'!D127</f>
        <v>9.6936066626309323</v>
      </c>
      <c r="F8" s="1227">
        <f>'Comps Input'!D$129</f>
        <v>12.134185049676224</v>
      </c>
    </row>
    <row r="9" spans="1:104" ht="16.5" x14ac:dyDescent="0.3">
      <c r="A9" s="972" t="s">
        <v>842</v>
      </c>
      <c r="B9" s="1223" t="s">
        <v>842</v>
      </c>
      <c r="C9" s="1224">
        <f>'Comps Input'!E44</f>
        <v>26967112</v>
      </c>
      <c r="D9" s="1225">
        <f>'Comps Input'!E40</f>
        <v>300.98126411339905</v>
      </c>
      <c r="E9" s="1226">
        <f>'Comps Input'!E127</f>
        <v>2.6963932980845389</v>
      </c>
      <c r="F9" s="1227">
        <f>'Comps Input'!E$129</f>
        <v>5.2783434023580353</v>
      </c>
    </row>
    <row r="10" spans="1:104" ht="16.5" x14ac:dyDescent="0.3">
      <c r="A10" s="972" t="s">
        <v>843</v>
      </c>
      <c r="B10" s="1223" t="s">
        <v>847</v>
      </c>
      <c r="C10" s="1228">
        <f>'Comps Input'!F44</f>
        <v>4414</v>
      </c>
      <c r="D10" s="1229">
        <f>'Comps Input'!F40</f>
        <v>7.2245368318411482E-2</v>
      </c>
      <c r="E10" s="1226">
        <f>'Comps Input'!F127</f>
        <v>0.34233269384205761</v>
      </c>
      <c r="F10" s="1227">
        <f>'Comps Input'!F$129</f>
        <v>49.500807271732647</v>
      </c>
    </row>
    <row r="11" spans="1:104" ht="16.5" x14ac:dyDescent="0.3">
      <c r="A11" s="972" t="s">
        <v>844</v>
      </c>
      <c r="B11" s="1223" t="s">
        <v>845</v>
      </c>
      <c r="C11" s="1228">
        <f>'Comps Input'!H44</f>
        <v>0</v>
      </c>
      <c r="D11" s="1229">
        <f>'Comps Input'!H40</f>
        <v>0</v>
      </c>
      <c r="E11" s="1226">
        <f>'Comps Input'!G127</f>
        <v>18.8777447482159</v>
      </c>
      <c r="F11" s="1227">
        <f>'Comps Input'!G$129</f>
        <v>-79.8970590424872</v>
      </c>
    </row>
    <row r="12" spans="1:104" x14ac:dyDescent="0.2">
      <c r="A12" s="634"/>
      <c r="F12" s="999"/>
    </row>
    <row r="13" spans="1:104" ht="16.5" x14ac:dyDescent="0.3">
      <c r="A13" s="1230" t="s">
        <v>711</v>
      </c>
      <c r="B13" s="1231"/>
      <c r="C13" s="1231"/>
      <c r="D13" s="1231"/>
      <c r="E13" s="1232">
        <f>AVERAGE(E6:E11)</f>
        <v>23.803570601502287</v>
      </c>
      <c r="F13" s="1233">
        <f>AVERAGE(F6:F11)</f>
        <v>26.020727964676976</v>
      </c>
    </row>
    <row r="14" spans="1:104" ht="16.5" x14ac:dyDescent="0.3">
      <c r="A14" s="1230" t="s">
        <v>712</v>
      </c>
      <c r="B14" s="1231"/>
      <c r="C14" s="1231"/>
      <c r="D14" s="1231"/>
      <c r="E14" s="1232">
        <f>MEDIAN(E6:E11)</f>
        <v>14.285675705423415</v>
      </c>
      <c r="F14" s="1233">
        <f>MEDIAN(F6:F11)</f>
        <v>30.817496160704437</v>
      </c>
    </row>
    <row r="15" spans="1:104" ht="16.5" x14ac:dyDescent="0.3">
      <c r="A15" s="634"/>
      <c r="C15" s="410" t="s">
        <v>707</v>
      </c>
      <c r="E15" s="1234"/>
      <c r="F15" s="632"/>
    </row>
    <row r="16" spans="1:104" ht="16.5" x14ac:dyDescent="0.3">
      <c r="A16" s="972" t="s">
        <v>573</v>
      </c>
      <c r="B16" s="1223" t="s">
        <v>740</v>
      </c>
      <c r="C16" s="1228">
        <f>'3 way Model - TNE '!G102</f>
        <v>139691</v>
      </c>
      <c r="D16" s="1235">
        <f>'3 way Model - TNE '!G114/100</f>
        <v>0.1961</v>
      </c>
      <c r="E16" s="1228"/>
      <c r="F16" s="1236"/>
    </row>
    <row r="17" spans="1:10" ht="16.5" x14ac:dyDescent="0.3">
      <c r="A17" s="634"/>
      <c r="E17" s="411"/>
      <c r="F17" s="632"/>
    </row>
    <row r="18" spans="1:10" ht="16.5" x14ac:dyDescent="0.3">
      <c r="A18" s="631"/>
      <c r="B18" s="593">
        <v>1</v>
      </c>
      <c r="C18" s="411"/>
      <c r="D18" s="411"/>
      <c r="E18" s="1237">
        <f>CHOOSE(B18,E19,E20)</f>
        <v>1995580.3249663024</v>
      </c>
      <c r="F18" s="632"/>
    </row>
    <row r="19" spans="1:10" ht="16.5" x14ac:dyDescent="0.3">
      <c r="A19" s="1238" t="s">
        <v>762</v>
      </c>
      <c r="E19" s="1228">
        <f>C16*MIN(E13:E14)</f>
        <v>1995580.3249663024</v>
      </c>
      <c r="F19" s="632"/>
    </row>
    <row r="20" spans="1:10" ht="16.5" x14ac:dyDescent="0.3">
      <c r="A20" s="1238" t="s">
        <v>763</v>
      </c>
      <c r="E20" s="1228">
        <f>C16*MAX(E13:E14)</f>
        <v>3325144.5808944558</v>
      </c>
      <c r="F20" s="632"/>
      <c r="G20" s="1212"/>
    </row>
    <row r="21" spans="1:10" ht="16.5" x14ac:dyDescent="0.3">
      <c r="A21" s="631"/>
      <c r="B21" s="1239"/>
      <c r="C21" s="1239"/>
      <c r="D21" s="1239"/>
      <c r="E21" s="1228"/>
      <c r="F21" s="632"/>
    </row>
    <row r="22" spans="1:10" ht="16.5" x14ac:dyDescent="0.3">
      <c r="A22" s="1238" t="s">
        <v>764</v>
      </c>
      <c r="B22" s="411"/>
      <c r="C22" s="411"/>
      <c r="D22" s="411"/>
      <c r="E22" s="1240">
        <f>'3 way Model - TNE '!G364</f>
        <v>125244</v>
      </c>
      <c r="F22" s="632"/>
    </row>
    <row r="23" spans="1:10" ht="16.5" x14ac:dyDescent="0.3">
      <c r="A23" s="972" t="s">
        <v>765</v>
      </c>
      <c r="B23" s="411"/>
      <c r="C23" s="411"/>
      <c r="D23" s="411"/>
      <c r="E23" s="411">
        <f>'3 way Model - TNE '!G363</f>
        <v>0</v>
      </c>
      <c r="F23" s="632"/>
      <c r="J23" s="1213"/>
    </row>
    <row r="24" spans="1:10" ht="16.5" x14ac:dyDescent="0.3">
      <c r="A24" s="1238" t="s">
        <v>766</v>
      </c>
      <c r="B24" s="411"/>
      <c r="C24" s="411"/>
      <c r="D24" s="411"/>
      <c r="E24" s="1241">
        <v>0</v>
      </c>
      <c r="F24" s="632"/>
    </row>
    <row r="25" spans="1:10" ht="17.25" thickBot="1" x14ac:dyDescent="0.35">
      <c r="A25" s="1238"/>
      <c r="B25" s="411"/>
      <c r="C25" s="411"/>
      <c r="D25" s="411"/>
      <c r="E25" s="411"/>
      <c r="F25" s="632"/>
    </row>
    <row r="26" spans="1:10" ht="17.25" thickBot="1" x14ac:dyDescent="0.35">
      <c r="A26" s="1238" t="s">
        <v>767</v>
      </c>
      <c r="B26" s="411"/>
      <c r="C26" s="411"/>
      <c r="D26" s="411"/>
      <c r="E26" s="1192">
        <f>E18+E22-E23-E24</f>
        <v>2120824.3249663021</v>
      </c>
      <c r="F26" s="632"/>
    </row>
    <row r="27" spans="1:10" ht="17.25" thickBot="1" x14ac:dyDescent="0.35">
      <c r="A27" s="631"/>
      <c r="B27" s="411"/>
      <c r="C27" s="411"/>
      <c r="D27" s="411"/>
      <c r="E27" s="411"/>
      <c r="F27" s="632"/>
    </row>
    <row r="28" spans="1:10" ht="33.75" thickBot="1" x14ac:dyDescent="0.35">
      <c r="A28" s="594" t="s">
        <v>768</v>
      </c>
      <c r="B28" s="1189">
        <f>E26/(('3 way Model - TNE '!C349)/1000)</f>
        <v>6.607867719652444</v>
      </c>
      <c r="C28" s="411"/>
      <c r="D28" s="411"/>
      <c r="E28" s="411"/>
      <c r="F28" s="632"/>
    </row>
    <row r="29" spans="1:10" ht="16.5" x14ac:dyDescent="0.3">
      <c r="A29" s="631" t="s">
        <v>769</v>
      </c>
      <c r="B29" s="1190">
        <f>(E19+E22-E23-E24)/('3 way Model - TNE '!C349/1000)</f>
        <v>6.607867719652444</v>
      </c>
      <c r="C29" s="1239"/>
      <c r="D29" s="1239"/>
      <c r="E29" s="411"/>
      <c r="F29" s="632"/>
    </row>
    <row r="30" spans="1:10" ht="17.25" thickBot="1" x14ac:dyDescent="0.35">
      <c r="A30" s="635" t="s">
        <v>770</v>
      </c>
      <c r="B30" s="1191">
        <f>(E20+E22-E23-E24)/('3 way Model - TNE '!C349/1000)</f>
        <v>10.750400707664529</v>
      </c>
      <c r="C30" s="1242"/>
      <c r="D30" s="1242"/>
      <c r="E30" s="636"/>
      <c r="F30" s="637"/>
    </row>
  </sheetData>
  <pageMargins left="0.7" right="0.7" top="0.75" bottom="0.75" header="0.3" footer="0.3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Drop Down 2">
              <controlPr defaultSize="0" autoLine="0" autoPict="0">
                <anchor moveWithCells="1">
                  <from>
                    <xdr:col>0</xdr:col>
                    <xdr:colOff>0</xdr:colOff>
                    <xdr:row>17</xdr:row>
                    <xdr:rowOff>19050</xdr:rowOff>
                  </from>
                  <to>
                    <xdr:col>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2"/>
  <sheetViews>
    <sheetView topLeftCell="A16" workbookViewId="0">
      <selection activeCell="E11" sqref="E11 A46"/>
    </sheetView>
  </sheetViews>
  <sheetFormatPr defaultRowHeight="12.75" x14ac:dyDescent="0.2"/>
  <cols>
    <col min="1" max="1" width="59.1640625" style="410" customWidth="1"/>
    <col min="2" max="5" width="14.83203125" style="410" customWidth="1"/>
    <col min="6" max="6" width="17" style="410" customWidth="1"/>
    <col min="7" max="7" width="14.5" customWidth="1"/>
    <col min="8" max="8" width="17.1640625" customWidth="1"/>
    <col min="10" max="10" width="11.1640625" bestFit="1" customWidth="1"/>
    <col min="11" max="11" width="12.1640625" bestFit="1" customWidth="1"/>
    <col min="12" max="12" width="9.83203125" bestFit="1" customWidth="1"/>
  </cols>
  <sheetData>
    <row r="1" spans="1:12" ht="18" x14ac:dyDescent="0.2">
      <c r="A1" s="1218" t="s">
        <v>696</v>
      </c>
      <c r="B1" s="1218"/>
      <c r="C1" s="1218"/>
      <c r="D1" s="1218"/>
      <c r="E1" s="1218"/>
      <c r="F1" s="1218"/>
      <c r="G1" s="1218"/>
      <c r="H1" s="1218"/>
      <c r="I1" s="1218"/>
      <c r="J1" s="1218"/>
      <c r="K1" s="1218"/>
      <c r="L1" s="1218"/>
    </row>
    <row r="2" spans="1:12" ht="18" x14ac:dyDescent="0.2">
      <c r="A2" s="1218" t="s">
        <v>697</v>
      </c>
      <c r="B2" s="1218"/>
      <c r="C2" s="1218"/>
      <c r="D2" s="1218"/>
      <c r="E2" s="1218"/>
      <c r="F2" s="1218"/>
      <c r="G2" s="1218"/>
      <c r="H2" s="1218"/>
      <c r="I2" s="1218"/>
      <c r="J2" s="1218"/>
      <c r="K2" s="1218"/>
      <c r="L2" s="1218"/>
    </row>
    <row r="3" spans="1:12" ht="16.5" x14ac:dyDescent="0.3">
      <c r="A3" s="411"/>
      <c r="B3" s="411"/>
      <c r="C3" s="411"/>
      <c r="D3" s="411"/>
      <c r="E3" s="411"/>
      <c r="F3" s="411"/>
      <c r="G3" s="411"/>
      <c r="H3" s="411"/>
      <c r="I3" s="411"/>
      <c r="J3" s="411"/>
      <c r="K3" s="411"/>
      <c r="L3" s="411"/>
    </row>
    <row r="4" spans="1:12" s="1218" customFormat="1" ht="18" x14ac:dyDescent="0.2">
      <c r="A4" s="1218" t="s">
        <v>698</v>
      </c>
    </row>
    <row r="6" spans="1:12" ht="30.75" customHeight="1" x14ac:dyDescent="0.2">
      <c r="B6" s="37" t="s">
        <v>722</v>
      </c>
      <c r="C6" s="596" t="s">
        <v>721</v>
      </c>
      <c r="D6" s="596" t="s">
        <v>723</v>
      </c>
      <c r="E6" s="37" t="s">
        <v>842</v>
      </c>
      <c r="F6" s="754" t="s">
        <v>843</v>
      </c>
      <c r="G6" s="754" t="s">
        <v>844</v>
      </c>
      <c r="H6" s="754"/>
    </row>
    <row r="7" spans="1:12" ht="15.75" customHeight="1" x14ac:dyDescent="0.2">
      <c r="B7" s="393" t="s">
        <v>714</v>
      </c>
      <c r="C7" s="393" t="s">
        <v>716</v>
      </c>
      <c r="D7" s="393" t="s">
        <v>718</v>
      </c>
      <c r="E7" s="393" t="s">
        <v>842</v>
      </c>
      <c r="F7" s="393" t="s">
        <v>847</v>
      </c>
      <c r="G7" t="s">
        <v>845</v>
      </c>
    </row>
    <row r="8" spans="1:12" ht="16.5" customHeight="1" x14ac:dyDescent="0.2">
      <c r="A8" s="595" t="s">
        <v>753</v>
      </c>
      <c r="B8" s="600" t="s">
        <v>725</v>
      </c>
      <c r="C8" s="600" t="s">
        <v>725</v>
      </c>
      <c r="D8" s="600" t="s">
        <v>724</v>
      </c>
      <c r="E8" s="600" t="s">
        <v>725</v>
      </c>
      <c r="F8" s="617" t="s">
        <v>725</v>
      </c>
      <c r="G8" s="617" t="s">
        <v>725</v>
      </c>
      <c r="H8" s="617"/>
    </row>
    <row r="9" spans="1:12" ht="16.5" customHeight="1" x14ac:dyDescent="0.2">
      <c r="A9" s="595" t="s">
        <v>752</v>
      </c>
      <c r="B9" s="616" t="s">
        <v>861</v>
      </c>
      <c r="C9" s="616" t="s">
        <v>861</v>
      </c>
      <c r="D9" s="617" t="s">
        <v>725</v>
      </c>
      <c r="E9" s="617" t="s">
        <v>754</v>
      </c>
      <c r="F9" s="617" t="s">
        <v>754</v>
      </c>
      <c r="G9" s="616" t="s">
        <v>861</v>
      </c>
      <c r="H9" s="616"/>
    </row>
    <row r="10" spans="1:12" ht="16.5" customHeight="1" x14ac:dyDescent="0.3">
      <c r="A10" s="411" t="s">
        <v>848</v>
      </c>
      <c r="B10" s="596">
        <v>30.61</v>
      </c>
      <c r="C10" s="596">
        <v>36.549999999999997</v>
      </c>
      <c r="D10" s="596">
        <v>12.82</v>
      </c>
      <c r="E10" s="596">
        <v>147.65</v>
      </c>
      <c r="F10" s="596">
        <v>6.77</v>
      </c>
      <c r="G10" s="596">
        <v>12.58</v>
      </c>
    </row>
    <row r="11" spans="1:12" ht="16.5" customHeight="1" x14ac:dyDescent="0.3">
      <c r="A11" s="411" t="s">
        <v>849</v>
      </c>
      <c r="B11" s="715" t="s">
        <v>633</v>
      </c>
      <c r="C11" s="715" t="s">
        <v>633</v>
      </c>
      <c r="D11" s="715" t="s">
        <v>633</v>
      </c>
      <c r="E11" s="393">
        <v>0.74009999999999998</v>
      </c>
      <c r="F11" s="715" t="s">
        <v>633</v>
      </c>
      <c r="G11" s="715" t="s">
        <v>633</v>
      </c>
      <c r="H11" s="715"/>
    </row>
    <row r="12" spans="1:12" ht="16.5" customHeight="1" x14ac:dyDescent="0.3">
      <c r="A12" s="411" t="s">
        <v>850</v>
      </c>
      <c r="B12" s="596">
        <f>B10</f>
        <v>30.61</v>
      </c>
      <c r="C12" s="596">
        <f>C10</f>
        <v>36.549999999999997</v>
      </c>
      <c r="D12" s="596">
        <f>D10</f>
        <v>12.82</v>
      </c>
      <c r="E12" s="755">
        <f>E10/E11</f>
        <v>199.50006755843808</v>
      </c>
      <c r="F12" s="596">
        <f>F10</f>
        <v>6.77</v>
      </c>
      <c r="G12" s="596">
        <f>G10</f>
        <v>12.58</v>
      </c>
      <c r="H12" s="596"/>
    </row>
    <row r="13" spans="1:12" ht="16.5" customHeight="1" x14ac:dyDescent="0.3">
      <c r="A13" s="411" t="s">
        <v>851</v>
      </c>
      <c r="B13" s="596" t="s">
        <v>852</v>
      </c>
      <c r="C13" s="596" t="s">
        <v>852</v>
      </c>
      <c r="D13" s="596" t="s">
        <v>852</v>
      </c>
      <c r="E13" s="596" t="s">
        <v>852</v>
      </c>
      <c r="F13" s="596" t="s">
        <v>852</v>
      </c>
      <c r="G13" s="596" t="s">
        <v>852</v>
      </c>
      <c r="H13" s="596"/>
    </row>
    <row r="15" spans="1:12" s="1218" customFormat="1" ht="18" x14ac:dyDescent="0.2">
      <c r="A15" s="1218" t="s">
        <v>700</v>
      </c>
    </row>
    <row r="16" spans="1:12" ht="16.5" x14ac:dyDescent="0.3">
      <c r="A16" s="411"/>
      <c r="B16" s="411"/>
      <c r="C16" s="411"/>
      <c r="D16" s="411"/>
      <c r="E16" s="411"/>
      <c r="F16" s="411"/>
      <c r="G16" s="411"/>
      <c r="H16" s="411"/>
      <c r="I16" s="411"/>
      <c r="J16" s="411"/>
      <c r="K16" s="411"/>
      <c r="L16" s="411"/>
    </row>
    <row r="17" spans="1:13" ht="16.5" x14ac:dyDescent="0.2">
      <c r="A17" s="595" t="s">
        <v>701</v>
      </c>
      <c r="B17" s="597">
        <v>319700</v>
      </c>
      <c r="C17" s="597">
        <v>130855</v>
      </c>
      <c r="D17" s="597">
        <v>121618</v>
      </c>
      <c r="E17" s="597">
        <v>88738</v>
      </c>
      <c r="F17" s="597">
        <v>22288</v>
      </c>
      <c r="G17" s="597">
        <v>358311</v>
      </c>
      <c r="I17" s="584"/>
      <c r="J17" s="584"/>
      <c r="K17" s="584"/>
      <c r="L17" s="584"/>
    </row>
    <row r="18" spans="1:13" ht="16.5" x14ac:dyDescent="0.2">
      <c r="A18" s="595" t="s">
        <v>442</v>
      </c>
      <c r="B18" s="597">
        <v>319800</v>
      </c>
      <c r="C18" s="597">
        <v>131032</v>
      </c>
      <c r="D18" s="597">
        <v>123657</v>
      </c>
      <c r="E18" s="597">
        <v>89454</v>
      </c>
      <c r="F18" s="597">
        <v>22562</v>
      </c>
      <c r="G18" s="597">
        <v>358311</v>
      </c>
      <c r="I18" s="584"/>
      <c r="J18" s="584"/>
      <c r="K18" s="584"/>
      <c r="L18" s="584"/>
    </row>
    <row r="19" spans="1:13" ht="16.5" x14ac:dyDescent="0.3">
      <c r="A19" s="411"/>
      <c r="B19" s="597"/>
      <c r="C19" s="597"/>
      <c r="D19" s="597"/>
      <c r="E19" s="597"/>
      <c r="F19" s="597"/>
      <c r="G19" s="584"/>
      <c r="H19" s="584"/>
      <c r="I19" s="584"/>
      <c r="J19" s="584"/>
      <c r="K19" s="584"/>
      <c r="L19" s="584"/>
    </row>
    <row r="21" spans="1:13" s="1218" customFormat="1" ht="18" x14ac:dyDescent="0.2">
      <c r="A21" s="1218" t="s">
        <v>702</v>
      </c>
    </row>
    <row r="23" spans="1:13" ht="15" thickBot="1" x14ac:dyDescent="0.25">
      <c r="A23" s="602" t="s">
        <v>736</v>
      </c>
      <c r="B23" s="768" t="s">
        <v>714</v>
      </c>
      <c r="C23" s="768" t="s">
        <v>716</v>
      </c>
      <c r="D23" s="768" t="s">
        <v>718</v>
      </c>
      <c r="E23" s="768" t="s">
        <v>842</v>
      </c>
      <c r="F23" s="393" t="s">
        <v>847</v>
      </c>
      <c r="G23" t="s">
        <v>845</v>
      </c>
      <c r="L23" s="53" t="s">
        <v>860</v>
      </c>
      <c r="M23" s="53" t="s">
        <v>853</v>
      </c>
    </row>
    <row r="24" spans="1:13" s="599" customFormat="1" ht="16.5" customHeight="1" x14ac:dyDescent="0.2">
      <c r="A24" s="595" t="s">
        <v>519</v>
      </c>
      <c r="B24" s="551">
        <v>429400</v>
      </c>
      <c r="C24" s="551">
        <f>268444</f>
        <v>268444</v>
      </c>
      <c r="D24" s="551">
        <v>599377</v>
      </c>
      <c r="E24" s="551">
        <v>27338000</v>
      </c>
      <c r="F24" s="759">
        <v>20304</v>
      </c>
      <c r="G24" s="759">
        <v>200778</v>
      </c>
      <c r="H24" s="759"/>
      <c r="I24" s="488"/>
      <c r="J24" s="488"/>
      <c r="K24" s="488"/>
      <c r="L24" t="s">
        <v>714</v>
      </c>
      <c r="M24" t="s">
        <v>854</v>
      </c>
    </row>
    <row r="25" spans="1:13" x14ac:dyDescent="0.2">
      <c r="A25" s="595" t="s">
        <v>726</v>
      </c>
      <c r="B25" s="551">
        <v>83500</v>
      </c>
      <c r="C25" s="551">
        <v>5585</v>
      </c>
      <c r="D25" s="551">
        <v>310644</v>
      </c>
      <c r="E25" s="551">
        <v>252820</v>
      </c>
      <c r="F25" s="551">
        <v>17575</v>
      </c>
      <c r="G25" s="551">
        <v>38052</v>
      </c>
      <c r="H25" s="869"/>
      <c r="I25" s="869"/>
      <c r="L25" t="s">
        <v>716</v>
      </c>
      <c r="M25" t="s">
        <v>855</v>
      </c>
    </row>
    <row r="26" spans="1:13" x14ac:dyDescent="0.2">
      <c r="A26" s="595" t="s">
        <v>719</v>
      </c>
      <c r="B26" s="551">
        <f>B24-B25</f>
        <v>345900</v>
      </c>
      <c r="C26" s="551">
        <f t="shared" ref="C26:F26" si="0">C24-C25</f>
        <v>262859</v>
      </c>
      <c r="D26" s="551">
        <f t="shared" si="0"/>
        <v>288733</v>
      </c>
      <c r="E26" s="551">
        <f t="shared" si="0"/>
        <v>27085180</v>
      </c>
      <c r="F26" s="551">
        <f t="shared" si="0"/>
        <v>2729</v>
      </c>
      <c r="G26" s="551">
        <f t="shared" ref="G26" si="1">G24-G25</f>
        <v>162726</v>
      </c>
      <c r="H26" s="551"/>
      <c r="I26" s="551"/>
      <c r="L26" t="s">
        <v>718</v>
      </c>
      <c r="M26" t="s">
        <v>856</v>
      </c>
    </row>
    <row r="27" spans="1:13" s="410" customFormat="1" x14ac:dyDescent="0.2">
      <c r="A27" s="595" t="s">
        <v>737</v>
      </c>
      <c r="B27" s="551">
        <v>0</v>
      </c>
      <c r="C27" s="551">
        <v>-368</v>
      </c>
      <c r="D27" s="551">
        <v>0</v>
      </c>
      <c r="E27" s="551">
        <v>0</v>
      </c>
      <c r="F27" s="551">
        <v>0</v>
      </c>
      <c r="G27" s="551">
        <v>0</v>
      </c>
      <c r="H27" s="551"/>
      <c r="L27" t="s">
        <v>842</v>
      </c>
      <c r="M27" s="410" t="s">
        <v>857</v>
      </c>
    </row>
    <row r="28" spans="1:13" ht="13.5" thickBot="1" x14ac:dyDescent="0.25">
      <c r="A28" s="595" t="s">
        <v>727</v>
      </c>
      <c r="B28" s="551">
        <v>150000</v>
      </c>
      <c r="C28" s="551">
        <v>136309</v>
      </c>
      <c r="D28" s="551">
        <v>122336</v>
      </c>
      <c r="E28" s="551">
        <v>110861</v>
      </c>
      <c r="F28" s="551">
        <v>10438</v>
      </c>
      <c r="G28" s="551">
        <v>128764</v>
      </c>
      <c r="H28" s="551"/>
      <c r="L28" t="str">
        <f t="array" ref="L28">TRANSPOSE(F7:G7)</f>
        <v>EOL.AX</v>
      </c>
      <c r="M28" t="s">
        <v>859</v>
      </c>
    </row>
    <row r="29" spans="1:13" x14ac:dyDescent="0.2">
      <c r="A29" s="595" t="s">
        <v>728</v>
      </c>
      <c r="B29" s="551">
        <v>115400</v>
      </c>
      <c r="C29" s="551">
        <v>0</v>
      </c>
      <c r="D29" s="551">
        <v>0</v>
      </c>
      <c r="E29" s="551">
        <v>13571</v>
      </c>
      <c r="F29" s="551">
        <v>441</v>
      </c>
      <c r="G29" s="551">
        <v>0</v>
      </c>
      <c r="H29" s="551"/>
      <c r="I29" s="599"/>
      <c r="J29" s="599"/>
      <c r="K29" s="599"/>
      <c r="L29" t="str">
        <f>G7</f>
        <v>NXT.AX</v>
      </c>
      <c r="M29" t="s">
        <v>858</v>
      </c>
    </row>
    <row r="30" spans="1:13" x14ac:dyDescent="0.2">
      <c r="A30" s="595" t="s">
        <v>729</v>
      </c>
      <c r="B30" s="551">
        <v>0</v>
      </c>
      <c r="C30" s="551">
        <v>-3305</v>
      </c>
      <c r="D30" s="551">
        <v>7450</v>
      </c>
      <c r="E30" s="551">
        <v>4865</v>
      </c>
      <c r="F30" s="551">
        <v>0</v>
      </c>
      <c r="G30" s="551">
        <v>0</v>
      </c>
      <c r="H30" s="551"/>
    </row>
    <row r="31" spans="1:13" x14ac:dyDescent="0.2">
      <c r="A31" s="595" t="s">
        <v>730</v>
      </c>
      <c r="B31" s="551">
        <v>0</v>
      </c>
      <c r="C31" s="551">
        <v>8044</v>
      </c>
      <c r="D31" s="551">
        <v>21037</v>
      </c>
      <c r="E31" s="551">
        <v>4218</v>
      </c>
      <c r="F31" s="551">
        <v>5011</v>
      </c>
      <c r="G31" s="551">
        <v>0</v>
      </c>
      <c r="H31" s="551"/>
    </row>
    <row r="32" spans="1:13" x14ac:dyDescent="0.2">
      <c r="A32" s="595" t="s">
        <v>735</v>
      </c>
      <c r="B32" s="551">
        <v>0</v>
      </c>
      <c r="C32" s="551">
        <v>11783</v>
      </c>
      <c r="D32" s="551">
        <v>10210</v>
      </c>
      <c r="E32" s="551">
        <v>0</v>
      </c>
      <c r="F32" s="551">
        <v>1685</v>
      </c>
      <c r="G32" s="551">
        <v>0</v>
      </c>
      <c r="H32" s="551"/>
      <c r="J32" s="469"/>
    </row>
    <row r="33" spans="1:12" x14ac:dyDescent="0.2">
      <c r="A33" s="595" t="s">
        <v>436</v>
      </c>
      <c r="B33" s="551">
        <f t="shared" ref="B33:E33" si="2">B26-B28-B1-B29-B30-B31-B32+B27</f>
        <v>80500</v>
      </c>
      <c r="C33" s="551">
        <f t="shared" si="2"/>
        <v>109660</v>
      </c>
      <c r="D33" s="551">
        <f t="shared" si="2"/>
        <v>127700</v>
      </c>
      <c r="E33" s="551">
        <f t="shared" si="2"/>
        <v>26951665</v>
      </c>
      <c r="F33" s="551">
        <f>F24-SUM(F28:F32)</f>
        <v>2729</v>
      </c>
      <c r="G33" s="551">
        <f t="shared" ref="G33" si="3">G26-G28-G1-G29-G30-G31-G32+G27</f>
        <v>33962</v>
      </c>
      <c r="H33" s="551"/>
      <c r="J33" s="551"/>
    </row>
    <row r="34" spans="1:12" x14ac:dyDescent="0.2">
      <c r="A34" s="595" t="s">
        <v>732</v>
      </c>
      <c r="B34" s="551">
        <v>12800</v>
      </c>
      <c r="C34" s="551">
        <v>240.4196</v>
      </c>
      <c r="D34" s="551">
        <v>1169</v>
      </c>
      <c r="E34" s="551">
        <v>4955</v>
      </c>
      <c r="F34" s="551">
        <v>247</v>
      </c>
      <c r="G34" s="551">
        <v>57705</v>
      </c>
      <c r="H34" s="551"/>
    </row>
    <row r="35" spans="1:12" x14ac:dyDescent="0.2">
      <c r="A35" s="595" t="s">
        <v>734</v>
      </c>
      <c r="B35" s="551">
        <v>114000</v>
      </c>
      <c r="C35" s="551">
        <v>715</v>
      </c>
      <c r="D35" s="551">
        <v>-101</v>
      </c>
      <c r="E35" s="551">
        <v>-7382</v>
      </c>
      <c r="F35" s="551">
        <v>-159</v>
      </c>
      <c r="G35" s="551"/>
      <c r="H35" s="551"/>
    </row>
    <row r="36" spans="1:12" x14ac:dyDescent="0.2">
      <c r="A36" s="595" t="s">
        <v>733</v>
      </c>
      <c r="B36" s="551">
        <v>-10000</v>
      </c>
      <c r="C36" s="551">
        <v>0</v>
      </c>
      <c r="D36" s="551">
        <v>0</v>
      </c>
      <c r="E36" s="551">
        <v>5709</v>
      </c>
      <c r="F36" s="551">
        <v>0</v>
      </c>
      <c r="G36" s="551">
        <v>0</v>
      </c>
      <c r="H36" s="551"/>
      <c r="K36" s="469"/>
    </row>
    <row r="37" spans="1:12" x14ac:dyDescent="0.2">
      <c r="A37" s="595" t="s">
        <v>703</v>
      </c>
      <c r="B37" s="551">
        <f t="shared" ref="B37:F37" si="4">B33-B34+B35+B36</f>
        <v>171700</v>
      </c>
      <c r="C37" s="551">
        <f t="shared" si="4"/>
        <v>110134.58040000001</v>
      </c>
      <c r="D37" s="551">
        <f t="shared" si="4"/>
        <v>126430</v>
      </c>
      <c r="E37" s="551">
        <f t="shared" si="4"/>
        <v>26945037</v>
      </c>
      <c r="F37" s="551">
        <f t="shared" si="4"/>
        <v>2323</v>
      </c>
      <c r="G37" s="551">
        <f t="shared" ref="G37" si="5">G33-G34+G35+G36</f>
        <v>-23743</v>
      </c>
      <c r="H37" s="551"/>
      <c r="K37" s="640"/>
    </row>
    <row r="38" spans="1:12" x14ac:dyDescent="0.2">
      <c r="A38" s="595" t="s">
        <v>731</v>
      </c>
      <c r="B38" s="551">
        <v>21000</v>
      </c>
      <c r="C38" s="551">
        <v>29158</v>
      </c>
      <c r="D38" s="551">
        <v>13444</v>
      </c>
      <c r="E38" s="551">
        <v>21059</v>
      </c>
      <c r="F38" s="551">
        <v>693</v>
      </c>
      <c r="G38" s="551">
        <v>26434</v>
      </c>
      <c r="H38" s="551"/>
    </row>
    <row r="39" spans="1:12" x14ac:dyDescent="0.2">
      <c r="A39" s="595" t="s">
        <v>704</v>
      </c>
      <c r="B39" s="757">
        <f t="shared" ref="B39:G39" si="6">B37-B38</f>
        <v>150700</v>
      </c>
      <c r="C39" s="757">
        <f t="shared" si="6"/>
        <v>80976.580400000006</v>
      </c>
      <c r="D39" s="757">
        <f t="shared" si="6"/>
        <v>112986</v>
      </c>
      <c r="E39" s="757">
        <f t="shared" si="6"/>
        <v>26923978</v>
      </c>
      <c r="F39" s="757">
        <f t="shared" si="6"/>
        <v>1630</v>
      </c>
      <c r="G39" s="757">
        <f t="shared" si="6"/>
        <v>-50177</v>
      </c>
      <c r="H39" s="757"/>
    </row>
    <row r="40" spans="1:12" x14ac:dyDescent="0.2">
      <c r="A40" s="533" t="s">
        <v>705</v>
      </c>
      <c r="B40" s="758">
        <f t="shared" ref="B40:E40" si="7">B39/B18</f>
        <v>0.4712320200125078</v>
      </c>
      <c r="C40" s="758">
        <f t="shared" si="7"/>
        <v>0.61799087551132548</v>
      </c>
      <c r="D40" s="758">
        <f t="shared" si="7"/>
        <v>0.91370484485310177</v>
      </c>
      <c r="E40" s="758">
        <f t="shared" si="7"/>
        <v>300.98126411339905</v>
      </c>
      <c r="F40" s="775">
        <f>F39/F18</f>
        <v>7.2245368318411482E-2</v>
      </c>
      <c r="G40" s="775">
        <f>G39/G18</f>
        <v>-0.14003756513196636</v>
      </c>
      <c r="H40" s="758"/>
    </row>
    <row r="41" spans="1:12" x14ac:dyDescent="0.2">
      <c r="A41" s="595"/>
      <c r="B41" s="757"/>
      <c r="C41" s="757"/>
      <c r="D41" s="757"/>
      <c r="E41" s="757"/>
      <c r="F41" s="757"/>
    </row>
    <row r="42" spans="1:12" x14ac:dyDescent="0.2">
      <c r="A42" s="601" t="s">
        <v>706</v>
      </c>
      <c r="B42" s="585"/>
      <c r="C42" s="585"/>
      <c r="D42" s="585"/>
      <c r="E42" s="585"/>
    </row>
    <row r="43" spans="1:12" x14ac:dyDescent="0.2">
      <c r="A43" s="595" t="s">
        <v>720</v>
      </c>
      <c r="B43" s="551">
        <v>29000</v>
      </c>
      <c r="C43" s="551">
        <v>11783</v>
      </c>
      <c r="D43" s="551">
        <f>D32</f>
        <v>10210</v>
      </c>
      <c r="E43" s="551">
        <v>15447</v>
      </c>
      <c r="F43" s="759">
        <v>1685</v>
      </c>
      <c r="G43" s="759">
        <f>G32</f>
        <v>0</v>
      </c>
      <c r="H43" s="759"/>
      <c r="I43" s="488"/>
      <c r="J43" s="1188"/>
      <c r="K43" s="488"/>
      <c r="L43" s="488"/>
    </row>
    <row r="44" spans="1:12" x14ac:dyDescent="0.2">
      <c r="A44" s="533" t="s">
        <v>707</v>
      </c>
      <c r="B44" s="598">
        <f t="shared" ref="B44:G44" si="8">B33+B43</f>
        <v>109500</v>
      </c>
      <c r="C44" s="598">
        <f t="shared" si="8"/>
        <v>121443</v>
      </c>
      <c r="D44" s="598">
        <f t="shared" si="8"/>
        <v>137910</v>
      </c>
      <c r="E44" s="598">
        <f t="shared" si="8"/>
        <v>26967112</v>
      </c>
      <c r="F44" s="598">
        <f t="shared" si="8"/>
        <v>4414</v>
      </c>
      <c r="G44" s="758">
        <f t="shared" si="8"/>
        <v>33962</v>
      </c>
      <c r="H44" s="598"/>
      <c r="J44" s="756"/>
    </row>
    <row r="46" spans="1:12" s="781" customFormat="1" ht="16.5" hidden="1" x14ac:dyDescent="0.3">
      <c r="A46" s="776" t="s">
        <v>862</v>
      </c>
      <c r="B46" s="777" t="s">
        <v>714</v>
      </c>
      <c r="C46" s="777" t="s">
        <v>716</v>
      </c>
      <c r="D46" s="777" t="s">
        <v>718</v>
      </c>
      <c r="E46" s="777" t="s">
        <v>842</v>
      </c>
      <c r="F46" s="777" t="s">
        <v>847</v>
      </c>
      <c r="G46" s="778" t="s">
        <v>846</v>
      </c>
      <c r="H46" s="779" t="s">
        <v>845</v>
      </c>
      <c r="I46" s="780"/>
      <c r="J46" s="780"/>
      <c r="K46" s="780"/>
      <c r="L46" s="780"/>
    </row>
    <row r="47" spans="1:12" s="781" customFormat="1" ht="16.5" hidden="1" x14ac:dyDescent="0.3">
      <c r="A47" s="782" t="s">
        <v>863</v>
      </c>
      <c r="C47" s="783">
        <v>3078000</v>
      </c>
      <c r="D47" s="784">
        <v>0</v>
      </c>
      <c r="E47" s="783">
        <v>53200</v>
      </c>
      <c r="F47" s="783">
        <v>6521000</v>
      </c>
      <c r="G47" s="785">
        <v>137985</v>
      </c>
      <c r="H47" s="785"/>
      <c r="I47" s="785"/>
      <c r="J47" s="785"/>
      <c r="K47" s="785"/>
      <c r="L47" s="785"/>
    </row>
    <row r="48" spans="1:12" s="781" customFormat="1" ht="16.5" hidden="1" x14ac:dyDescent="0.3">
      <c r="A48" s="786" t="s">
        <v>864</v>
      </c>
      <c r="C48" s="783">
        <v>2089000</v>
      </c>
      <c r="D48" s="784">
        <v>0</v>
      </c>
      <c r="E48" s="783">
        <v>9650</v>
      </c>
      <c r="F48" s="783">
        <v>2066000</v>
      </c>
      <c r="G48" s="785">
        <v>18096</v>
      </c>
      <c r="H48" s="785"/>
      <c r="I48" s="785"/>
      <c r="J48" s="785"/>
      <c r="K48" s="785"/>
      <c r="L48" s="785"/>
    </row>
    <row r="49" spans="1:14" s="781" customFormat="1" ht="16.5" hidden="1" x14ac:dyDescent="0.3">
      <c r="A49" s="782" t="s">
        <v>865</v>
      </c>
      <c r="C49" s="787">
        <f t="shared" ref="C49:H49" si="9">C47-C48</f>
        <v>989000</v>
      </c>
      <c r="D49" s="788">
        <f t="shared" si="9"/>
        <v>0</v>
      </c>
      <c r="E49" s="787">
        <f t="shared" si="9"/>
        <v>43550</v>
      </c>
      <c r="F49" s="787">
        <f t="shared" si="9"/>
        <v>4455000</v>
      </c>
      <c r="G49" s="789">
        <f t="shared" si="9"/>
        <v>119889</v>
      </c>
      <c r="H49" s="787">
        <f t="shared" si="9"/>
        <v>0</v>
      </c>
      <c r="I49" s="787"/>
      <c r="J49" s="787"/>
      <c r="K49" s="787"/>
      <c r="L49" s="787"/>
      <c r="N49" s="787"/>
    </row>
    <row r="50" spans="1:14" s="781" customFormat="1" ht="16.5" hidden="1" x14ac:dyDescent="0.3">
      <c r="A50" s="786" t="s">
        <v>866</v>
      </c>
      <c r="C50" s="783">
        <v>881000</v>
      </c>
      <c r="D50" s="784">
        <v>0</v>
      </c>
      <c r="E50" s="783">
        <v>28950</v>
      </c>
      <c r="F50" s="783">
        <v>2166000</v>
      </c>
      <c r="G50" s="785">
        <v>83673</v>
      </c>
      <c r="H50" s="785"/>
      <c r="I50" s="785"/>
      <c r="J50" s="785"/>
      <c r="K50" s="785"/>
      <c r="L50" s="785"/>
    </row>
    <row r="51" spans="1:14" s="781" customFormat="1" ht="16.5" hidden="1" x14ac:dyDescent="0.3">
      <c r="A51" s="786" t="s">
        <v>867</v>
      </c>
      <c r="C51" s="783">
        <v>0</v>
      </c>
      <c r="D51" s="784"/>
      <c r="E51" s="783">
        <v>0</v>
      </c>
      <c r="F51" s="783">
        <v>1079000</v>
      </c>
      <c r="G51" s="785">
        <v>9946</v>
      </c>
      <c r="H51" s="785"/>
      <c r="I51" s="785"/>
      <c r="J51" s="785"/>
      <c r="K51" s="785"/>
      <c r="L51" s="785"/>
    </row>
    <row r="52" spans="1:14" s="781" customFormat="1" ht="16.5" hidden="1" x14ac:dyDescent="0.3">
      <c r="A52" s="782" t="s">
        <v>436</v>
      </c>
      <c r="C52" s="787">
        <f t="shared" ref="C52:H52" si="10">C49-C50-C51</f>
        <v>108000</v>
      </c>
      <c r="D52" s="788">
        <f t="shared" si="10"/>
        <v>0</v>
      </c>
      <c r="E52" s="787">
        <f t="shared" si="10"/>
        <v>14600</v>
      </c>
      <c r="F52" s="787">
        <f t="shared" si="10"/>
        <v>1210000</v>
      </c>
      <c r="G52" s="787">
        <f t="shared" si="10"/>
        <v>26270</v>
      </c>
      <c r="H52" s="787">
        <f t="shared" si="10"/>
        <v>0</v>
      </c>
      <c r="I52" s="787"/>
      <c r="J52" s="787"/>
      <c r="K52" s="787"/>
      <c r="L52" s="787"/>
    </row>
    <row r="53" spans="1:14" s="781" customFormat="1" ht="16.5" hidden="1" x14ac:dyDescent="0.3">
      <c r="A53" s="786" t="s">
        <v>868</v>
      </c>
      <c r="C53" s="783">
        <v>80000</v>
      </c>
      <c r="D53" s="784">
        <v>0</v>
      </c>
      <c r="E53" s="783">
        <v>-360</v>
      </c>
      <c r="F53" s="783">
        <v>39000</v>
      </c>
      <c r="G53" s="783">
        <v>743</v>
      </c>
      <c r="H53" s="785"/>
      <c r="I53" s="785"/>
      <c r="J53" s="785"/>
      <c r="K53" s="785"/>
      <c r="L53" s="785"/>
    </row>
    <row r="54" spans="1:14" s="781" customFormat="1" ht="16.5" hidden="1" x14ac:dyDescent="0.3">
      <c r="A54" s="786" t="s">
        <v>869</v>
      </c>
      <c r="C54" s="783">
        <v>-1000</v>
      </c>
      <c r="D54" s="784">
        <v>0</v>
      </c>
      <c r="E54" s="783">
        <v>800</v>
      </c>
      <c r="F54" s="783">
        <v>0</v>
      </c>
      <c r="G54" s="783">
        <v>413</v>
      </c>
      <c r="H54" s="785"/>
      <c r="I54" s="785"/>
      <c r="J54" s="785"/>
      <c r="K54" s="785"/>
      <c r="L54" s="785"/>
    </row>
    <row r="55" spans="1:14" s="781" customFormat="1" ht="16.5" hidden="1" x14ac:dyDescent="0.3">
      <c r="A55" s="786" t="s">
        <v>870</v>
      </c>
      <c r="C55" s="783">
        <v>39000</v>
      </c>
      <c r="D55" s="784">
        <v>0</v>
      </c>
      <c r="E55" s="783">
        <v>0</v>
      </c>
      <c r="F55" s="783">
        <v>49000</v>
      </c>
      <c r="G55" s="783">
        <v>0</v>
      </c>
      <c r="H55" s="785"/>
      <c r="I55" s="785"/>
      <c r="J55" s="785"/>
      <c r="K55" s="785"/>
      <c r="L55" s="785"/>
    </row>
    <row r="56" spans="1:14" s="781" customFormat="1" ht="16.5" hidden="1" x14ac:dyDescent="0.3">
      <c r="A56" s="782" t="s">
        <v>703</v>
      </c>
      <c r="C56" s="787">
        <f t="shared" ref="C56:H56" si="11">C52-C53+C54-C55</f>
        <v>-12000</v>
      </c>
      <c r="D56" s="788">
        <f t="shared" si="11"/>
        <v>0</v>
      </c>
      <c r="E56" s="787">
        <f t="shared" si="11"/>
        <v>15760</v>
      </c>
      <c r="F56" s="787">
        <f t="shared" si="11"/>
        <v>1122000</v>
      </c>
      <c r="G56" s="789">
        <f t="shared" si="11"/>
        <v>25940</v>
      </c>
      <c r="H56" s="787">
        <f t="shared" si="11"/>
        <v>0</v>
      </c>
      <c r="I56" s="787"/>
      <c r="J56" s="787"/>
      <c r="K56" s="787"/>
      <c r="L56" s="787"/>
    </row>
    <row r="57" spans="1:14" s="781" customFormat="1" ht="16.5" hidden="1" x14ac:dyDescent="0.3">
      <c r="A57" s="786" t="s">
        <v>871</v>
      </c>
      <c r="C57" s="783">
        <v>-30000</v>
      </c>
      <c r="D57" s="784">
        <v>0</v>
      </c>
      <c r="E57" s="783">
        <v>3942</v>
      </c>
      <c r="F57" s="783">
        <v>310000</v>
      </c>
      <c r="G57" s="785">
        <v>6889</v>
      </c>
      <c r="H57" s="785"/>
      <c r="I57" s="785"/>
      <c r="J57" s="785"/>
      <c r="K57" s="785"/>
      <c r="L57" s="785"/>
    </row>
    <row r="58" spans="1:14" s="781" customFormat="1" ht="16.5" hidden="1" x14ac:dyDescent="0.3">
      <c r="A58" s="782" t="s">
        <v>704</v>
      </c>
      <c r="C58" s="787">
        <f t="shared" ref="C58:H58" si="12">C56-C57</f>
        <v>18000</v>
      </c>
      <c r="D58" s="788">
        <f t="shared" si="12"/>
        <v>0</v>
      </c>
      <c r="E58" s="787">
        <f t="shared" si="12"/>
        <v>11818</v>
      </c>
      <c r="F58" s="787">
        <f t="shared" si="12"/>
        <v>812000</v>
      </c>
      <c r="G58" s="787">
        <f t="shared" si="12"/>
        <v>19051</v>
      </c>
      <c r="H58" s="787">
        <f t="shared" si="12"/>
        <v>0</v>
      </c>
      <c r="I58" s="787"/>
      <c r="J58" s="787"/>
      <c r="K58" s="787"/>
      <c r="L58" s="787"/>
    </row>
    <row r="59" spans="1:14" s="781" customFormat="1" ht="16.5" hidden="1" x14ac:dyDescent="0.3">
      <c r="A59" s="790" t="s">
        <v>705</v>
      </c>
      <c r="B59" s="791">
        <f>B77/B18</f>
        <v>0.45403377110694182</v>
      </c>
      <c r="C59" s="791">
        <f>C58/C18</f>
        <v>0.13737102387203126</v>
      </c>
      <c r="D59" s="791" t="e">
        <f>D58/D23</f>
        <v>#VALUE!</v>
      </c>
      <c r="E59" s="791" t="e">
        <f>E58/E23</f>
        <v>#VALUE!</v>
      </c>
      <c r="F59" s="791" t="e">
        <f>F58/F23</f>
        <v>#VALUE!</v>
      </c>
      <c r="G59" s="791" t="e">
        <f>G58/G23</f>
        <v>#VALUE!</v>
      </c>
      <c r="H59" s="791" t="e">
        <f>H58/H23</f>
        <v>#DIV/0!</v>
      </c>
      <c r="I59" s="791"/>
      <c r="J59" s="791"/>
      <c r="K59" s="791"/>
      <c r="L59" s="791"/>
    </row>
    <row r="60" spans="1:14" s="781" customFormat="1" hidden="1" x14ac:dyDescent="0.2"/>
    <row r="61" spans="1:14" s="781" customFormat="1" ht="16.5" hidden="1" x14ac:dyDescent="0.3">
      <c r="A61" s="780" t="s">
        <v>706</v>
      </c>
      <c r="B61" s="792"/>
      <c r="C61" s="792"/>
      <c r="D61" s="792"/>
      <c r="E61" s="792"/>
      <c r="F61" s="792"/>
      <c r="G61" s="792"/>
      <c r="H61" s="792"/>
      <c r="I61" s="792"/>
      <c r="J61" s="792"/>
      <c r="K61" s="792"/>
      <c r="L61" s="792"/>
    </row>
    <row r="62" spans="1:14" s="781" customFormat="1" ht="16.5" hidden="1" x14ac:dyDescent="0.3">
      <c r="A62" s="782" t="s">
        <v>872</v>
      </c>
      <c r="C62" s="783">
        <v>914000</v>
      </c>
      <c r="D62" s="783">
        <v>0</v>
      </c>
      <c r="E62" s="783">
        <v>6000</v>
      </c>
      <c r="F62" s="783">
        <v>464000</v>
      </c>
      <c r="G62" s="785">
        <v>8390</v>
      </c>
      <c r="H62" s="785"/>
      <c r="I62" s="785"/>
      <c r="J62" s="785"/>
      <c r="K62" s="785"/>
      <c r="L62" s="785"/>
    </row>
    <row r="63" spans="1:14" s="781" customFormat="1" ht="16.5" hidden="1" x14ac:dyDescent="0.3">
      <c r="A63" s="793" t="s">
        <v>707</v>
      </c>
      <c r="C63" s="794">
        <f t="shared" ref="C63:H63" si="13">C52+C62</f>
        <v>1022000</v>
      </c>
      <c r="D63" s="794">
        <f t="shared" si="13"/>
        <v>0</v>
      </c>
      <c r="E63" s="794">
        <f t="shared" si="13"/>
        <v>20600</v>
      </c>
      <c r="F63" s="794">
        <f t="shared" si="13"/>
        <v>1674000</v>
      </c>
      <c r="G63" s="794">
        <f t="shared" si="13"/>
        <v>34660</v>
      </c>
      <c r="H63" s="794">
        <f t="shared" si="13"/>
        <v>0</v>
      </c>
      <c r="I63" s="794"/>
      <c r="J63" s="794"/>
      <c r="K63" s="794"/>
      <c r="L63" s="794"/>
    </row>
    <row r="64" spans="1:14" s="410" customFormat="1" x14ac:dyDescent="0.2"/>
    <row r="65" spans="1:14" s="410" customFormat="1" ht="16.5" x14ac:dyDescent="0.3">
      <c r="A65" s="412" t="s">
        <v>887</v>
      </c>
      <c r="B65" s="768" t="s">
        <v>714</v>
      </c>
      <c r="C65" s="768" t="s">
        <v>716</v>
      </c>
      <c r="D65" s="768" t="s">
        <v>718</v>
      </c>
      <c r="E65" s="768" t="s">
        <v>842</v>
      </c>
      <c r="F65" s="768" t="s">
        <v>847</v>
      </c>
      <c r="G65" s="770" t="s">
        <v>845</v>
      </c>
      <c r="I65" s="413"/>
      <c r="J65" s="413"/>
      <c r="K65" s="413"/>
      <c r="L65" s="413"/>
    </row>
    <row r="66" spans="1:14" s="410" customFormat="1" ht="16.5" x14ac:dyDescent="0.3">
      <c r="A66" s="411" t="s">
        <v>863</v>
      </c>
      <c r="B66" s="603">
        <v>462200</v>
      </c>
      <c r="C66" s="603">
        <v>242700</v>
      </c>
      <c r="D66" s="603">
        <f>D24</f>
        <v>599377</v>
      </c>
      <c r="E66" s="603">
        <v>27164000</v>
      </c>
      <c r="F66" s="603">
        <v>24692</v>
      </c>
      <c r="G66" s="761">
        <v>226980</v>
      </c>
      <c r="H66" s="1187"/>
      <c r="I66" s="761"/>
      <c r="J66" s="761"/>
      <c r="K66" s="761"/>
      <c r="L66" s="761"/>
    </row>
    <row r="67" spans="1:14" s="410" customFormat="1" ht="16.5" x14ac:dyDescent="0.3">
      <c r="A67" s="434" t="s">
        <v>864</v>
      </c>
      <c r="B67" s="603">
        <v>83100</v>
      </c>
      <c r="C67" s="603">
        <v>5585</v>
      </c>
      <c r="D67" s="603">
        <f>D25</f>
        <v>310644</v>
      </c>
      <c r="E67" s="603">
        <v>7704000</v>
      </c>
      <c r="F67" s="603">
        <v>14764</v>
      </c>
      <c r="G67" s="761">
        <v>43702</v>
      </c>
      <c r="I67" s="761"/>
      <c r="J67" s="761"/>
      <c r="K67" s="761"/>
      <c r="L67" s="761"/>
    </row>
    <row r="68" spans="1:14" s="410" customFormat="1" ht="16.5" x14ac:dyDescent="0.3">
      <c r="A68" s="411" t="s">
        <v>865</v>
      </c>
      <c r="B68" s="772">
        <f>B66-B67</f>
        <v>379100</v>
      </c>
      <c r="C68" s="604">
        <f>C66-C67</f>
        <v>237115</v>
      </c>
      <c r="D68" s="604">
        <f>D66-D67</f>
        <v>288733</v>
      </c>
      <c r="E68" s="604">
        <f>E66-E67</f>
        <v>19460000</v>
      </c>
      <c r="F68" s="604">
        <v>24544</v>
      </c>
      <c r="G68" s="604">
        <f>G66-G67</f>
        <v>183278</v>
      </c>
      <c r="I68" s="604"/>
      <c r="J68" s="604"/>
      <c r="K68" s="604"/>
      <c r="L68" s="604"/>
    </row>
    <row r="69" spans="1:14" s="410" customFormat="1" ht="16.5" x14ac:dyDescent="0.3">
      <c r="A69" s="434" t="s">
        <v>866</v>
      </c>
      <c r="B69" s="603">
        <v>151000</v>
      </c>
      <c r="C69" s="603">
        <v>127195</v>
      </c>
      <c r="D69" s="603">
        <f>D28</f>
        <v>122336</v>
      </c>
      <c r="E69" s="603">
        <v>8462000</v>
      </c>
      <c r="F69" s="603">
        <v>12356</v>
      </c>
      <c r="G69" s="761">
        <v>50444</v>
      </c>
      <c r="I69" s="761"/>
      <c r="J69" s="761"/>
      <c r="K69" s="761"/>
      <c r="L69" s="761"/>
      <c r="N69" s="763"/>
    </row>
    <row r="70" spans="1:14" s="410" customFormat="1" ht="16.5" x14ac:dyDescent="0.3">
      <c r="A70" s="434" t="s">
        <v>867</v>
      </c>
      <c r="B70" s="603">
        <v>128200</v>
      </c>
      <c r="C70" s="603">
        <v>20959</v>
      </c>
      <c r="D70" s="603">
        <f>D31</f>
        <v>21037</v>
      </c>
      <c r="E70" s="603">
        <f>4474000-89000</f>
        <v>4385000</v>
      </c>
      <c r="F70" s="603">
        <v>8000</v>
      </c>
      <c r="G70" s="761">
        <v>97000</v>
      </c>
      <c r="I70" s="761"/>
      <c r="J70" s="761"/>
      <c r="K70" s="761"/>
      <c r="L70" s="761"/>
    </row>
    <row r="71" spans="1:14" s="410" customFormat="1" ht="16.5" x14ac:dyDescent="0.3">
      <c r="A71" s="411" t="s">
        <v>436</v>
      </c>
      <c r="B71" s="772">
        <f>B68-SUM(B69:B70)</f>
        <v>99900</v>
      </c>
      <c r="C71" s="604">
        <f>C68-C69-C70</f>
        <v>88961</v>
      </c>
      <c r="D71" s="604">
        <f>D68-D69-D70</f>
        <v>145360</v>
      </c>
      <c r="E71" s="604">
        <f>E68-(E69+E70)</f>
        <v>6613000</v>
      </c>
      <c r="F71" s="604">
        <f>F68-F69-F70</f>
        <v>4188</v>
      </c>
      <c r="G71" s="604">
        <f>G68-G69-G70</f>
        <v>35834</v>
      </c>
      <c r="I71" s="604"/>
      <c r="J71" s="604"/>
      <c r="K71" s="604"/>
      <c r="L71" s="604"/>
    </row>
    <row r="72" spans="1:14" s="410" customFormat="1" ht="16.5" x14ac:dyDescent="0.3">
      <c r="A72" s="434" t="s">
        <v>868</v>
      </c>
      <c r="B72" s="771">
        <v>7900</v>
      </c>
      <c r="C72" s="603">
        <v>308.56869999999998</v>
      </c>
      <c r="D72" s="603">
        <f>D34</f>
        <v>1169</v>
      </c>
      <c r="E72" s="603">
        <v>1130000</v>
      </c>
      <c r="F72" s="603">
        <v>160.34100000000001</v>
      </c>
      <c r="G72" s="761">
        <v>65842</v>
      </c>
      <c r="I72" s="761"/>
      <c r="J72" s="761"/>
      <c r="K72" s="761"/>
      <c r="L72" s="761"/>
    </row>
    <row r="73" spans="1:14" s="410" customFormat="1" ht="16.5" x14ac:dyDescent="0.3">
      <c r="A73" s="434" t="s">
        <v>869</v>
      </c>
      <c r="B73" s="773">
        <v>0</v>
      </c>
      <c r="C73" s="603">
        <v>539.74580000000003</v>
      </c>
      <c r="D73" s="603">
        <f>D35</f>
        <v>-101</v>
      </c>
      <c r="E73" s="603">
        <v>-207000</v>
      </c>
      <c r="F73" s="603">
        <v>47.042999999999999</v>
      </c>
      <c r="G73" s="761">
        <v>991</v>
      </c>
      <c r="I73" s="761"/>
      <c r="J73" s="761"/>
      <c r="K73" s="761"/>
      <c r="L73" s="761"/>
    </row>
    <row r="74" spans="1:14" s="410" customFormat="1" ht="16.5" x14ac:dyDescent="0.3">
      <c r="A74" s="434" t="s">
        <v>870</v>
      </c>
      <c r="B74" s="773">
        <v>0</v>
      </c>
      <c r="C74" s="603">
        <v>0</v>
      </c>
      <c r="D74" s="603">
        <v>0</v>
      </c>
      <c r="E74" s="603">
        <v>0</v>
      </c>
      <c r="F74" s="603"/>
      <c r="G74" s="761"/>
      <c r="I74" s="761"/>
      <c r="J74" s="761"/>
      <c r="K74" s="761"/>
      <c r="L74" s="761"/>
    </row>
    <row r="75" spans="1:14" s="410" customFormat="1" ht="16.5" x14ac:dyDescent="0.3">
      <c r="A75" s="411" t="s">
        <v>703</v>
      </c>
      <c r="B75" s="603">
        <v>170800</v>
      </c>
      <c r="C75" s="604">
        <f t="shared" ref="C75:F75" si="14">C71-C72+C73-C74</f>
        <v>89192.177100000001</v>
      </c>
      <c r="D75" s="604">
        <f t="shared" si="14"/>
        <v>144090</v>
      </c>
      <c r="E75" s="604">
        <f t="shared" si="14"/>
        <v>5276000</v>
      </c>
      <c r="F75" s="604">
        <f t="shared" si="14"/>
        <v>4074.7020000000002</v>
      </c>
      <c r="G75" s="604">
        <f>G71-G72+G73-G74</f>
        <v>-29017</v>
      </c>
      <c r="I75" s="604"/>
      <c r="J75" s="604"/>
      <c r="K75" s="756"/>
      <c r="L75" s="604"/>
    </row>
    <row r="76" spans="1:14" s="410" customFormat="1" ht="16.5" x14ac:dyDescent="0.3">
      <c r="A76" s="434" t="s">
        <v>871</v>
      </c>
      <c r="B76" s="603">
        <v>25600</v>
      </c>
      <c r="C76" s="603">
        <v>42096</v>
      </c>
      <c r="D76" s="603">
        <f>D38</f>
        <v>13444</v>
      </c>
      <c r="E76" s="603">
        <v>1895000</v>
      </c>
      <c r="F76" s="603">
        <v>989</v>
      </c>
      <c r="G76" s="761">
        <v>27400</v>
      </c>
      <c r="I76" s="761"/>
      <c r="J76" s="761"/>
      <c r="K76" s="761"/>
      <c r="L76" s="761"/>
    </row>
    <row r="77" spans="1:14" s="410" customFormat="1" ht="16.5" x14ac:dyDescent="0.3">
      <c r="A77" s="411" t="s">
        <v>704</v>
      </c>
      <c r="B77" s="772">
        <f t="shared" ref="B77:F77" si="15">B75-B76</f>
        <v>145200</v>
      </c>
      <c r="C77" s="604">
        <f t="shared" si="15"/>
        <v>47096.177100000001</v>
      </c>
      <c r="D77" s="604">
        <f t="shared" si="15"/>
        <v>130646</v>
      </c>
      <c r="E77" s="604">
        <f t="shared" si="15"/>
        <v>3381000</v>
      </c>
      <c r="F77" s="604">
        <f t="shared" si="15"/>
        <v>3085.7020000000002</v>
      </c>
      <c r="G77" s="604">
        <f>G75-G76</f>
        <v>-56417</v>
      </c>
      <c r="I77" s="604"/>
      <c r="J77" s="604"/>
      <c r="K77" s="604"/>
      <c r="L77" s="604"/>
    </row>
    <row r="78" spans="1:14" s="410" customFormat="1" ht="16.5" x14ac:dyDescent="0.3">
      <c r="A78" s="605" t="s">
        <v>705</v>
      </c>
      <c r="B78" s="795">
        <f t="shared" ref="B78:F78" si="16">B77/B18</f>
        <v>0.45403377110694182</v>
      </c>
      <c r="C78" s="795">
        <f t="shared" si="16"/>
        <v>0.35942500381586179</v>
      </c>
      <c r="D78" s="795">
        <f t="shared" si="16"/>
        <v>1.056519242744042</v>
      </c>
      <c r="E78" s="795">
        <f t="shared" si="16"/>
        <v>37.795962170501042</v>
      </c>
      <c r="F78" s="795">
        <f t="shared" si="16"/>
        <v>0.13676544632568036</v>
      </c>
      <c r="G78" s="795">
        <f>G77/G18</f>
        <v>-0.15745260402276234</v>
      </c>
      <c r="I78" s="762"/>
      <c r="J78" s="762"/>
      <c r="K78" s="762"/>
      <c r="L78" s="762"/>
    </row>
    <row r="79" spans="1:14" s="410" customFormat="1" ht="16.5" x14ac:dyDescent="0.3">
      <c r="A79" s="411"/>
    </row>
    <row r="80" spans="1:14" s="410" customFormat="1" ht="16.5" x14ac:dyDescent="0.3">
      <c r="A80" s="413" t="s">
        <v>706</v>
      </c>
      <c r="B80" s="585"/>
      <c r="C80" s="585"/>
      <c r="D80" s="585"/>
      <c r="E80" s="585"/>
      <c r="F80" s="585"/>
      <c r="G80" s="585"/>
      <c r="I80" s="585"/>
      <c r="J80" s="585"/>
      <c r="K80" s="585"/>
      <c r="L80" s="585"/>
    </row>
    <row r="81" spans="1:12" s="410" customFormat="1" ht="16.5" x14ac:dyDescent="0.3">
      <c r="A81" s="411" t="s">
        <v>872</v>
      </c>
      <c r="B81" s="603">
        <v>49000</v>
      </c>
      <c r="C81" s="603">
        <v>16369</v>
      </c>
      <c r="D81" s="603">
        <v>18179</v>
      </c>
      <c r="E81" s="603">
        <v>5500</v>
      </c>
      <c r="F81" s="603">
        <v>442000</v>
      </c>
      <c r="G81" s="761">
        <v>202942</v>
      </c>
      <c r="H81" s="1187"/>
      <c r="I81" s="761"/>
      <c r="J81" s="761"/>
      <c r="K81" s="761"/>
      <c r="L81" s="761"/>
    </row>
    <row r="82" spans="1:12" s="410" customFormat="1" ht="16.5" x14ac:dyDescent="0.3">
      <c r="A82" s="421" t="s">
        <v>707</v>
      </c>
      <c r="B82" s="606">
        <f t="shared" ref="B82:F82" si="17">B71+B81</f>
        <v>148900</v>
      </c>
      <c r="C82" s="606">
        <f t="shared" si="17"/>
        <v>105330</v>
      </c>
      <c r="D82" s="606">
        <f t="shared" si="17"/>
        <v>163539</v>
      </c>
      <c r="E82" s="606">
        <f t="shared" si="17"/>
        <v>6618500</v>
      </c>
      <c r="F82" s="606">
        <f t="shared" si="17"/>
        <v>446188</v>
      </c>
      <c r="G82" s="606">
        <f>G71+G81</f>
        <v>238776</v>
      </c>
      <c r="I82" s="606"/>
      <c r="J82" s="606"/>
      <c r="K82" s="606"/>
      <c r="L82" s="606"/>
    </row>
    <row r="83" spans="1:12" s="410" customFormat="1" ht="16.5" x14ac:dyDescent="0.3">
      <c r="A83" s="411"/>
    </row>
    <row r="84" spans="1:12" s="410" customFormat="1" ht="16.5" x14ac:dyDescent="0.3">
      <c r="A84" s="412" t="s">
        <v>873</v>
      </c>
      <c r="B84" s="768" t="s">
        <v>714</v>
      </c>
      <c r="C84" s="768" t="s">
        <v>716</v>
      </c>
      <c r="D84" s="768" t="s">
        <v>718</v>
      </c>
      <c r="E84" s="768" t="s">
        <v>842</v>
      </c>
      <c r="F84" s="768" t="s">
        <v>847</v>
      </c>
      <c r="G84" s="770" t="s">
        <v>845</v>
      </c>
      <c r="H84" s="770"/>
      <c r="I84" s="413"/>
      <c r="J84" s="413"/>
      <c r="K84" s="413"/>
      <c r="L84" s="413"/>
    </row>
    <row r="85" spans="1:12" s="410" customFormat="1" ht="16.5" x14ac:dyDescent="0.3">
      <c r="A85" s="411"/>
      <c r="B85" s="411"/>
      <c r="C85" s="411"/>
      <c r="D85" s="411"/>
      <c r="E85" s="411"/>
      <c r="F85" s="411"/>
      <c r="G85" s="411"/>
      <c r="H85" s="411"/>
      <c r="I85" s="411"/>
      <c r="J85" s="411"/>
      <c r="K85" s="411"/>
      <c r="L85" s="411"/>
    </row>
    <row r="86" spans="1:12" s="410" customFormat="1" ht="16.5" x14ac:dyDescent="0.3">
      <c r="A86" s="764" t="s">
        <v>874</v>
      </c>
      <c r="B86" s="765" t="str">
        <f>B9</f>
        <v>29-Jun-2020 </v>
      </c>
      <c r="C86" s="765" t="str">
        <f t="shared" ref="C86:F86" si="18">C9</f>
        <v>29-Jun-2020 </v>
      </c>
      <c r="D86" s="765" t="str">
        <f t="shared" si="18"/>
        <v>30-Jun-2020 </v>
      </c>
      <c r="E86" s="765" t="str">
        <f t="shared" si="18"/>
        <v>31-Dec-2020 </v>
      </c>
      <c r="F86" s="765" t="str">
        <f t="shared" si="18"/>
        <v>31-Dec-2020 </v>
      </c>
      <c r="G86" s="765" t="str">
        <f t="shared" ref="G86" si="19">G9</f>
        <v>29-Jun-2020 </v>
      </c>
      <c r="H86" s="765"/>
      <c r="I86" s="765"/>
      <c r="J86" s="765"/>
      <c r="K86" s="765"/>
      <c r="L86" s="765"/>
    </row>
    <row r="87" spans="1:12" s="410" customFormat="1" ht="16.5" x14ac:dyDescent="0.3">
      <c r="A87" s="411" t="s">
        <v>875</v>
      </c>
      <c r="B87" s="604">
        <f>B66</f>
        <v>462200</v>
      </c>
      <c r="C87" s="604">
        <f t="shared" ref="C87:G87" si="20">C66</f>
        <v>242700</v>
      </c>
      <c r="D87" s="604">
        <f t="shared" si="20"/>
        <v>599377</v>
      </c>
      <c r="E87" s="604">
        <f t="shared" si="20"/>
        <v>27164000</v>
      </c>
      <c r="F87" s="604">
        <f t="shared" si="20"/>
        <v>24692</v>
      </c>
      <c r="G87" s="604">
        <f t="shared" si="20"/>
        <v>226980</v>
      </c>
      <c r="H87" s="604"/>
      <c r="I87" s="604"/>
      <c r="J87" s="604"/>
      <c r="K87" s="604"/>
      <c r="L87" s="604"/>
    </row>
    <row r="88" spans="1:12" s="410" customFormat="1" ht="16.5" x14ac:dyDescent="0.3">
      <c r="A88" s="411" t="s">
        <v>876</v>
      </c>
      <c r="B88" s="604">
        <f>B82</f>
        <v>148900</v>
      </c>
      <c r="C88" s="604">
        <f t="shared" ref="C88:G88" si="21">C82</f>
        <v>105330</v>
      </c>
      <c r="D88" s="604">
        <f t="shared" si="21"/>
        <v>163539</v>
      </c>
      <c r="E88" s="604">
        <f t="shared" si="21"/>
        <v>6618500</v>
      </c>
      <c r="F88" s="604">
        <f t="shared" si="21"/>
        <v>446188</v>
      </c>
      <c r="G88" s="604">
        <f t="shared" si="21"/>
        <v>238776</v>
      </c>
      <c r="H88" s="604"/>
      <c r="I88" s="604"/>
      <c r="J88" s="604"/>
      <c r="K88" s="604"/>
      <c r="L88" s="604"/>
    </row>
    <row r="89" spans="1:12" s="410" customFormat="1" ht="16.5" x14ac:dyDescent="0.3">
      <c r="A89" s="411" t="s">
        <v>877</v>
      </c>
      <c r="B89" s="604">
        <f>B71</f>
        <v>99900</v>
      </c>
      <c r="C89" s="604">
        <f t="shared" ref="C89:G89" si="22">C71</f>
        <v>88961</v>
      </c>
      <c r="D89" s="604">
        <f t="shared" si="22"/>
        <v>145360</v>
      </c>
      <c r="E89" s="604">
        <f t="shared" si="22"/>
        <v>6613000</v>
      </c>
      <c r="F89" s="604">
        <f t="shared" si="22"/>
        <v>4188</v>
      </c>
      <c r="G89" s="604">
        <f t="shared" si="22"/>
        <v>35834</v>
      </c>
      <c r="H89" s="604"/>
      <c r="I89" s="604"/>
      <c r="J89" s="604"/>
      <c r="K89" s="604"/>
      <c r="L89" s="604"/>
    </row>
    <row r="90" spans="1:12" s="410" customFormat="1" ht="16.5" x14ac:dyDescent="0.3">
      <c r="A90" s="411" t="s">
        <v>878</v>
      </c>
      <c r="B90" s="766">
        <f t="shared" ref="B90:G90" si="23">B78</f>
        <v>0.45403377110694182</v>
      </c>
      <c r="C90" s="766">
        <f t="shared" si="23"/>
        <v>0.35942500381586179</v>
      </c>
      <c r="D90" s="766">
        <f t="shared" si="23"/>
        <v>1.056519242744042</v>
      </c>
      <c r="E90" s="766">
        <f t="shared" si="23"/>
        <v>37.795962170501042</v>
      </c>
      <c r="F90" s="766">
        <f t="shared" si="23"/>
        <v>0.13676544632568036</v>
      </c>
      <c r="G90" s="766">
        <f t="shared" si="23"/>
        <v>-0.15745260402276234</v>
      </c>
      <c r="H90" s="766"/>
      <c r="I90" s="766"/>
      <c r="J90" s="766"/>
      <c r="K90" s="766"/>
      <c r="L90" s="766"/>
    </row>
    <row r="91" spans="1:12" s="410" customFormat="1" ht="16.5" x14ac:dyDescent="0.3">
      <c r="A91" s="411"/>
      <c r="B91" s="411"/>
      <c r="C91" s="411"/>
      <c r="D91" s="411"/>
      <c r="E91" s="411"/>
      <c r="F91" s="411"/>
      <c r="G91" s="411"/>
      <c r="H91" s="411"/>
      <c r="I91" s="411"/>
      <c r="J91" s="411"/>
      <c r="K91" s="411"/>
      <c r="L91" s="411"/>
    </row>
    <row r="92" spans="1:12" s="410" customFormat="1" ht="16.5" hidden="1" x14ac:dyDescent="0.3">
      <c r="A92" s="412" t="s">
        <v>879</v>
      </c>
      <c r="B92" s="768" t="s">
        <v>714</v>
      </c>
      <c r="C92" s="768" t="s">
        <v>716</v>
      </c>
      <c r="D92" s="768" t="s">
        <v>718</v>
      </c>
      <c r="E92" s="768" t="s">
        <v>842</v>
      </c>
      <c r="F92" s="768" t="s">
        <v>847</v>
      </c>
      <c r="G92" s="769" t="s">
        <v>846</v>
      </c>
      <c r="H92" s="770" t="s">
        <v>845</v>
      </c>
      <c r="I92" s="413"/>
      <c r="J92" s="413"/>
      <c r="K92" s="413"/>
      <c r="L92" s="413"/>
    </row>
    <row r="93" spans="1:12" s="410" customFormat="1" ht="16.5" hidden="1" x14ac:dyDescent="0.3">
      <c r="A93" s="411"/>
      <c r="B93" s="411"/>
      <c r="C93" s="411"/>
      <c r="D93" s="411"/>
      <c r="E93" s="411"/>
      <c r="F93" s="411"/>
      <c r="G93" s="411"/>
      <c r="H93" s="411"/>
      <c r="I93" s="411"/>
      <c r="J93" s="411"/>
      <c r="K93" s="411"/>
      <c r="L93" s="411"/>
    </row>
    <row r="94" spans="1:12" s="410" customFormat="1" ht="16.5" hidden="1" x14ac:dyDescent="0.3">
      <c r="A94" s="764" t="s">
        <v>880</v>
      </c>
      <c r="B94" s="411"/>
      <c r="C94" s="765">
        <f>C14</f>
        <v>0</v>
      </c>
      <c r="D94" s="765">
        <f>D14</f>
        <v>0</v>
      </c>
      <c r="E94" s="765">
        <f>E14</f>
        <v>0</v>
      </c>
      <c r="F94" s="765">
        <f>F14</f>
        <v>0</v>
      </c>
      <c r="G94" s="765">
        <f>G14</f>
        <v>0</v>
      </c>
      <c r="H94" s="411"/>
      <c r="I94" s="411"/>
      <c r="J94" s="411"/>
      <c r="K94" s="411"/>
      <c r="L94" s="411"/>
    </row>
    <row r="95" spans="1:12" s="410" customFormat="1" ht="16.5" hidden="1" x14ac:dyDescent="0.3">
      <c r="A95" s="411" t="s">
        <v>875</v>
      </c>
      <c r="B95" s="604">
        <f t="shared" ref="B95:H95" si="24">B28</f>
        <v>150000</v>
      </c>
      <c r="C95" s="604">
        <f t="shared" si="24"/>
        <v>136309</v>
      </c>
      <c r="D95" s="604">
        <f t="shared" si="24"/>
        <v>122336</v>
      </c>
      <c r="E95" s="604">
        <f t="shared" si="24"/>
        <v>110861</v>
      </c>
      <c r="F95" s="604">
        <f t="shared" si="24"/>
        <v>10438</v>
      </c>
      <c r="G95" s="604">
        <f t="shared" si="24"/>
        <v>128764</v>
      </c>
      <c r="H95" s="604">
        <f t="shared" si="24"/>
        <v>0</v>
      </c>
      <c r="I95" s="604"/>
      <c r="J95" s="604"/>
      <c r="K95" s="604"/>
      <c r="L95" s="604"/>
    </row>
    <row r="96" spans="1:12" s="410" customFormat="1" ht="16.5" hidden="1" x14ac:dyDescent="0.3">
      <c r="A96" s="411" t="s">
        <v>876</v>
      </c>
      <c r="B96" s="604">
        <f t="shared" ref="B96:H96" si="25">B44</f>
        <v>109500</v>
      </c>
      <c r="C96" s="604">
        <f t="shared" si="25"/>
        <v>121443</v>
      </c>
      <c r="D96" s="604">
        <f t="shared" si="25"/>
        <v>137910</v>
      </c>
      <c r="E96" s="604">
        <f t="shared" si="25"/>
        <v>26967112</v>
      </c>
      <c r="F96" s="604">
        <f t="shared" si="25"/>
        <v>4414</v>
      </c>
      <c r="G96" s="604">
        <f t="shared" si="25"/>
        <v>33962</v>
      </c>
      <c r="H96" s="604">
        <f t="shared" si="25"/>
        <v>0</v>
      </c>
      <c r="I96" s="604"/>
      <c r="J96" s="604"/>
      <c r="K96" s="604"/>
      <c r="L96" s="604"/>
    </row>
    <row r="97" spans="1:12" s="410" customFormat="1" ht="16.5" hidden="1" x14ac:dyDescent="0.3">
      <c r="A97" s="411" t="s">
        <v>877</v>
      </c>
      <c r="B97" s="604">
        <f t="shared" ref="B97:H97" si="26">B33</f>
        <v>80500</v>
      </c>
      <c r="C97" s="604">
        <f t="shared" si="26"/>
        <v>109660</v>
      </c>
      <c r="D97" s="604">
        <f t="shared" si="26"/>
        <v>127700</v>
      </c>
      <c r="E97" s="604">
        <f t="shared" si="26"/>
        <v>26951665</v>
      </c>
      <c r="F97" s="604">
        <f t="shared" si="26"/>
        <v>2729</v>
      </c>
      <c r="G97" s="604">
        <f t="shared" si="26"/>
        <v>33962</v>
      </c>
      <c r="H97" s="604">
        <f t="shared" si="26"/>
        <v>0</v>
      </c>
      <c r="I97" s="604"/>
      <c r="J97" s="604"/>
      <c r="K97" s="604"/>
      <c r="L97" s="604"/>
    </row>
    <row r="98" spans="1:12" s="410" customFormat="1" ht="16.5" hidden="1" x14ac:dyDescent="0.3">
      <c r="A98" s="411" t="s">
        <v>878</v>
      </c>
      <c r="B98" s="766">
        <f t="shared" ref="B98:H98" si="27">B40</f>
        <v>0.4712320200125078</v>
      </c>
      <c r="C98" s="766">
        <f t="shared" si="27"/>
        <v>0.61799087551132548</v>
      </c>
      <c r="D98" s="766">
        <f t="shared" si="27"/>
        <v>0.91370484485310177</v>
      </c>
      <c r="E98" s="766">
        <f t="shared" si="27"/>
        <v>300.98126411339905</v>
      </c>
      <c r="F98" s="766">
        <f t="shared" si="27"/>
        <v>7.2245368318411482E-2</v>
      </c>
      <c r="G98" s="766">
        <f t="shared" si="27"/>
        <v>-0.14003756513196636</v>
      </c>
      <c r="H98" s="766">
        <f t="shared" si="27"/>
        <v>0</v>
      </c>
      <c r="I98" s="766"/>
      <c r="J98" s="766"/>
      <c r="K98" s="766"/>
      <c r="L98" s="766"/>
    </row>
    <row r="103" spans="1:12" s="1218" customFormat="1" ht="18" x14ac:dyDescent="0.2">
      <c r="A103" s="1218" t="s">
        <v>741</v>
      </c>
    </row>
    <row r="104" spans="1:12" ht="16.5" x14ac:dyDescent="0.3">
      <c r="A104" s="411"/>
      <c r="B104" s="768" t="s">
        <v>714</v>
      </c>
      <c r="C104" s="768" t="s">
        <v>716</v>
      </c>
      <c r="D104" s="768" t="s">
        <v>718</v>
      </c>
      <c r="E104" s="768" t="s">
        <v>842</v>
      </c>
      <c r="F104" s="768" t="s">
        <v>847</v>
      </c>
      <c r="G104" s="770" t="s">
        <v>845</v>
      </c>
    </row>
    <row r="105" spans="1:12" ht="15" customHeight="1" x14ac:dyDescent="0.2">
      <c r="A105" s="595" t="s">
        <v>742</v>
      </c>
      <c r="B105" s="551">
        <v>10400</v>
      </c>
      <c r="C105" s="551">
        <v>5635</v>
      </c>
      <c r="D105" s="551">
        <v>6385</v>
      </c>
      <c r="E105" s="551">
        <v>12027</v>
      </c>
      <c r="F105" s="551">
        <v>4387</v>
      </c>
      <c r="G105" s="551">
        <v>51000</v>
      </c>
      <c r="H105" s="759"/>
      <c r="I105" s="488"/>
      <c r="J105" s="488"/>
      <c r="K105" s="488"/>
      <c r="L105" s="488"/>
    </row>
    <row r="106" spans="1:12" ht="15" customHeight="1" x14ac:dyDescent="0.2">
      <c r="A106" s="595" t="s">
        <v>743</v>
      </c>
      <c r="B106" s="551">
        <v>35400</v>
      </c>
      <c r="C106" s="551">
        <v>7580</v>
      </c>
      <c r="D106" s="551">
        <v>57578</v>
      </c>
      <c r="E106" s="551">
        <v>231964</v>
      </c>
      <c r="F106" s="551">
        <v>39911</v>
      </c>
      <c r="G106" s="551">
        <v>735700</v>
      </c>
      <c r="H106" s="551"/>
    </row>
    <row r="107" spans="1:12" ht="15" customHeight="1" x14ac:dyDescent="0.2">
      <c r="A107" s="595" t="s">
        <v>744</v>
      </c>
      <c r="B107" s="603">
        <v>0</v>
      </c>
      <c r="C107" s="603">
        <v>0</v>
      </c>
      <c r="D107" s="603">
        <v>0</v>
      </c>
      <c r="E107" s="603">
        <v>0</v>
      </c>
      <c r="F107" s="603">
        <v>0</v>
      </c>
      <c r="G107" s="603">
        <v>0</v>
      </c>
      <c r="H107" s="603"/>
      <c r="J107" s="469"/>
    </row>
    <row r="108" spans="1:12" ht="15" customHeight="1" x14ac:dyDescent="0.2">
      <c r="A108" s="595" t="s">
        <v>745</v>
      </c>
      <c r="B108" s="603">
        <v>0</v>
      </c>
      <c r="C108" s="603">
        <v>0</v>
      </c>
      <c r="D108" s="603">
        <v>0</v>
      </c>
      <c r="E108" s="603">
        <v>0</v>
      </c>
      <c r="F108" s="603">
        <v>0</v>
      </c>
      <c r="G108" s="603">
        <v>0</v>
      </c>
      <c r="H108" s="603"/>
    </row>
    <row r="109" spans="1:12" ht="15" customHeight="1" x14ac:dyDescent="0.2">
      <c r="A109" s="533" t="s">
        <v>746</v>
      </c>
      <c r="B109" s="598">
        <f t="shared" ref="B109:G109" si="28">SUM(B105:B108)</f>
        <v>45800</v>
      </c>
      <c r="C109" s="598">
        <f t="shared" si="28"/>
        <v>13215</v>
      </c>
      <c r="D109" s="598">
        <f t="shared" si="28"/>
        <v>63963</v>
      </c>
      <c r="E109" s="598">
        <f t="shared" si="28"/>
        <v>243991</v>
      </c>
      <c r="F109" s="598">
        <f t="shared" si="28"/>
        <v>44298</v>
      </c>
      <c r="G109" s="598">
        <f t="shared" si="28"/>
        <v>786700</v>
      </c>
      <c r="H109" s="598"/>
    </row>
    <row r="110" spans="1:12" ht="15" customHeight="1" x14ac:dyDescent="0.2">
      <c r="A110" s="595" t="s">
        <v>747</v>
      </c>
      <c r="B110" s="551">
        <v>223700</v>
      </c>
      <c r="C110" s="551">
        <v>88318</v>
      </c>
      <c r="D110" s="551">
        <v>126037</v>
      </c>
      <c r="E110" s="551">
        <v>36499</v>
      </c>
      <c r="F110" s="551">
        <v>1396166</v>
      </c>
      <c r="G110" s="551">
        <v>892939</v>
      </c>
      <c r="H110" s="551"/>
    </row>
    <row r="111" spans="1:12" ht="15" customHeight="1" x14ac:dyDescent="0.3">
      <c r="A111" s="605" t="s">
        <v>748</v>
      </c>
      <c r="B111" s="615">
        <f t="shared" ref="B111:F111" si="29">B109-B110</f>
        <v>-177900</v>
      </c>
      <c r="C111" s="615">
        <f t="shared" si="29"/>
        <v>-75103</v>
      </c>
      <c r="D111" s="615">
        <f t="shared" si="29"/>
        <v>-62074</v>
      </c>
      <c r="E111" s="615">
        <f t="shared" si="29"/>
        <v>207492</v>
      </c>
      <c r="F111" s="615">
        <f t="shared" si="29"/>
        <v>-1351868</v>
      </c>
      <c r="G111" s="615">
        <f>G109-G110</f>
        <v>-106239</v>
      </c>
      <c r="H111" s="615"/>
    </row>
    <row r="113" spans="1:12" s="1218" customFormat="1" ht="18" x14ac:dyDescent="0.2">
      <c r="A113" s="1218" t="s">
        <v>749</v>
      </c>
    </row>
    <row r="114" spans="1:12" ht="16.5" x14ac:dyDescent="0.3">
      <c r="A114" s="427"/>
      <c r="B114" s="427"/>
      <c r="C114" s="427"/>
      <c r="D114" s="427"/>
      <c r="E114" s="427"/>
      <c r="F114" s="427"/>
      <c r="G114" s="427"/>
      <c r="H114" s="427"/>
      <c r="I114" s="427"/>
      <c r="J114" s="427"/>
      <c r="K114" s="427"/>
      <c r="L114" s="427"/>
    </row>
    <row r="115" spans="1:12" ht="16.5" x14ac:dyDescent="0.3">
      <c r="A115" s="607" t="s">
        <v>750</v>
      </c>
      <c r="B115" s="768" t="s">
        <v>714</v>
      </c>
      <c r="C115" s="768" t="s">
        <v>716</v>
      </c>
      <c r="D115" s="768" t="s">
        <v>718</v>
      </c>
      <c r="E115" s="768" t="s">
        <v>842</v>
      </c>
      <c r="F115" s="768" t="s">
        <v>847</v>
      </c>
      <c r="G115" s="770" t="s">
        <v>845</v>
      </c>
      <c r="I115" s="608"/>
      <c r="J115" s="608"/>
      <c r="K115" s="608"/>
      <c r="L115" s="608"/>
    </row>
    <row r="116" spans="1:12" ht="16.5" x14ac:dyDescent="0.3">
      <c r="A116" s="427"/>
      <c r="B116" s="427"/>
      <c r="C116" s="427"/>
      <c r="D116" s="427"/>
      <c r="E116" s="427"/>
      <c r="F116" s="427"/>
      <c r="G116" s="427"/>
      <c r="H116" s="488"/>
      <c r="I116" s="427"/>
      <c r="J116" s="427"/>
      <c r="K116" s="427"/>
      <c r="L116" s="427"/>
    </row>
    <row r="117" spans="1:12" ht="16.5" x14ac:dyDescent="0.3">
      <c r="A117" s="595" t="s">
        <v>884</v>
      </c>
      <c r="B117" s="618">
        <f t="shared" ref="B117:F117" si="30">B12</f>
        <v>30.61</v>
      </c>
      <c r="C117" s="618">
        <f t="shared" si="30"/>
        <v>36.549999999999997</v>
      </c>
      <c r="D117" s="618">
        <f t="shared" si="30"/>
        <v>12.82</v>
      </c>
      <c r="E117" s="618">
        <f t="shared" si="30"/>
        <v>199.50006755843808</v>
      </c>
      <c r="F117" s="618">
        <f t="shared" si="30"/>
        <v>6.77</v>
      </c>
      <c r="G117" s="618">
        <f>G12</f>
        <v>12.58</v>
      </c>
      <c r="I117" s="609"/>
      <c r="J117" s="609"/>
      <c r="K117" s="609"/>
      <c r="L117" s="609"/>
    </row>
    <row r="118" spans="1:12" ht="16.5" x14ac:dyDescent="0.3">
      <c r="A118" s="595" t="s">
        <v>442</v>
      </c>
      <c r="B118" s="613">
        <f t="shared" ref="B118:F118" si="31">B18</f>
        <v>319800</v>
      </c>
      <c r="C118" s="613">
        <f t="shared" si="31"/>
        <v>131032</v>
      </c>
      <c r="D118" s="613">
        <f t="shared" si="31"/>
        <v>123657</v>
      </c>
      <c r="E118" s="613">
        <f t="shared" si="31"/>
        <v>89454</v>
      </c>
      <c r="F118" s="613">
        <f t="shared" si="31"/>
        <v>22562</v>
      </c>
      <c r="G118" s="613">
        <f>G18</f>
        <v>358311</v>
      </c>
      <c r="I118" s="610"/>
      <c r="J118" s="610"/>
      <c r="K118" s="610"/>
      <c r="L118" s="610"/>
    </row>
    <row r="119" spans="1:12" ht="16.5" x14ac:dyDescent="0.3">
      <c r="A119" s="533" t="s">
        <v>885</v>
      </c>
      <c r="B119" s="613"/>
      <c r="C119" s="613"/>
      <c r="D119" s="613"/>
      <c r="E119" s="613">
        <f>E118*E10</f>
        <v>13207883.1</v>
      </c>
      <c r="F119" s="613"/>
      <c r="G119" s="613"/>
      <c r="I119" s="610"/>
      <c r="J119" s="610"/>
      <c r="K119" s="610"/>
      <c r="L119" s="610"/>
    </row>
    <row r="120" spans="1:12" ht="16.5" x14ac:dyDescent="0.2">
      <c r="A120" s="533" t="s">
        <v>886</v>
      </c>
      <c r="B120" s="614">
        <f t="shared" ref="B120:F120" si="32">B117*B118</f>
        <v>9789078</v>
      </c>
      <c r="C120" s="614">
        <f t="shared" si="32"/>
        <v>4789219.5999999996</v>
      </c>
      <c r="D120" s="614">
        <f t="shared" si="32"/>
        <v>1585282.74</v>
      </c>
      <c r="E120" s="614">
        <f t="shared" si="32"/>
        <v>17846079.043372519</v>
      </c>
      <c r="F120" s="614">
        <f t="shared" si="32"/>
        <v>152744.74</v>
      </c>
      <c r="G120" s="614">
        <f>G117*G118</f>
        <v>4507552.38</v>
      </c>
      <c r="I120" s="606"/>
      <c r="J120" s="606"/>
      <c r="K120" s="606"/>
      <c r="L120" s="606"/>
    </row>
    <row r="121" spans="1:12" ht="16.5" x14ac:dyDescent="0.3">
      <c r="A121" s="427"/>
      <c r="B121" s="613"/>
      <c r="C121" s="613"/>
      <c r="D121" s="613"/>
      <c r="E121" s="613"/>
      <c r="F121" s="613"/>
      <c r="G121" s="427"/>
      <c r="I121" s="427"/>
      <c r="J121" s="427"/>
      <c r="K121" s="427"/>
      <c r="L121" s="427"/>
    </row>
    <row r="122" spans="1:12" ht="16.5" x14ac:dyDescent="0.3">
      <c r="A122" s="595" t="s">
        <v>748</v>
      </c>
      <c r="B122" s="550">
        <f t="shared" ref="B122:F122" si="33">B111</f>
        <v>-177900</v>
      </c>
      <c r="C122" s="550">
        <f t="shared" si="33"/>
        <v>-75103</v>
      </c>
      <c r="D122" s="550">
        <f t="shared" si="33"/>
        <v>-62074</v>
      </c>
      <c r="E122" s="550">
        <f t="shared" si="33"/>
        <v>207492</v>
      </c>
      <c r="F122" s="550">
        <f t="shared" si="33"/>
        <v>-1351868</v>
      </c>
      <c r="G122" s="550">
        <f>H111</f>
        <v>0</v>
      </c>
      <c r="I122" s="611"/>
      <c r="J122" s="611"/>
      <c r="K122" s="611"/>
      <c r="L122" s="611"/>
    </row>
    <row r="123" spans="1:12" ht="16.5" x14ac:dyDescent="0.3">
      <c r="A123" s="533" t="s">
        <v>509</v>
      </c>
      <c r="B123" s="615">
        <f>B120+B122</f>
        <v>9611178</v>
      </c>
      <c r="C123" s="615">
        <f t="shared" ref="C123:F123" si="34">C120+C122</f>
        <v>4714116.5999999996</v>
      </c>
      <c r="D123" s="615">
        <f t="shared" si="34"/>
        <v>1523208.74</v>
      </c>
      <c r="E123" s="615">
        <f t="shared" si="34"/>
        <v>18053571.043372519</v>
      </c>
      <c r="F123" s="615">
        <f t="shared" si="34"/>
        <v>-1199123.26</v>
      </c>
      <c r="G123" s="615">
        <f>G120+G122</f>
        <v>4507552.38</v>
      </c>
      <c r="I123" s="612"/>
      <c r="J123" s="612"/>
      <c r="K123" s="612"/>
      <c r="L123" s="612"/>
    </row>
    <row r="125" spans="1:12" s="410" customFormat="1" ht="16.5" x14ac:dyDescent="0.3">
      <c r="A125" s="605" t="s">
        <v>881</v>
      </c>
      <c r="B125" s="427"/>
      <c r="C125" s="427"/>
      <c r="D125" s="427"/>
      <c r="E125" s="427"/>
      <c r="F125" s="427"/>
      <c r="G125" s="427"/>
      <c r="H125" s="427"/>
      <c r="I125" s="427"/>
      <c r="J125" s="427"/>
      <c r="K125" s="427"/>
      <c r="L125" s="427"/>
    </row>
    <row r="126" spans="1:12" s="410" customFormat="1" ht="16.5" x14ac:dyDescent="0.3">
      <c r="A126" s="427" t="s">
        <v>882</v>
      </c>
      <c r="B126" s="767">
        <f t="shared" ref="B126:F126" si="35">B120/B87</f>
        <v>21.179311986153181</v>
      </c>
      <c r="C126" s="767">
        <f t="shared" si="35"/>
        <v>19.733084466419445</v>
      </c>
      <c r="D126" s="767">
        <f t="shared" si="35"/>
        <v>2.6448841713979681</v>
      </c>
      <c r="E126" s="767">
        <f t="shared" si="35"/>
        <v>0.65697537341232948</v>
      </c>
      <c r="F126" s="767">
        <f t="shared" si="35"/>
        <v>6.1860011339705165</v>
      </c>
      <c r="G126" s="767">
        <f t="shared" ref="G126" si="36">G120/G87</f>
        <v>19.858808617499339</v>
      </c>
      <c r="I126" s="767"/>
      <c r="J126" s="767"/>
      <c r="K126" s="767"/>
      <c r="L126" s="767"/>
    </row>
    <row r="127" spans="1:12" s="410" customFormat="1" ht="16.5" x14ac:dyDescent="0.3">
      <c r="A127" s="427" t="s">
        <v>498</v>
      </c>
      <c r="B127" s="767">
        <f t="shared" ref="B127:F127" si="37">B120/B88</f>
        <v>65.742632639355278</v>
      </c>
      <c r="C127" s="767">
        <f t="shared" si="37"/>
        <v>45.468713566885022</v>
      </c>
      <c r="D127" s="767">
        <f t="shared" si="37"/>
        <v>9.6936066626309323</v>
      </c>
      <c r="E127" s="767">
        <f t="shared" si="37"/>
        <v>2.6963932980845389</v>
      </c>
      <c r="F127" s="767">
        <f t="shared" si="37"/>
        <v>0.34233269384205761</v>
      </c>
      <c r="G127" s="767">
        <f t="shared" ref="G127" si="38">G120/G88</f>
        <v>18.8777447482159</v>
      </c>
      <c r="H127" s="1193">
        <f>AVERAGE(B127:G127)</f>
        <v>23.803570601502287</v>
      </c>
      <c r="I127" s="767"/>
      <c r="J127" s="767"/>
      <c r="K127" s="767"/>
      <c r="L127" s="767"/>
    </row>
    <row r="128" spans="1:12" s="410" customFormat="1" ht="16.5" x14ac:dyDescent="0.3">
      <c r="A128" s="427" t="s">
        <v>883</v>
      </c>
      <c r="B128" s="767">
        <f t="shared" ref="B128:F128" si="39">B120/B89</f>
        <v>97.988768768768765</v>
      </c>
      <c r="C128" s="767">
        <f t="shared" si="39"/>
        <v>53.835046818268673</v>
      </c>
      <c r="D128" s="767">
        <f t="shared" si="39"/>
        <v>10.905907677490369</v>
      </c>
      <c r="E128" s="767">
        <f t="shared" si="39"/>
        <v>2.6986358753020596</v>
      </c>
      <c r="F128" s="767">
        <f t="shared" si="39"/>
        <v>36.472000955109834</v>
      </c>
      <c r="G128" s="767">
        <f t="shared" ref="G128" si="40">G120/G89</f>
        <v>125.78981916615504</v>
      </c>
      <c r="H128" s="1193">
        <f>AVERAGE(B128:G128)</f>
        <v>54.615029876849121</v>
      </c>
      <c r="I128" s="767"/>
      <c r="J128" s="767"/>
      <c r="K128" s="767"/>
      <c r="L128" s="767"/>
    </row>
    <row r="129" spans="1:12" s="410" customFormat="1" ht="16.5" x14ac:dyDescent="0.3">
      <c r="A129" s="427" t="s">
        <v>708</v>
      </c>
      <c r="B129" s="767">
        <f>B117/B90</f>
        <v>67.417892561983479</v>
      </c>
      <c r="C129" s="767">
        <f t="shared" ref="C129:F129" si="41">C117/C90</f>
        <v>101.69019854479865</v>
      </c>
      <c r="D129" s="767">
        <f t="shared" si="41"/>
        <v>12.134185049676224</v>
      </c>
      <c r="E129" s="767">
        <f t="shared" si="41"/>
        <v>5.2783434023580353</v>
      </c>
      <c r="F129" s="767">
        <f t="shared" si="41"/>
        <v>49.500807271732647</v>
      </c>
      <c r="G129" s="767">
        <f t="shared" ref="G129" si="42">G117/G90</f>
        <v>-79.8970590424872</v>
      </c>
      <c r="I129" s="767"/>
      <c r="J129" s="767"/>
      <c r="K129" s="767"/>
      <c r="L129" s="767"/>
    </row>
    <row r="131" spans="1:12" s="1218" customFormat="1" ht="18" x14ac:dyDescent="0.2">
      <c r="A131" s="1218" t="s">
        <v>756</v>
      </c>
    </row>
    <row r="133" spans="1:12" ht="13.5" thickBot="1" x14ac:dyDescent="0.25"/>
    <row r="134" spans="1:12" ht="13.5" thickBot="1" x14ac:dyDescent="0.25">
      <c r="A134" s="949" t="s">
        <v>722</v>
      </c>
      <c r="B134" s="950">
        <v>2016</v>
      </c>
      <c r="C134" s="950">
        <v>2017</v>
      </c>
      <c r="D134" s="950">
        <v>2018</v>
      </c>
      <c r="E134" s="950">
        <v>2019</v>
      </c>
      <c r="F134" s="950">
        <v>2020</v>
      </c>
      <c r="G134" s="951" t="s">
        <v>759</v>
      </c>
    </row>
    <row r="135" spans="1:12" ht="13.5" thickBot="1" x14ac:dyDescent="0.25">
      <c r="A135" s="957" t="s">
        <v>757</v>
      </c>
      <c r="B135" s="597">
        <v>3452</v>
      </c>
      <c r="C135" s="597">
        <v>44164</v>
      </c>
      <c r="D135" s="597">
        <v>57152</v>
      </c>
      <c r="E135" s="597">
        <v>76428</v>
      </c>
      <c r="F135" s="597">
        <v>181800</v>
      </c>
      <c r="G135" s="958"/>
    </row>
    <row r="136" spans="1:12" ht="13.5" thickBot="1" x14ac:dyDescent="0.25">
      <c r="A136" s="957" t="s">
        <v>758</v>
      </c>
      <c r="B136" s="597">
        <v>1285</v>
      </c>
      <c r="C136" s="597">
        <v>11972</v>
      </c>
      <c r="D136" s="597">
        <v>16358</v>
      </c>
      <c r="E136" s="597">
        <v>22339</v>
      </c>
      <c r="F136" s="597">
        <v>21000</v>
      </c>
      <c r="G136" s="958"/>
    </row>
    <row r="137" spans="1:12" x14ac:dyDescent="0.2">
      <c r="A137" s="634"/>
      <c r="G137" s="161"/>
    </row>
    <row r="138" spans="1:12" ht="13.5" thickBot="1" x14ac:dyDescent="0.25">
      <c r="A138" s="961" t="s">
        <v>760</v>
      </c>
      <c r="B138" s="955">
        <f>B136/B135</f>
        <v>0.37224797219003475</v>
      </c>
      <c r="C138" s="955">
        <f>C136/C135</f>
        <v>0.27108051806901551</v>
      </c>
      <c r="D138" s="955">
        <f>D136/D135</f>
        <v>0.28621920492721165</v>
      </c>
      <c r="E138" s="955">
        <f>E136/E135</f>
        <v>0.29228816664049823</v>
      </c>
      <c r="F138" s="955">
        <f>F136/F135</f>
        <v>0.11551155115511551</v>
      </c>
      <c r="G138" s="956">
        <f>AVERAGE(B138:F138)</f>
        <v>0.26746948259637515</v>
      </c>
    </row>
    <row r="139" spans="1:12" ht="13.5" thickBot="1" x14ac:dyDescent="0.25"/>
    <row r="140" spans="1:12" ht="13.5" thickBot="1" x14ac:dyDescent="0.25">
      <c r="A140" s="960" t="s">
        <v>721</v>
      </c>
      <c r="B140" s="950">
        <v>2016</v>
      </c>
      <c r="C140" s="950">
        <v>2017</v>
      </c>
      <c r="D140" s="950">
        <v>2018</v>
      </c>
      <c r="E140" s="950">
        <v>2019</v>
      </c>
      <c r="F140" s="950">
        <v>2020</v>
      </c>
      <c r="G140" s="951" t="s">
        <v>759</v>
      </c>
    </row>
    <row r="141" spans="1:12" ht="13.5" thickBot="1" x14ac:dyDescent="0.25">
      <c r="A141" s="957" t="s">
        <v>757</v>
      </c>
      <c r="B141" s="597">
        <v>24610</v>
      </c>
      <c r="C141" s="597">
        <v>31424</v>
      </c>
      <c r="D141" s="597">
        <v>39703</v>
      </c>
      <c r="E141" s="597">
        <v>57612</v>
      </c>
      <c r="F141" s="597">
        <v>64642</v>
      </c>
      <c r="G141" s="958"/>
    </row>
    <row r="142" spans="1:12" ht="13.5" thickBot="1" x14ac:dyDescent="0.25">
      <c r="A142" s="957" t="s">
        <v>758</v>
      </c>
      <c r="B142" s="597">
        <v>1590</v>
      </c>
      <c r="C142" s="597">
        <v>1395</v>
      </c>
      <c r="D142" s="597">
        <v>2214</v>
      </c>
      <c r="E142" s="597">
        <v>4719</v>
      </c>
      <c r="F142" s="597">
        <v>33761</v>
      </c>
      <c r="G142" s="958"/>
      <c r="K142" s="962" t="s">
        <v>894</v>
      </c>
      <c r="L142" s="963">
        <f>AVERAGE(G138,G144,G150,G156,G161)</f>
        <v>0.28060262389001633</v>
      </c>
    </row>
    <row r="143" spans="1:12" x14ac:dyDescent="0.2">
      <c r="A143" s="634"/>
      <c r="G143" s="161"/>
    </row>
    <row r="144" spans="1:12" ht="13.5" thickBot="1" x14ac:dyDescent="0.25">
      <c r="A144" s="961" t="s">
        <v>760</v>
      </c>
      <c r="B144" s="955">
        <f>B142/B141</f>
        <v>6.4607882974400649E-2</v>
      </c>
      <c r="C144" s="955">
        <f>C142/C141</f>
        <v>4.4392820773930752E-2</v>
      </c>
      <c r="D144" s="955">
        <f>D142/D141</f>
        <v>5.5764048056821905E-2</v>
      </c>
      <c r="E144" s="955">
        <f>E142/E141</f>
        <v>8.1910018746094562E-2</v>
      </c>
      <c r="F144" s="955">
        <f>F142/F141</f>
        <v>0.52227653847343836</v>
      </c>
      <c r="G144" s="956">
        <f>AVERAGE(B144:F144)</f>
        <v>0.15379026180493724</v>
      </c>
    </row>
    <row r="145" spans="1:7" ht="13.5" thickBot="1" x14ac:dyDescent="0.25"/>
    <row r="146" spans="1:7" ht="13.5" thickBot="1" x14ac:dyDescent="0.25">
      <c r="A146" s="960" t="s">
        <v>723</v>
      </c>
      <c r="B146" s="950">
        <v>2016</v>
      </c>
      <c r="C146" s="950">
        <v>2017</v>
      </c>
      <c r="D146" s="950">
        <v>2018</v>
      </c>
      <c r="E146" s="950">
        <v>2019</v>
      </c>
      <c r="F146" s="950">
        <v>2020</v>
      </c>
      <c r="G146" s="951" t="s">
        <v>759</v>
      </c>
    </row>
    <row r="147" spans="1:7" ht="13.5" thickBot="1" x14ac:dyDescent="0.25">
      <c r="A147" s="957" t="s">
        <v>757</v>
      </c>
      <c r="B147" s="597">
        <v>12410</v>
      </c>
      <c r="C147" s="597">
        <v>16031</v>
      </c>
      <c r="D147" s="597">
        <v>20375</v>
      </c>
      <c r="E147" s="597">
        <v>55954</v>
      </c>
      <c r="F147" s="597">
        <v>55055</v>
      </c>
      <c r="G147" s="958"/>
    </row>
    <row r="148" spans="1:7" ht="13.5" thickBot="1" x14ac:dyDescent="0.25">
      <c r="A148" s="957" t="s">
        <v>758</v>
      </c>
      <c r="B148" s="597">
        <v>4102</v>
      </c>
      <c r="C148" s="597">
        <v>5542</v>
      </c>
      <c r="D148" s="597">
        <v>6093</v>
      </c>
      <c r="E148" s="597">
        <v>14226</v>
      </c>
      <c r="F148" s="597">
        <v>13444</v>
      </c>
      <c r="G148" s="958"/>
    </row>
    <row r="149" spans="1:7" x14ac:dyDescent="0.2">
      <c r="A149" s="634"/>
      <c r="G149" s="161"/>
    </row>
    <row r="150" spans="1:7" ht="13.5" thickBot="1" x14ac:dyDescent="0.25">
      <c r="A150" s="959" t="s">
        <v>760</v>
      </c>
      <c r="B150" s="955">
        <f>B148/B147</f>
        <v>0.33053988718775179</v>
      </c>
      <c r="C150" s="955">
        <f>C148/C147</f>
        <v>0.34570519618239659</v>
      </c>
      <c r="D150" s="955">
        <f>D148/D147</f>
        <v>0.2990429447852761</v>
      </c>
      <c r="E150" s="955">
        <f>E148/E147</f>
        <v>0.25424455802981022</v>
      </c>
      <c r="F150" s="955">
        <f>F148/F147</f>
        <v>0.24419217146489874</v>
      </c>
      <c r="G150" s="956">
        <f>AVERAGE(B150:F150)</f>
        <v>0.29474495153002667</v>
      </c>
    </row>
    <row r="151" spans="1:7" ht="13.5" thickBot="1" x14ac:dyDescent="0.25"/>
    <row r="152" spans="1:7" ht="13.5" thickBot="1" x14ac:dyDescent="0.25">
      <c r="A152" s="949" t="s">
        <v>842</v>
      </c>
      <c r="B152" s="950">
        <v>2016</v>
      </c>
      <c r="C152" s="950">
        <v>2017</v>
      </c>
      <c r="D152" s="950">
        <v>2018</v>
      </c>
      <c r="E152" s="950">
        <v>2019</v>
      </c>
      <c r="F152" s="950">
        <v>2020</v>
      </c>
      <c r="G152" s="951" t="s">
        <v>759</v>
      </c>
    </row>
    <row r="153" spans="1:7" ht="13.5" thickBot="1" x14ac:dyDescent="0.25">
      <c r="A153" s="957" t="s">
        <v>757</v>
      </c>
      <c r="B153" s="597">
        <v>56260</v>
      </c>
      <c r="C153" s="597">
        <v>64294</v>
      </c>
      <c r="D153" s="597">
        <v>70196</v>
      </c>
      <c r="E153" s="597">
        <v>80245</v>
      </c>
      <c r="F153" s="597">
        <v>63647</v>
      </c>
      <c r="G153" s="958"/>
    </row>
    <row r="154" spans="1:7" ht="13.5" thickBot="1" x14ac:dyDescent="0.25">
      <c r="A154" s="957" t="s">
        <v>758</v>
      </c>
      <c r="B154" s="597">
        <v>20698</v>
      </c>
      <c r="C154" s="597">
        <v>18635</v>
      </c>
      <c r="D154" s="597">
        <v>19723</v>
      </c>
      <c r="E154" s="597">
        <v>20687</v>
      </c>
      <c r="F154" s="597">
        <v>19969</v>
      </c>
      <c r="G154" s="958"/>
    </row>
    <row r="155" spans="1:7" x14ac:dyDescent="0.2">
      <c r="A155" s="634"/>
      <c r="G155" s="161"/>
    </row>
    <row r="156" spans="1:7" ht="13.5" thickBot="1" x14ac:dyDescent="0.25">
      <c r="A156" s="959" t="s">
        <v>760</v>
      </c>
      <c r="B156" s="955">
        <f>B154/B153</f>
        <v>0.36789904017063635</v>
      </c>
      <c r="C156" s="955">
        <f>C154/C153</f>
        <v>0.28984042056801568</v>
      </c>
      <c r="D156" s="955">
        <f>D154/D153</f>
        <v>0.28097042566528008</v>
      </c>
      <c r="E156" s="955">
        <f>E154/E153</f>
        <v>0.25779799364446382</v>
      </c>
      <c r="F156" s="955">
        <f>F154/F153</f>
        <v>0.31374613100381793</v>
      </c>
      <c r="G156" s="956">
        <f>AVERAGE(B156:F156)</f>
        <v>0.30205080221044278</v>
      </c>
    </row>
    <row r="157" spans="1:7" ht="13.5" thickBot="1" x14ac:dyDescent="0.25"/>
    <row r="158" spans="1:7" ht="13.5" thickBot="1" x14ac:dyDescent="0.25">
      <c r="A158" s="949" t="s">
        <v>843</v>
      </c>
      <c r="B158" s="950">
        <v>2016</v>
      </c>
      <c r="C158" s="950">
        <v>2017</v>
      </c>
      <c r="D158" s="950">
        <v>2018</v>
      </c>
      <c r="E158" s="950">
        <v>2019</v>
      </c>
      <c r="F158" s="950">
        <v>2020</v>
      </c>
      <c r="G158" s="951" t="s">
        <v>761</v>
      </c>
    </row>
    <row r="159" spans="1:7" ht="13.5" thickBot="1" x14ac:dyDescent="0.25">
      <c r="A159" s="957" t="s">
        <v>757</v>
      </c>
      <c r="B159" s="597"/>
      <c r="C159" s="597"/>
      <c r="D159" s="597">
        <v>1718</v>
      </c>
      <c r="E159" s="597">
        <v>2063</v>
      </c>
      <c r="F159" s="597">
        <v>1718</v>
      </c>
      <c r="G159" s="958"/>
    </row>
    <row r="160" spans="1:7" ht="13.5" thickBot="1" x14ac:dyDescent="0.25">
      <c r="A160" s="957" t="s">
        <v>758</v>
      </c>
      <c r="B160" s="597"/>
      <c r="C160" s="597"/>
      <c r="D160" s="597">
        <v>678.06899999999996</v>
      </c>
      <c r="E160" s="597">
        <v>754.03200000000004</v>
      </c>
      <c r="F160" s="597">
        <v>678.06899999999996</v>
      </c>
      <c r="G160" s="958"/>
    </row>
    <row r="161" spans="1:11" ht="13.5" thickBot="1" x14ac:dyDescent="0.25">
      <c r="A161" s="959"/>
      <c r="B161" s="955"/>
      <c r="C161" s="955"/>
      <c r="D161" s="955">
        <f>D160/D159</f>
        <v>0.39468509895227005</v>
      </c>
      <c r="E161" s="955">
        <f>E160/E159</f>
        <v>0.36550266602035875</v>
      </c>
      <c r="F161" s="955">
        <f>F160/F159</f>
        <v>0.39468509895227005</v>
      </c>
      <c r="G161" s="956">
        <f>AVERAGE(D161:F161)</f>
        <v>0.38495762130829964</v>
      </c>
    </row>
    <row r="162" spans="1:11" ht="13.5" thickBot="1" x14ac:dyDescent="0.25">
      <c r="A162" s="774"/>
      <c r="B162" s="620"/>
      <c r="C162" s="620"/>
      <c r="D162" s="620"/>
      <c r="E162" s="620"/>
      <c r="F162" s="620"/>
    </row>
    <row r="163" spans="1:11" x14ac:dyDescent="0.2">
      <c r="A163" s="949" t="s">
        <v>844</v>
      </c>
      <c r="B163" s="950">
        <v>2016</v>
      </c>
      <c r="C163" s="950">
        <v>2017</v>
      </c>
      <c r="D163" s="950">
        <v>2018</v>
      </c>
      <c r="E163" s="950">
        <v>2019</v>
      </c>
      <c r="F163" s="950">
        <v>2020</v>
      </c>
      <c r="G163" s="951" t="s">
        <v>761</v>
      </c>
    </row>
    <row r="164" spans="1:11" x14ac:dyDescent="0.2">
      <c r="A164" s="634"/>
      <c r="D164" s="952">
        <v>10891</v>
      </c>
      <c r="E164" s="952">
        <v>-16073</v>
      </c>
      <c r="F164" s="952">
        <v>-18740</v>
      </c>
      <c r="G164" s="161"/>
    </row>
    <row r="165" spans="1:11" x14ac:dyDescent="0.2">
      <c r="A165" s="634"/>
      <c r="D165" s="952">
        <v>4252</v>
      </c>
      <c r="E165" s="952">
        <v>-6254</v>
      </c>
      <c r="F165" s="756">
        <v>26434</v>
      </c>
      <c r="G165" s="161"/>
    </row>
    <row r="166" spans="1:11" x14ac:dyDescent="0.2">
      <c r="A166" s="634"/>
      <c r="G166" s="161"/>
    </row>
    <row r="167" spans="1:11" ht="13.5" thickBot="1" x14ac:dyDescent="0.25">
      <c r="A167" s="953"/>
      <c r="B167" s="954"/>
      <c r="C167" s="954"/>
      <c r="D167" s="955">
        <f>D165/D164</f>
        <v>0.39041410338811861</v>
      </c>
      <c r="E167" s="955">
        <f>E165/E164</f>
        <v>0.38909973247060287</v>
      </c>
      <c r="F167" s="955">
        <f>F165/F164</f>
        <v>-1.4105656350053362</v>
      </c>
      <c r="G167" s="956">
        <f>AVERAGE(D167:F167)</f>
        <v>-0.21035059971553824</v>
      </c>
    </row>
    <row r="168" spans="1:11" x14ac:dyDescent="0.2">
      <c r="D168" s="1214"/>
      <c r="E168" s="1214"/>
      <c r="F168" s="1214"/>
      <c r="G168" s="1215"/>
    </row>
    <row r="169" spans="1:11" x14ac:dyDescent="0.2">
      <c r="D169" s="620"/>
      <c r="E169" s="620"/>
      <c r="F169" s="620"/>
    </row>
    <row r="172" spans="1:11" x14ac:dyDescent="0.2">
      <c r="H172" s="37"/>
      <c r="I172" s="754"/>
      <c r="J172" s="754"/>
      <c r="K172" s="754"/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7"/>
  <sheetViews>
    <sheetView tabSelected="1" topLeftCell="A40" workbookViewId="0">
      <selection activeCell="H114" sqref="H114"/>
    </sheetView>
  </sheetViews>
  <sheetFormatPr defaultRowHeight="12.75" x14ac:dyDescent="0.2"/>
  <cols>
    <col min="1" max="1" width="72.33203125" customWidth="1"/>
    <col min="2" max="2" width="29.1640625" style="51" customWidth="1"/>
    <col min="3" max="3" width="13.83203125" style="51" customWidth="1"/>
    <col min="4" max="4" width="13.6640625" customWidth="1"/>
    <col min="5" max="6" width="12.33203125" customWidth="1"/>
    <col min="7" max="8" width="10.6640625" customWidth="1"/>
  </cols>
  <sheetData>
    <row r="1" spans="1:8" ht="25.5" x14ac:dyDescent="0.2">
      <c r="A1" s="90" t="s">
        <v>73</v>
      </c>
      <c r="B1" s="91" t="s">
        <v>46</v>
      </c>
      <c r="C1" s="92" t="s">
        <v>47</v>
      </c>
      <c r="D1" s="2"/>
      <c r="E1" s="2"/>
    </row>
    <row r="2" spans="1:8" x14ac:dyDescent="0.2">
      <c r="A2" s="98" t="s">
        <v>108</v>
      </c>
      <c r="B2" s="99">
        <v>249018</v>
      </c>
      <c r="C2" s="100">
        <v>218724</v>
      </c>
      <c r="D2" s="96"/>
      <c r="E2" s="96"/>
      <c r="F2" s="97"/>
      <c r="G2" s="97"/>
      <c r="H2" s="97"/>
    </row>
    <row r="3" spans="1:8" x14ac:dyDescent="0.2">
      <c r="A3" s="475" t="s">
        <v>31</v>
      </c>
      <c r="B3" s="41">
        <v>-23965</v>
      </c>
      <c r="C3" s="80">
        <v>-21713</v>
      </c>
      <c r="D3" s="2"/>
      <c r="E3" s="2"/>
    </row>
    <row r="4" spans="1:8" x14ac:dyDescent="0.2">
      <c r="A4" s="476" t="s">
        <v>32</v>
      </c>
      <c r="B4" s="39">
        <v>-7575</v>
      </c>
      <c r="C4" s="82">
        <v>-3189</v>
      </c>
      <c r="D4" s="2"/>
      <c r="E4" s="2"/>
    </row>
    <row r="5" spans="1:8" x14ac:dyDescent="0.2">
      <c r="A5" s="93" t="s">
        <v>107</v>
      </c>
      <c r="B5" s="94">
        <v>-31540</v>
      </c>
      <c r="C5" s="95">
        <v>-24902</v>
      </c>
      <c r="D5" s="96"/>
      <c r="E5" s="96"/>
      <c r="F5" s="97"/>
      <c r="G5" s="97"/>
      <c r="H5" s="97"/>
    </row>
    <row r="6" spans="1:8" x14ac:dyDescent="0.2">
      <c r="A6" s="475" t="s">
        <v>33</v>
      </c>
      <c r="B6" s="41">
        <v>-9033</v>
      </c>
      <c r="C6" s="80">
        <v>-8376</v>
      </c>
      <c r="D6" s="2"/>
      <c r="E6" s="2"/>
    </row>
    <row r="7" spans="1:8" x14ac:dyDescent="0.2">
      <c r="A7" s="476" t="s">
        <v>34</v>
      </c>
      <c r="B7" s="39">
        <v>-13665</v>
      </c>
      <c r="C7" s="82">
        <v>-12303</v>
      </c>
      <c r="D7" s="2"/>
      <c r="E7" s="2"/>
    </row>
    <row r="8" spans="1:8" x14ac:dyDescent="0.2">
      <c r="A8" s="476" t="s">
        <v>35</v>
      </c>
      <c r="B8" s="39">
        <v>-3924</v>
      </c>
      <c r="C8" s="82">
        <v>-4157</v>
      </c>
      <c r="D8" s="2"/>
      <c r="E8" s="2"/>
    </row>
    <row r="9" spans="1:8" x14ac:dyDescent="0.2">
      <c r="A9" s="476" t="s">
        <v>36</v>
      </c>
      <c r="B9" s="39">
        <v>-9262</v>
      </c>
      <c r="C9" s="82">
        <v>-7484</v>
      </c>
      <c r="D9" s="2"/>
      <c r="E9" s="2"/>
    </row>
    <row r="10" spans="1:8" x14ac:dyDescent="0.2">
      <c r="A10" s="476" t="s">
        <v>37</v>
      </c>
      <c r="B10" s="39">
        <v>-2751</v>
      </c>
      <c r="C10" s="82">
        <v>-3237</v>
      </c>
      <c r="D10" s="2"/>
      <c r="E10" s="2"/>
    </row>
    <row r="11" spans="1:8" x14ac:dyDescent="0.2">
      <c r="A11" s="476" t="s">
        <v>38</v>
      </c>
      <c r="B11" s="39">
        <v>-124006</v>
      </c>
      <c r="C11" s="82">
        <v>-110077</v>
      </c>
      <c r="D11" s="2"/>
      <c r="E11" s="2"/>
    </row>
    <row r="12" spans="1:8" x14ac:dyDescent="0.2">
      <c r="A12" s="476" t="s">
        <v>39</v>
      </c>
      <c r="B12" s="39">
        <v>-1496</v>
      </c>
      <c r="C12" s="82">
        <v>-1548</v>
      </c>
      <c r="D12" s="2"/>
      <c r="E12" s="2"/>
    </row>
    <row r="13" spans="1:8" x14ac:dyDescent="0.2">
      <c r="A13" s="476" t="s">
        <v>40</v>
      </c>
      <c r="B13" s="42">
        <v>-101</v>
      </c>
      <c r="C13" s="83">
        <v>-146</v>
      </c>
      <c r="D13" s="2"/>
      <c r="E13" s="2"/>
    </row>
    <row r="14" spans="1:8" x14ac:dyDescent="0.2">
      <c r="A14" s="93" t="s">
        <v>106</v>
      </c>
      <c r="B14" s="94">
        <v>-164238</v>
      </c>
      <c r="C14" s="95">
        <v>-147328</v>
      </c>
      <c r="D14" s="2"/>
      <c r="E14" s="2"/>
    </row>
    <row r="15" spans="1:8" x14ac:dyDescent="0.2">
      <c r="A15" s="477" t="s">
        <v>41</v>
      </c>
      <c r="B15" s="43">
        <v>53240</v>
      </c>
      <c r="C15" s="84">
        <v>46494</v>
      </c>
      <c r="D15" s="2"/>
      <c r="E15" s="2"/>
    </row>
    <row r="16" spans="1:8" x14ac:dyDescent="0.2">
      <c r="A16" s="478" t="s">
        <v>42</v>
      </c>
      <c r="B16" s="39">
        <v>-11896</v>
      </c>
      <c r="C16" s="82">
        <v>-10709</v>
      </c>
      <c r="D16" s="2"/>
      <c r="E16" s="2"/>
    </row>
    <row r="17" spans="1:8" x14ac:dyDescent="0.2">
      <c r="A17" s="93" t="s">
        <v>78</v>
      </c>
      <c r="B17" s="101">
        <v>41344</v>
      </c>
      <c r="C17" s="102">
        <v>35785</v>
      </c>
      <c r="D17" s="96"/>
      <c r="E17" s="96"/>
      <c r="F17" s="97"/>
      <c r="G17" s="97"/>
      <c r="H17" s="97"/>
    </row>
    <row r="18" spans="1:8" x14ac:dyDescent="0.2">
      <c r="A18" s="86"/>
      <c r="B18" s="39" t="s">
        <v>75</v>
      </c>
      <c r="C18" s="87" t="s">
        <v>75</v>
      </c>
      <c r="D18" s="2"/>
      <c r="E18" s="2"/>
    </row>
    <row r="19" spans="1:8" x14ac:dyDescent="0.2">
      <c r="A19" s="476" t="s">
        <v>43</v>
      </c>
      <c r="B19" s="45">
        <v>13.26</v>
      </c>
      <c r="C19" s="88">
        <v>11.57</v>
      </c>
      <c r="D19" s="2"/>
      <c r="E19" s="2"/>
    </row>
    <row r="20" spans="1:8" x14ac:dyDescent="0.2">
      <c r="A20" s="476" t="s">
        <v>44</v>
      </c>
      <c r="B20" s="45">
        <v>12.85</v>
      </c>
      <c r="C20" s="88">
        <v>11.3</v>
      </c>
      <c r="D20" s="2"/>
      <c r="E20" s="2"/>
    </row>
    <row r="21" spans="1:8" ht="30" x14ac:dyDescent="0.2">
      <c r="A21" s="81" t="s">
        <v>45</v>
      </c>
      <c r="B21" s="14"/>
      <c r="C21" s="89"/>
      <c r="D21" s="2"/>
      <c r="E21" s="2"/>
    </row>
    <row r="22" spans="1:8" x14ac:dyDescent="0.2">
      <c r="A22" s="103" t="s">
        <v>78</v>
      </c>
      <c r="B22" s="52">
        <v>41344</v>
      </c>
      <c r="C22" s="104">
        <v>35785</v>
      </c>
      <c r="D22" s="2"/>
      <c r="E22" s="2"/>
    </row>
    <row r="23" spans="1:8" x14ac:dyDescent="0.2">
      <c r="A23" s="40" t="s">
        <v>79</v>
      </c>
      <c r="B23" s="37"/>
      <c r="C23" s="105"/>
      <c r="D23" s="2"/>
      <c r="E23" s="2"/>
    </row>
    <row r="24" spans="1:8" x14ac:dyDescent="0.2">
      <c r="A24" s="479" t="s">
        <v>48</v>
      </c>
      <c r="B24" s="42">
        <v>-345</v>
      </c>
      <c r="C24" s="106">
        <v>294</v>
      </c>
      <c r="D24" s="2"/>
      <c r="E24" s="2"/>
    </row>
    <row r="25" spans="1:8" x14ac:dyDescent="0.2">
      <c r="A25" s="479" t="s">
        <v>49</v>
      </c>
      <c r="B25" s="42">
        <v>-345</v>
      </c>
      <c r="C25" s="106">
        <v>294</v>
      </c>
      <c r="D25" s="2"/>
      <c r="E25" s="2"/>
    </row>
    <row r="26" spans="1:8" ht="13.5" thickBot="1" x14ac:dyDescent="0.25">
      <c r="A26" s="107" t="s">
        <v>50</v>
      </c>
      <c r="B26" s="108">
        <v>40999</v>
      </c>
      <c r="C26" s="109">
        <v>36079</v>
      </c>
      <c r="D26" s="2"/>
      <c r="E26" s="2"/>
    </row>
    <row r="27" spans="1:8" ht="13.5" thickBot="1" x14ac:dyDescent="0.25">
      <c r="B27"/>
      <c r="C27"/>
      <c r="D27" s="2"/>
      <c r="E27" s="2"/>
    </row>
    <row r="28" spans="1:8" ht="25.5" x14ac:dyDescent="0.2">
      <c r="A28" t="s">
        <v>74</v>
      </c>
      <c r="B28" s="91" t="s">
        <v>46</v>
      </c>
      <c r="C28" s="92" t="s">
        <v>47</v>
      </c>
      <c r="D28" s="2"/>
      <c r="E28" s="2"/>
    </row>
    <row r="29" spans="1:8" x14ac:dyDescent="0.2">
      <c r="A29" s="110" t="s">
        <v>1</v>
      </c>
      <c r="B29" s="37"/>
      <c r="C29" s="111"/>
    </row>
    <row r="30" spans="1:8" x14ac:dyDescent="0.2">
      <c r="A30" s="110" t="s">
        <v>2</v>
      </c>
      <c r="B30" s="47">
        <v>82588</v>
      </c>
      <c r="C30" s="112">
        <v>75536</v>
      </c>
    </row>
    <row r="31" spans="1:8" x14ac:dyDescent="0.2">
      <c r="A31" s="110" t="s">
        <v>3</v>
      </c>
      <c r="B31" s="47">
        <v>5817</v>
      </c>
      <c r="C31" s="112">
        <v>1802</v>
      </c>
    </row>
    <row r="32" spans="1:8" x14ac:dyDescent="0.2">
      <c r="A32" s="473" t="s">
        <v>4</v>
      </c>
      <c r="B32" s="47">
        <v>41642</v>
      </c>
      <c r="C32" s="112">
        <v>38273</v>
      </c>
    </row>
    <row r="33" spans="1:4" x14ac:dyDescent="0.2">
      <c r="A33" s="473" t="s">
        <v>5</v>
      </c>
      <c r="B33" s="47">
        <v>16421</v>
      </c>
      <c r="C33" s="112">
        <v>10230</v>
      </c>
    </row>
    <row r="34" spans="1:4" x14ac:dyDescent="0.2">
      <c r="A34" s="473" t="s">
        <v>6</v>
      </c>
      <c r="B34" s="46">
        <v>793</v>
      </c>
      <c r="C34" s="113">
        <v>355</v>
      </c>
    </row>
    <row r="35" spans="1:4" x14ac:dyDescent="0.2">
      <c r="A35" s="114" t="s">
        <v>7</v>
      </c>
      <c r="B35" s="44">
        <v>147261</v>
      </c>
      <c r="C35" s="115">
        <v>126196</v>
      </c>
    </row>
    <row r="36" spans="1:4" x14ac:dyDescent="0.2">
      <c r="A36" s="474" t="s">
        <v>8</v>
      </c>
      <c r="B36" s="48"/>
      <c r="C36" s="116"/>
      <c r="D36" s="1"/>
    </row>
    <row r="37" spans="1:4" x14ac:dyDescent="0.2">
      <c r="A37" s="473" t="s">
        <v>9</v>
      </c>
      <c r="B37" s="47">
        <v>11681</v>
      </c>
      <c r="C37" s="112">
        <v>10012</v>
      </c>
    </row>
    <row r="38" spans="1:4" x14ac:dyDescent="0.2">
      <c r="A38" s="473" t="s">
        <v>10</v>
      </c>
      <c r="B38" s="47">
        <v>48088</v>
      </c>
      <c r="C38" s="112">
        <v>37245</v>
      </c>
    </row>
    <row r="39" spans="1:4" x14ac:dyDescent="0.2">
      <c r="A39" s="473" t="s">
        <v>5</v>
      </c>
      <c r="B39" s="47">
        <v>3980</v>
      </c>
      <c r="C39" s="112">
        <v>1880</v>
      </c>
    </row>
    <row r="40" spans="1:4" x14ac:dyDescent="0.2">
      <c r="A40" s="473" t="s">
        <v>11</v>
      </c>
      <c r="B40" s="47">
        <v>7512</v>
      </c>
      <c r="C40" s="112">
        <v>7314</v>
      </c>
    </row>
    <row r="41" spans="1:4" x14ac:dyDescent="0.2">
      <c r="A41" s="114" t="s">
        <v>12</v>
      </c>
      <c r="B41" s="44">
        <v>71261</v>
      </c>
      <c r="C41" s="115">
        <v>56451</v>
      </c>
    </row>
    <row r="42" spans="1:4" x14ac:dyDescent="0.2">
      <c r="A42" s="117" t="s">
        <v>13</v>
      </c>
      <c r="B42" s="43">
        <v>218522</v>
      </c>
      <c r="C42" s="118">
        <v>182647</v>
      </c>
    </row>
    <row r="43" spans="1:4" x14ac:dyDescent="0.2">
      <c r="A43" s="119" t="s">
        <v>76</v>
      </c>
      <c r="B43" s="37"/>
      <c r="C43" s="111"/>
    </row>
    <row r="44" spans="1:4" x14ac:dyDescent="0.2">
      <c r="A44" s="473" t="s">
        <v>14</v>
      </c>
      <c r="B44" s="37"/>
      <c r="C44" s="111"/>
    </row>
    <row r="45" spans="1:4" x14ac:dyDescent="0.2">
      <c r="A45" s="473" t="s">
        <v>15</v>
      </c>
      <c r="B45" s="47">
        <v>24587</v>
      </c>
      <c r="C45" s="112">
        <v>22026</v>
      </c>
    </row>
    <row r="46" spans="1:4" x14ac:dyDescent="0.2">
      <c r="A46" s="473" t="s">
        <v>16</v>
      </c>
      <c r="B46" s="47">
        <v>11194</v>
      </c>
      <c r="C46" s="112">
        <v>9137</v>
      </c>
    </row>
    <row r="47" spans="1:4" x14ac:dyDescent="0.2">
      <c r="A47" s="473" t="s">
        <v>17</v>
      </c>
      <c r="B47" s="47">
        <v>1085</v>
      </c>
      <c r="C47" s="112">
        <v>3479</v>
      </c>
    </row>
    <row r="48" spans="1:4" x14ac:dyDescent="0.2">
      <c r="A48" s="473" t="s">
        <v>18</v>
      </c>
      <c r="B48" s="47">
        <v>20885</v>
      </c>
      <c r="C48" s="112">
        <v>12672</v>
      </c>
    </row>
    <row r="49" spans="1:3" x14ac:dyDescent="0.2">
      <c r="A49" s="473" t="s">
        <v>19</v>
      </c>
      <c r="B49" s="46">
        <v>29</v>
      </c>
      <c r="C49" s="112">
        <v>2363</v>
      </c>
    </row>
    <row r="50" spans="1:3" x14ac:dyDescent="0.2">
      <c r="A50" s="114" t="s">
        <v>20</v>
      </c>
      <c r="B50" s="44">
        <v>57780</v>
      </c>
      <c r="C50" s="115">
        <v>49677</v>
      </c>
    </row>
    <row r="51" spans="1:3" x14ac:dyDescent="0.2">
      <c r="A51" s="474" t="s">
        <v>21</v>
      </c>
      <c r="B51" s="48"/>
      <c r="C51" s="116"/>
    </row>
    <row r="52" spans="1:3" x14ac:dyDescent="0.2">
      <c r="A52" s="473" t="s">
        <v>15</v>
      </c>
      <c r="B52" s="47">
        <v>16068</v>
      </c>
      <c r="C52" s="112">
        <v>8513</v>
      </c>
    </row>
    <row r="53" spans="1:3" x14ac:dyDescent="0.2">
      <c r="A53" s="473" t="s">
        <v>16</v>
      </c>
      <c r="B53" s="47">
        <v>4555</v>
      </c>
      <c r="C53" s="112">
        <v>4793</v>
      </c>
    </row>
    <row r="54" spans="1:3" x14ac:dyDescent="0.2">
      <c r="A54" s="473" t="s">
        <v>19</v>
      </c>
      <c r="B54" s="49" t="s">
        <v>22</v>
      </c>
      <c r="C54" s="113">
        <v>29</v>
      </c>
    </row>
    <row r="55" spans="1:3" x14ac:dyDescent="0.2">
      <c r="A55" s="473" t="s">
        <v>23</v>
      </c>
      <c r="B55" s="47">
        <v>1625</v>
      </c>
      <c r="C55" s="112">
        <v>1695</v>
      </c>
    </row>
    <row r="56" spans="1:3" x14ac:dyDescent="0.2">
      <c r="A56" s="114" t="s">
        <v>24</v>
      </c>
      <c r="B56" s="44">
        <v>22248</v>
      </c>
      <c r="C56" s="115">
        <v>15030</v>
      </c>
    </row>
    <row r="57" spans="1:3" x14ac:dyDescent="0.2">
      <c r="A57" s="120" t="s">
        <v>25</v>
      </c>
      <c r="B57" s="50">
        <v>80028</v>
      </c>
      <c r="C57" s="121">
        <v>64707</v>
      </c>
    </row>
    <row r="58" spans="1:3" x14ac:dyDescent="0.2">
      <c r="A58" s="120" t="s">
        <v>26</v>
      </c>
      <c r="B58" s="50">
        <v>138494</v>
      </c>
      <c r="C58" s="121">
        <v>117940</v>
      </c>
    </row>
    <row r="59" spans="1:3" x14ac:dyDescent="0.2">
      <c r="A59" s="122" t="s">
        <v>77</v>
      </c>
      <c r="B59" s="48"/>
      <c r="C59" s="116"/>
    </row>
    <row r="60" spans="1:3" x14ac:dyDescent="0.2">
      <c r="A60" s="473" t="s">
        <v>27</v>
      </c>
      <c r="B60" s="47">
        <v>29984</v>
      </c>
      <c r="C60" s="112">
        <v>28459</v>
      </c>
    </row>
    <row r="61" spans="1:3" x14ac:dyDescent="0.2">
      <c r="A61" s="473" t="s">
        <v>28</v>
      </c>
      <c r="B61" s="47">
        <v>38350</v>
      </c>
      <c r="C61" s="112">
        <v>31097</v>
      </c>
    </row>
    <row r="62" spans="1:3" x14ac:dyDescent="0.2">
      <c r="A62" s="473" t="s">
        <v>29</v>
      </c>
      <c r="B62" s="47">
        <v>70160</v>
      </c>
      <c r="C62" s="112">
        <v>58384</v>
      </c>
    </row>
    <row r="63" spans="1:3" ht="13.5" thickBot="1" x14ac:dyDescent="0.25">
      <c r="A63" s="123" t="s">
        <v>30</v>
      </c>
      <c r="B63" s="124">
        <v>138494</v>
      </c>
      <c r="C63" s="125">
        <v>117940</v>
      </c>
    </row>
    <row r="65" spans="1:5" x14ac:dyDescent="0.2">
      <c r="A65" s="38"/>
      <c r="B65" s="24"/>
      <c r="C65" s="24"/>
      <c r="D65" s="22"/>
      <c r="E65" s="22"/>
    </row>
    <row r="66" spans="1:5" ht="38.25" x14ac:dyDescent="0.2">
      <c r="A66" s="36" t="s">
        <v>80</v>
      </c>
      <c r="B66" s="32" t="s">
        <v>0</v>
      </c>
      <c r="C66" s="3" t="s">
        <v>46</v>
      </c>
      <c r="D66" s="450" t="s">
        <v>47</v>
      </c>
      <c r="E66" s="1"/>
    </row>
    <row r="67" spans="1:5" x14ac:dyDescent="0.2">
      <c r="A67" s="23" t="s">
        <v>51</v>
      </c>
      <c r="B67" s="33"/>
      <c r="C67" s="27"/>
      <c r="D67" s="27"/>
    </row>
    <row r="68" spans="1:5" x14ac:dyDescent="0.2">
      <c r="A68" s="4" t="s">
        <v>52</v>
      </c>
      <c r="B68" s="29"/>
      <c r="C68" s="6">
        <v>266492</v>
      </c>
      <c r="D68" s="7">
        <v>229770</v>
      </c>
    </row>
    <row r="69" spans="1:5" x14ac:dyDescent="0.2">
      <c r="A69" s="4" t="s">
        <v>53</v>
      </c>
      <c r="B69" s="29"/>
      <c r="C69" s="16">
        <v>-3996</v>
      </c>
      <c r="D69" s="21">
        <v>-583</v>
      </c>
    </row>
    <row r="70" spans="1:5" x14ac:dyDescent="0.2">
      <c r="A70" s="4" t="s">
        <v>54</v>
      </c>
      <c r="B70" s="29"/>
      <c r="C70" s="16">
        <v>-210508</v>
      </c>
      <c r="D70" s="17">
        <v>-183492</v>
      </c>
    </row>
    <row r="71" spans="1:5" x14ac:dyDescent="0.2">
      <c r="A71" s="4" t="s">
        <v>55</v>
      </c>
      <c r="B71" s="29"/>
      <c r="C71" s="6">
        <v>1035</v>
      </c>
      <c r="D71" s="7">
        <v>1298</v>
      </c>
    </row>
    <row r="72" spans="1:5" x14ac:dyDescent="0.2">
      <c r="A72" s="4" t="s">
        <v>56</v>
      </c>
      <c r="B72" s="29"/>
      <c r="C72" s="16">
        <v>-10711</v>
      </c>
      <c r="D72" s="17">
        <v>-10699</v>
      </c>
    </row>
    <row r="73" spans="1:5" x14ac:dyDescent="0.2">
      <c r="A73" s="4" t="s">
        <v>57</v>
      </c>
      <c r="B73" s="29"/>
      <c r="C73" s="6">
        <v>1530</v>
      </c>
      <c r="D73" s="7">
        <v>1494</v>
      </c>
      <c r="E73" s="25"/>
    </row>
    <row r="74" spans="1:5" x14ac:dyDescent="0.2">
      <c r="A74" s="4" t="s">
        <v>58</v>
      </c>
      <c r="B74" s="29"/>
      <c r="C74" s="20">
        <v>-101</v>
      </c>
      <c r="D74" s="21">
        <v>-146</v>
      </c>
      <c r="E74" s="26"/>
    </row>
    <row r="75" spans="1:5" x14ac:dyDescent="0.2">
      <c r="A75" s="9" t="s">
        <v>59</v>
      </c>
      <c r="B75" s="34">
        <v>31</v>
      </c>
      <c r="C75" s="10">
        <v>43741</v>
      </c>
      <c r="D75" s="11">
        <v>37642</v>
      </c>
    </row>
    <row r="76" spans="1:5" x14ac:dyDescent="0.2">
      <c r="A76" s="12" t="s">
        <v>60</v>
      </c>
      <c r="B76" s="31"/>
      <c r="C76" s="13"/>
      <c r="D76" s="13"/>
    </row>
    <row r="77" spans="1:5" x14ac:dyDescent="0.2">
      <c r="A77" s="4" t="s">
        <v>61</v>
      </c>
      <c r="B77" s="29"/>
      <c r="C77" s="16">
        <v>-3017</v>
      </c>
      <c r="D77" s="17">
        <v>-11989</v>
      </c>
    </row>
    <row r="78" spans="1:5" x14ac:dyDescent="0.2">
      <c r="A78" s="4" t="s">
        <v>62</v>
      </c>
      <c r="B78" s="29"/>
      <c r="C78" s="16">
        <v>-4889</v>
      </c>
      <c r="D78" s="17">
        <v>-4338</v>
      </c>
    </row>
    <row r="79" spans="1:5" x14ac:dyDescent="0.2">
      <c r="A79" s="4" t="s">
        <v>63</v>
      </c>
      <c r="B79" s="29"/>
      <c r="C79" s="5">
        <v>13</v>
      </c>
      <c r="D79" s="8">
        <v>6</v>
      </c>
    </row>
    <row r="80" spans="1:5" x14ac:dyDescent="0.2">
      <c r="A80" s="9" t="s">
        <v>64</v>
      </c>
      <c r="B80" s="35"/>
      <c r="C80" s="18">
        <v>-7893</v>
      </c>
      <c r="D80" s="19">
        <v>-16321</v>
      </c>
    </row>
    <row r="81" spans="1:8" x14ac:dyDescent="0.2">
      <c r="A81" s="12" t="s">
        <v>65</v>
      </c>
      <c r="B81" s="31"/>
      <c r="C81" s="13"/>
      <c r="D81" s="13"/>
    </row>
    <row r="82" spans="1:8" x14ac:dyDescent="0.2">
      <c r="A82" s="4" t="s">
        <v>66</v>
      </c>
      <c r="B82" s="29"/>
      <c r="C82" s="6">
        <v>1525</v>
      </c>
      <c r="D82" s="7">
        <v>1011</v>
      </c>
    </row>
    <row r="83" spans="1:8" x14ac:dyDescent="0.2">
      <c r="A83" s="4" t="s">
        <v>67</v>
      </c>
      <c r="B83" s="29"/>
      <c r="C83" s="16">
        <v>-2363</v>
      </c>
      <c r="D83" s="17">
        <v>-1137</v>
      </c>
    </row>
    <row r="84" spans="1:8" x14ac:dyDescent="0.2">
      <c r="A84" s="4" t="s">
        <v>68</v>
      </c>
      <c r="B84" s="30">
        <v>23</v>
      </c>
      <c r="C84" s="16">
        <v>-27958</v>
      </c>
      <c r="D84" s="17">
        <v>-25868</v>
      </c>
    </row>
    <row r="85" spans="1:8" x14ac:dyDescent="0.2">
      <c r="A85" s="9" t="s">
        <v>69</v>
      </c>
      <c r="B85" s="35"/>
      <c r="C85" s="18">
        <v>-28796</v>
      </c>
      <c r="D85" s="19">
        <v>-25994</v>
      </c>
    </row>
    <row r="86" spans="1:8" x14ac:dyDescent="0.2">
      <c r="A86" s="12" t="s">
        <v>70</v>
      </c>
      <c r="B86" s="31"/>
      <c r="C86" s="28">
        <v>7052</v>
      </c>
      <c r="D86" s="15">
        <v>-4673</v>
      </c>
    </row>
    <row r="87" spans="1:8" x14ac:dyDescent="0.2">
      <c r="A87" s="4" t="s">
        <v>71</v>
      </c>
      <c r="B87" s="29"/>
      <c r="C87" s="6">
        <v>75536</v>
      </c>
      <c r="D87" s="7">
        <v>80209</v>
      </c>
    </row>
    <row r="88" spans="1:8" x14ac:dyDescent="0.2">
      <c r="A88" s="9" t="s">
        <v>72</v>
      </c>
      <c r="B88" s="34">
        <v>8</v>
      </c>
      <c r="C88" s="10">
        <v>82588</v>
      </c>
      <c r="D88" s="11">
        <v>75536</v>
      </c>
    </row>
    <row r="90" spans="1:8" x14ac:dyDescent="0.2">
      <c r="A90" t="s">
        <v>81</v>
      </c>
    </row>
    <row r="92" spans="1:8" ht="13.5" thickBot="1" x14ac:dyDescent="0.25"/>
    <row r="93" spans="1:8" ht="36.75" thickBot="1" x14ac:dyDescent="0.2">
      <c r="A93" s="54" t="s">
        <v>82</v>
      </c>
      <c r="B93" s="55" t="s">
        <v>83</v>
      </c>
      <c r="C93" s="56" t="s">
        <v>84</v>
      </c>
      <c r="D93" s="56" t="s">
        <v>85</v>
      </c>
      <c r="E93" s="56" t="s">
        <v>86</v>
      </c>
      <c r="F93" s="56" t="s">
        <v>87</v>
      </c>
      <c r="G93" s="56" t="s">
        <v>88</v>
      </c>
      <c r="H93" s="57" t="s">
        <v>89</v>
      </c>
    </row>
    <row r="94" spans="1:8" x14ac:dyDescent="0.2">
      <c r="A94" s="64" t="s">
        <v>101</v>
      </c>
      <c r="B94" s="59"/>
      <c r="C94" s="66">
        <v>28459</v>
      </c>
      <c r="D94" s="67">
        <v>58384</v>
      </c>
      <c r="E94" s="67">
        <v>20562</v>
      </c>
      <c r="F94" s="68">
        <v>-216</v>
      </c>
      <c r="G94" s="67">
        <v>10751</v>
      </c>
      <c r="H94" s="69">
        <f>SUM(C94:G94)</f>
        <v>117940</v>
      </c>
    </row>
    <row r="95" spans="1:8" x14ac:dyDescent="0.2">
      <c r="A95" s="60" t="s">
        <v>90</v>
      </c>
      <c r="B95" s="59"/>
      <c r="C95" s="70" t="s">
        <v>91</v>
      </c>
      <c r="D95" s="70" t="s">
        <v>91</v>
      </c>
      <c r="E95" s="70" t="s">
        <v>91</v>
      </c>
      <c r="F95" s="71">
        <v>-345</v>
      </c>
      <c r="G95" s="70" t="s">
        <v>91</v>
      </c>
      <c r="H95" s="69">
        <f t="shared" ref="H95:H116" si="0">SUM(C95:G95)</f>
        <v>-345</v>
      </c>
    </row>
    <row r="96" spans="1:8" x14ac:dyDescent="0.2">
      <c r="A96" s="60" t="s">
        <v>92</v>
      </c>
      <c r="B96" s="59"/>
      <c r="C96" s="70" t="s">
        <v>91</v>
      </c>
      <c r="D96" s="72">
        <v>41344</v>
      </c>
      <c r="E96" s="70" t="s">
        <v>91</v>
      </c>
      <c r="F96" s="70" t="s">
        <v>91</v>
      </c>
      <c r="G96" s="70" t="s">
        <v>91</v>
      </c>
      <c r="H96" s="69">
        <f t="shared" si="0"/>
        <v>41344</v>
      </c>
    </row>
    <row r="97" spans="1:8" x14ac:dyDescent="0.2">
      <c r="A97" s="58" t="s">
        <v>93</v>
      </c>
      <c r="B97" s="59"/>
      <c r="C97" s="73" t="s">
        <v>94</v>
      </c>
      <c r="D97" s="72">
        <v>41344</v>
      </c>
      <c r="E97" s="73" t="s">
        <v>94</v>
      </c>
      <c r="F97" s="71">
        <v>-345</v>
      </c>
      <c r="G97" s="73" t="s">
        <v>94</v>
      </c>
      <c r="H97" s="69">
        <f t="shared" si="0"/>
        <v>40999</v>
      </c>
    </row>
    <row r="98" spans="1:8" x14ac:dyDescent="0.15">
      <c r="A98" s="61" t="s">
        <v>95</v>
      </c>
      <c r="B98" s="59">
        <v>23</v>
      </c>
      <c r="C98" s="70" t="s">
        <v>91</v>
      </c>
      <c r="D98" s="70" t="s">
        <v>91</v>
      </c>
      <c r="E98" s="74">
        <v>-33002</v>
      </c>
      <c r="F98" s="70" t="s">
        <v>91</v>
      </c>
      <c r="G98" s="70" t="s">
        <v>91</v>
      </c>
      <c r="H98" s="69">
        <f t="shared" si="0"/>
        <v>-33002</v>
      </c>
    </row>
    <row r="99" spans="1:8" x14ac:dyDescent="0.2">
      <c r="A99" s="60" t="s">
        <v>96</v>
      </c>
      <c r="B99" s="59"/>
      <c r="C99" s="70" t="s">
        <v>91</v>
      </c>
      <c r="D99" s="74">
        <v>-29568</v>
      </c>
      <c r="E99" s="72">
        <v>29568</v>
      </c>
      <c r="F99" s="70" t="s">
        <v>91</v>
      </c>
      <c r="G99" s="70" t="s">
        <v>91</v>
      </c>
      <c r="H99" s="69" t="s">
        <v>91</v>
      </c>
    </row>
    <row r="100" spans="1:8" x14ac:dyDescent="0.2">
      <c r="A100" s="60" t="s">
        <v>97</v>
      </c>
      <c r="B100" s="59">
        <v>21</v>
      </c>
      <c r="C100" s="72">
        <v>1525</v>
      </c>
      <c r="D100" s="70" t="s">
        <v>91</v>
      </c>
      <c r="E100" s="70" t="s">
        <v>91</v>
      </c>
      <c r="F100" s="70" t="s">
        <v>91</v>
      </c>
      <c r="G100" s="70" t="s">
        <v>91</v>
      </c>
      <c r="H100" s="69">
        <f t="shared" si="0"/>
        <v>1525</v>
      </c>
    </row>
    <row r="101" spans="1:8" x14ac:dyDescent="0.2">
      <c r="A101" s="60" t="s">
        <v>98</v>
      </c>
      <c r="B101" s="59">
        <v>33</v>
      </c>
      <c r="C101" s="70" t="s">
        <v>91</v>
      </c>
      <c r="D101" s="70" t="s">
        <v>91</v>
      </c>
      <c r="E101" s="70" t="s">
        <v>91</v>
      </c>
      <c r="F101" s="70" t="s">
        <v>91</v>
      </c>
      <c r="G101" s="72">
        <v>1496</v>
      </c>
      <c r="H101" s="69">
        <f t="shared" si="0"/>
        <v>1496</v>
      </c>
    </row>
    <row r="102" spans="1:8" x14ac:dyDescent="0.2">
      <c r="A102" s="60" t="s">
        <v>99</v>
      </c>
      <c r="B102" s="59"/>
      <c r="C102" s="70" t="s">
        <v>91</v>
      </c>
      <c r="D102" s="70" t="s">
        <v>91</v>
      </c>
      <c r="E102" s="70" t="s">
        <v>91</v>
      </c>
      <c r="F102" s="70" t="s">
        <v>91</v>
      </c>
      <c r="G102" s="72">
        <v>4492</v>
      </c>
      <c r="H102" s="69">
        <f t="shared" si="0"/>
        <v>4492</v>
      </c>
    </row>
    <row r="103" spans="1:8" x14ac:dyDescent="0.2">
      <c r="A103" s="62"/>
      <c r="B103" s="59"/>
      <c r="C103" s="72">
        <v>1525</v>
      </c>
      <c r="D103" s="74">
        <v>-29568</v>
      </c>
      <c r="E103" s="74">
        <v>1610</v>
      </c>
      <c r="F103" s="70" t="s">
        <v>91</v>
      </c>
      <c r="G103" s="72">
        <v>5988</v>
      </c>
      <c r="H103" s="69">
        <f t="shared" si="0"/>
        <v>-20445</v>
      </c>
    </row>
    <row r="104" spans="1:8" x14ac:dyDescent="0.2">
      <c r="A104" s="64" t="s">
        <v>102</v>
      </c>
      <c r="B104" s="59"/>
      <c r="C104" s="66">
        <f>SUM(C94,C100)</f>
        <v>29984</v>
      </c>
      <c r="D104" s="66">
        <f>SUM(D94,D97,D99)</f>
        <v>70160</v>
      </c>
      <c r="E104" s="66">
        <f>SUM(E94,E103)</f>
        <v>22172</v>
      </c>
      <c r="F104" s="75">
        <f>SUM(F94,F97)</f>
        <v>-561</v>
      </c>
      <c r="G104" s="66">
        <f>SUM(G94,G103)</f>
        <v>16739</v>
      </c>
      <c r="H104" s="69">
        <f>SUM(H94,H97,H103)</f>
        <v>138494</v>
      </c>
    </row>
    <row r="105" spans="1:8" x14ac:dyDescent="0.2">
      <c r="A105" s="62"/>
      <c r="B105" s="59"/>
      <c r="C105" s="37"/>
      <c r="D105" s="37"/>
      <c r="E105" s="37"/>
      <c r="F105" s="37"/>
      <c r="G105" s="37"/>
      <c r="H105" s="69"/>
    </row>
    <row r="106" spans="1:8" x14ac:dyDescent="0.2">
      <c r="A106" s="64" t="s">
        <v>103</v>
      </c>
      <c r="B106" s="59"/>
      <c r="C106" s="66">
        <v>27447</v>
      </c>
      <c r="D106" s="66">
        <v>49901</v>
      </c>
      <c r="E106" s="66">
        <v>19186</v>
      </c>
      <c r="F106" s="75">
        <v>-510</v>
      </c>
      <c r="G106" s="66">
        <v>8475</v>
      </c>
      <c r="H106" s="69">
        <v>104499</v>
      </c>
    </row>
    <row r="107" spans="1:8" x14ac:dyDescent="0.2">
      <c r="A107" s="60" t="s">
        <v>90</v>
      </c>
      <c r="B107" s="59"/>
      <c r="C107" s="70" t="s">
        <v>91</v>
      </c>
      <c r="D107" s="70" t="s">
        <v>91</v>
      </c>
      <c r="E107" s="70" t="s">
        <v>91</v>
      </c>
      <c r="F107" s="76">
        <v>294</v>
      </c>
      <c r="G107" s="70" t="s">
        <v>91</v>
      </c>
      <c r="H107" s="69">
        <f t="shared" si="0"/>
        <v>294</v>
      </c>
    </row>
    <row r="108" spans="1:8" x14ac:dyDescent="0.2">
      <c r="A108" s="60" t="s">
        <v>92</v>
      </c>
      <c r="B108" s="59"/>
      <c r="C108" s="70" t="s">
        <v>91</v>
      </c>
      <c r="D108" s="72">
        <v>35785</v>
      </c>
      <c r="E108" s="70" t="s">
        <v>91</v>
      </c>
      <c r="F108" s="70" t="s">
        <v>91</v>
      </c>
      <c r="G108" s="70" t="s">
        <v>91</v>
      </c>
      <c r="H108" s="69">
        <f t="shared" si="0"/>
        <v>35785</v>
      </c>
    </row>
    <row r="109" spans="1:8" x14ac:dyDescent="0.2">
      <c r="A109" s="58" t="s">
        <v>93</v>
      </c>
      <c r="B109" s="59"/>
      <c r="C109" s="73" t="s">
        <v>94</v>
      </c>
      <c r="D109" s="66">
        <f>SUM(D107,D108)</f>
        <v>35785</v>
      </c>
      <c r="E109" s="73" t="s">
        <v>94</v>
      </c>
      <c r="F109" s="75">
        <f>SUM(F107,F108)</f>
        <v>294</v>
      </c>
      <c r="G109" s="73" t="s">
        <v>94</v>
      </c>
      <c r="H109" s="69">
        <f>SUM(H107,H108)</f>
        <v>36079</v>
      </c>
    </row>
    <row r="110" spans="1:8" x14ac:dyDescent="0.2">
      <c r="A110" s="53" t="s">
        <v>104</v>
      </c>
      <c r="B110"/>
      <c r="C110" s="70" t="s">
        <v>91</v>
      </c>
      <c r="D110" s="51">
        <v>-58</v>
      </c>
      <c r="E110" s="70" t="s">
        <v>91</v>
      </c>
      <c r="F110" s="70" t="s">
        <v>91</v>
      </c>
      <c r="G110" s="70" t="s">
        <v>91</v>
      </c>
      <c r="H110" s="69">
        <f>SUM(C110:G110)</f>
        <v>-58</v>
      </c>
    </row>
    <row r="111" spans="1:8" x14ac:dyDescent="0.15">
      <c r="A111" s="61" t="s">
        <v>95</v>
      </c>
      <c r="B111" s="59">
        <v>23</v>
      </c>
      <c r="C111" s="70" t="s">
        <v>91</v>
      </c>
      <c r="D111" s="70" t="s">
        <v>91</v>
      </c>
      <c r="E111" s="74">
        <f>-(25868)</f>
        <v>-25868</v>
      </c>
      <c r="F111" s="70" t="s">
        <v>91</v>
      </c>
      <c r="G111" s="70" t="s">
        <v>91</v>
      </c>
      <c r="H111" s="69">
        <f t="shared" si="0"/>
        <v>-25868</v>
      </c>
    </row>
    <row r="112" spans="1:8" x14ac:dyDescent="0.2">
      <c r="A112" s="60" t="s">
        <v>96</v>
      </c>
      <c r="B112" s="59"/>
      <c r="C112" s="70" t="s">
        <v>91</v>
      </c>
      <c r="D112" s="74">
        <v>-27244</v>
      </c>
      <c r="E112" s="72">
        <v>27244</v>
      </c>
      <c r="F112" s="70" t="s">
        <v>91</v>
      </c>
      <c r="G112" s="51"/>
      <c r="H112" s="69" t="s">
        <v>91</v>
      </c>
    </row>
    <row r="113" spans="1:8" x14ac:dyDescent="0.2">
      <c r="A113" s="60" t="s">
        <v>97</v>
      </c>
      <c r="B113" s="59">
        <v>21</v>
      </c>
      <c r="C113" s="72">
        <v>1012</v>
      </c>
      <c r="D113" s="70" t="s">
        <v>91</v>
      </c>
      <c r="E113" s="70" t="s">
        <v>91</v>
      </c>
      <c r="F113" s="70" t="s">
        <v>91</v>
      </c>
      <c r="G113" s="70" t="s">
        <v>91</v>
      </c>
      <c r="H113" s="69">
        <f t="shared" si="0"/>
        <v>1012</v>
      </c>
    </row>
    <row r="114" spans="1:8" x14ac:dyDescent="0.2">
      <c r="A114" s="60" t="s">
        <v>100</v>
      </c>
      <c r="B114" s="59"/>
      <c r="C114" s="70" t="s">
        <v>91</v>
      </c>
      <c r="D114" s="70" t="s">
        <v>91</v>
      </c>
      <c r="E114" s="70" t="s">
        <v>91</v>
      </c>
      <c r="F114" s="70" t="s">
        <v>91</v>
      </c>
      <c r="G114" s="72">
        <v>1546</v>
      </c>
      <c r="H114" s="69">
        <f t="shared" si="0"/>
        <v>1546</v>
      </c>
    </row>
    <row r="115" spans="1:8" x14ac:dyDescent="0.2">
      <c r="A115" s="60" t="s">
        <v>99</v>
      </c>
      <c r="B115" s="59"/>
      <c r="C115" s="70" t="s">
        <v>91</v>
      </c>
      <c r="D115" s="70" t="s">
        <v>91</v>
      </c>
      <c r="E115" s="70" t="s">
        <v>91</v>
      </c>
      <c r="F115" s="70" t="s">
        <v>91</v>
      </c>
      <c r="G115" s="72">
        <v>730</v>
      </c>
      <c r="H115" s="69">
        <f t="shared" si="0"/>
        <v>730</v>
      </c>
    </row>
    <row r="116" spans="1:8" x14ac:dyDescent="0.2">
      <c r="A116" s="62"/>
      <c r="B116" s="59"/>
      <c r="C116" s="72">
        <f>SUM(C110:C115)</f>
        <v>1012</v>
      </c>
      <c r="D116" s="72">
        <f>SUM(D110:D115)</f>
        <v>-27302</v>
      </c>
      <c r="E116" s="72">
        <v>1376</v>
      </c>
      <c r="F116" s="72">
        <f>SUM(F110:F115)</f>
        <v>0</v>
      </c>
      <c r="G116" s="72">
        <f>SUM(G110:G115)</f>
        <v>2276</v>
      </c>
      <c r="H116" s="69">
        <f t="shared" si="0"/>
        <v>-22638</v>
      </c>
    </row>
    <row r="117" spans="1:8" ht="13.5" thickBot="1" x14ac:dyDescent="0.25">
      <c r="A117" s="65" t="s">
        <v>105</v>
      </c>
      <c r="B117" s="63"/>
      <c r="C117" s="77">
        <f>SUM(C106,C116)</f>
        <v>28459</v>
      </c>
      <c r="D117" s="77">
        <f>SUM(D106,D116,D109)</f>
        <v>58384</v>
      </c>
      <c r="E117" s="77">
        <f>SUM(E106,E116,E109)</f>
        <v>20562</v>
      </c>
      <c r="F117" s="77">
        <f>SUM(F106,F109)</f>
        <v>-216</v>
      </c>
      <c r="G117" s="77">
        <f>SUM(G106,G116)</f>
        <v>10751</v>
      </c>
      <c r="H117" s="78">
        <f>SUM(C117:G117)</f>
        <v>117940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0"/>
  <sheetViews>
    <sheetView workbookViewId="0">
      <selection activeCell="F140" sqref="F140"/>
    </sheetView>
  </sheetViews>
  <sheetFormatPr defaultRowHeight="12.75" x14ac:dyDescent="0.2"/>
  <cols>
    <col min="1" max="1" width="48.83203125" customWidth="1"/>
    <col min="2" max="2" width="35.5" customWidth="1"/>
    <col min="3" max="3" width="20.1640625" customWidth="1"/>
    <col min="4" max="4" width="14" customWidth="1"/>
  </cols>
  <sheetData>
    <row r="1" spans="1:4" ht="18" x14ac:dyDescent="0.2">
      <c r="A1" s="126" t="s">
        <v>109</v>
      </c>
      <c r="B1" s="127" t="s">
        <v>110</v>
      </c>
      <c r="C1" s="128" t="s">
        <v>111</v>
      </c>
      <c r="D1" s="129" t="s">
        <v>112</v>
      </c>
    </row>
    <row r="2" spans="1:4" x14ac:dyDescent="0.2">
      <c r="A2" s="130" t="s">
        <v>113</v>
      </c>
      <c r="B2" s="131">
        <v>5</v>
      </c>
      <c r="C2" s="132">
        <v>273253</v>
      </c>
      <c r="D2" s="133">
        <v>249018</v>
      </c>
    </row>
    <row r="3" spans="1:4" x14ac:dyDescent="0.15">
      <c r="A3" s="134" t="s">
        <v>114</v>
      </c>
      <c r="B3" s="1"/>
      <c r="C3" s="135">
        <v>-24766</v>
      </c>
      <c r="D3" s="136">
        <v>-23965</v>
      </c>
    </row>
    <row r="4" spans="1:4" x14ac:dyDescent="0.2">
      <c r="A4" s="137" t="s">
        <v>115</v>
      </c>
      <c r="B4" s="14"/>
      <c r="C4" s="138">
        <v>-9611</v>
      </c>
      <c r="D4" s="139">
        <v>-7575</v>
      </c>
    </row>
    <row r="5" spans="1:4" x14ac:dyDescent="0.2">
      <c r="A5" s="140" t="s">
        <v>116</v>
      </c>
      <c r="B5" s="141"/>
      <c r="C5" s="142">
        <v>-34377</v>
      </c>
      <c r="D5" s="143">
        <v>-31540</v>
      </c>
    </row>
    <row r="6" spans="1:4" x14ac:dyDescent="0.15">
      <c r="A6" s="134" t="s">
        <v>117</v>
      </c>
      <c r="B6" s="1"/>
      <c r="C6" s="135">
        <v>-7750</v>
      </c>
      <c r="D6" s="136">
        <v>-9033</v>
      </c>
    </row>
    <row r="7" spans="1:4" x14ac:dyDescent="0.2">
      <c r="A7" s="137" t="s">
        <v>118</v>
      </c>
      <c r="B7" s="14"/>
      <c r="C7" s="138">
        <v>-16421</v>
      </c>
      <c r="D7" s="139">
        <v>-13665</v>
      </c>
    </row>
    <row r="8" spans="1:4" x14ac:dyDescent="0.2">
      <c r="A8" s="137" t="s">
        <v>119</v>
      </c>
      <c r="B8" s="144">
        <v>6</v>
      </c>
      <c r="C8" s="138">
        <v>-4237</v>
      </c>
      <c r="D8" s="139">
        <v>-3924</v>
      </c>
    </row>
    <row r="9" spans="1:4" x14ac:dyDescent="0.2">
      <c r="A9" s="137" t="s">
        <v>120</v>
      </c>
      <c r="B9" s="14"/>
      <c r="C9" s="138">
        <v>-10599</v>
      </c>
      <c r="D9" s="139">
        <v>-9262</v>
      </c>
    </row>
    <row r="10" spans="1:4" x14ac:dyDescent="0.2">
      <c r="A10" s="137" t="s">
        <v>121</v>
      </c>
      <c r="B10" s="14"/>
      <c r="C10" s="138">
        <v>-5624</v>
      </c>
      <c r="D10" s="139">
        <v>-2751</v>
      </c>
    </row>
    <row r="11" spans="1:4" x14ac:dyDescent="0.2">
      <c r="A11" s="137" t="s">
        <v>122</v>
      </c>
      <c r="B11" s="14"/>
      <c r="C11" s="138">
        <v>-134602</v>
      </c>
      <c r="D11" s="139">
        <v>-124006</v>
      </c>
    </row>
    <row r="12" spans="1:4" x14ac:dyDescent="0.2">
      <c r="A12" s="137" t="s">
        <v>123</v>
      </c>
      <c r="B12" s="14"/>
      <c r="C12" s="138">
        <v>-1576</v>
      </c>
      <c r="D12" s="139">
        <v>-1496</v>
      </c>
    </row>
    <row r="13" spans="1:4" x14ac:dyDescent="0.2">
      <c r="A13" s="137" t="s">
        <v>124</v>
      </c>
      <c r="B13" s="14"/>
      <c r="C13" s="145">
        <v>-48</v>
      </c>
      <c r="D13" s="146">
        <v>-101</v>
      </c>
    </row>
    <row r="14" spans="1:4" x14ac:dyDescent="0.2">
      <c r="A14" s="140" t="s">
        <v>125</v>
      </c>
      <c r="B14" s="141"/>
      <c r="C14" s="142">
        <v>-180857</v>
      </c>
      <c r="D14" s="143">
        <v>-164238</v>
      </c>
    </row>
    <row r="15" spans="1:4" x14ac:dyDescent="0.2">
      <c r="A15" s="62"/>
      <c r="B15" s="14"/>
      <c r="C15" s="14"/>
      <c r="D15" s="89"/>
    </row>
    <row r="16" spans="1:4" x14ac:dyDescent="0.2">
      <c r="A16" s="140" t="s">
        <v>126</v>
      </c>
      <c r="B16" s="147">
        <v>7</v>
      </c>
      <c r="C16" s="148">
        <v>58019</v>
      </c>
      <c r="D16" s="149">
        <v>53240</v>
      </c>
    </row>
    <row r="17" spans="1:4" x14ac:dyDescent="0.2">
      <c r="A17" s="137" t="s">
        <v>127</v>
      </c>
      <c r="B17" s="144">
        <v>7</v>
      </c>
      <c r="C17" s="138">
        <v>-13525</v>
      </c>
      <c r="D17" s="139">
        <v>-11896</v>
      </c>
    </row>
    <row r="18" spans="1:4" x14ac:dyDescent="0.2">
      <c r="A18" s="140" t="s">
        <v>128</v>
      </c>
      <c r="B18" s="141"/>
      <c r="C18" s="148">
        <v>44494</v>
      </c>
      <c r="D18" s="149">
        <v>41344</v>
      </c>
    </row>
    <row r="19" spans="1:4" x14ac:dyDescent="0.15">
      <c r="A19" s="150"/>
      <c r="B19" s="151"/>
      <c r="C19" s="152" t="s">
        <v>129</v>
      </c>
      <c r="D19" s="153" t="s">
        <v>129</v>
      </c>
    </row>
    <row r="20" spans="1:4" x14ac:dyDescent="0.2">
      <c r="A20" s="154" t="s">
        <v>130</v>
      </c>
      <c r="B20" s="155">
        <v>31</v>
      </c>
      <c r="C20" s="156">
        <v>14.18</v>
      </c>
      <c r="D20" s="157">
        <v>13.26</v>
      </c>
    </row>
    <row r="21" spans="1:4" x14ac:dyDescent="0.2">
      <c r="A21" s="137" t="s">
        <v>131</v>
      </c>
      <c r="B21" s="144">
        <v>31</v>
      </c>
      <c r="C21" s="158">
        <v>14.1</v>
      </c>
      <c r="D21" s="159">
        <v>13.11</v>
      </c>
    </row>
    <row r="22" spans="1:4" x14ac:dyDescent="0.2">
      <c r="A22" s="160"/>
      <c r="D22" s="161"/>
    </row>
    <row r="23" spans="1:4" ht="18" x14ac:dyDescent="0.2">
      <c r="A23" s="1312" t="s">
        <v>132</v>
      </c>
      <c r="B23" s="1313"/>
      <c r="C23" s="162" t="s">
        <v>133</v>
      </c>
      <c r="D23" s="163" t="s">
        <v>134</v>
      </c>
    </row>
    <row r="24" spans="1:4" x14ac:dyDescent="0.2">
      <c r="A24" s="130" t="s">
        <v>128</v>
      </c>
      <c r="B24" s="164"/>
      <c r="C24" s="164">
        <v>44494</v>
      </c>
      <c r="D24" s="165">
        <v>41344</v>
      </c>
    </row>
    <row r="25" spans="1:4" x14ac:dyDescent="0.2">
      <c r="A25" s="166" t="s">
        <v>135</v>
      </c>
      <c r="C25" s="167"/>
      <c r="D25" s="139"/>
    </row>
    <row r="26" spans="1:4" ht="18" x14ac:dyDescent="0.2">
      <c r="A26" s="137" t="s">
        <v>136</v>
      </c>
      <c r="C26" s="167">
        <v>-167</v>
      </c>
      <c r="D26" s="139">
        <v>-345</v>
      </c>
    </row>
    <row r="27" spans="1:4" x14ac:dyDescent="0.2">
      <c r="A27" s="166" t="s">
        <v>137</v>
      </c>
      <c r="C27" s="167">
        <v>-167</v>
      </c>
      <c r="D27" s="139">
        <v>-345</v>
      </c>
    </row>
    <row r="28" spans="1:4" ht="13.5" thickBot="1" x14ac:dyDescent="0.25">
      <c r="A28" s="168" t="s">
        <v>138</v>
      </c>
      <c r="B28" s="169"/>
      <c r="C28" s="169">
        <v>44327</v>
      </c>
      <c r="D28" s="170">
        <v>40999</v>
      </c>
    </row>
    <row r="30" spans="1:4" ht="13.5" thickBot="1" x14ac:dyDescent="0.25"/>
    <row r="31" spans="1:4" x14ac:dyDescent="0.2">
      <c r="A31" s="1314" t="s">
        <v>139</v>
      </c>
      <c r="B31" s="1315"/>
      <c r="C31" s="171"/>
      <c r="D31" s="172"/>
    </row>
    <row r="32" spans="1:4" ht="18" x14ac:dyDescent="0.2">
      <c r="A32" s="62"/>
      <c r="B32" s="173" t="s">
        <v>140</v>
      </c>
      <c r="C32" s="29" t="s">
        <v>133</v>
      </c>
      <c r="D32" s="174" t="s">
        <v>141</v>
      </c>
    </row>
    <row r="33" spans="1:4" x14ac:dyDescent="0.2">
      <c r="A33" s="166" t="s">
        <v>142</v>
      </c>
      <c r="B33" s="14"/>
      <c r="C33" s="14"/>
      <c r="D33" s="89"/>
    </row>
    <row r="34" spans="1:4" x14ac:dyDescent="0.2">
      <c r="A34" s="166" t="s">
        <v>143</v>
      </c>
      <c r="B34" s="14"/>
      <c r="C34" s="14"/>
      <c r="D34" s="89"/>
    </row>
    <row r="35" spans="1:4" x14ac:dyDescent="0.2">
      <c r="A35" s="137" t="s">
        <v>144</v>
      </c>
      <c r="B35" s="144">
        <v>8</v>
      </c>
      <c r="C35" s="175">
        <v>93383</v>
      </c>
      <c r="D35" s="176">
        <v>82588</v>
      </c>
    </row>
    <row r="36" spans="1:4" x14ac:dyDescent="0.2">
      <c r="A36" s="137" t="s">
        <v>145</v>
      </c>
      <c r="B36" s="14"/>
      <c r="C36" s="175">
        <v>8220</v>
      </c>
      <c r="D36" s="176">
        <v>5817</v>
      </c>
    </row>
    <row r="37" spans="1:4" x14ac:dyDescent="0.2">
      <c r="A37" s="137" t="s">
        <v>146</v>
      </c>
      <c r="B37" s="144">
        <v>9</v>
      </c>
      <c r="C37" s="175">
        <v>53262</v>
      </c>
      <c r="D37" s="176">
        <v>41642</v>
      </c>
    </row>
    <row r="38" spans="1:4" x14ac:dyDescent="0.2">
      <c r="A38" s="137" t="s">
        <v>147</v>
      </c>
      <c r="B38" s="14"/>
      <c r="C38" s="175">
        <v>14305</v>
      </c>
      <c r="D38" s="176">
        <v>16421</v>
      </c>
    </row>
    <row r="39" spans="1:4" x14ac:dyDescent="0.2">
      <c r="A39" s="137" t="s">
        <v>148</v>
      </c>
      <c r="B39" s="144">
        <v>10</v>
      </c>
      <c r="C39" s="144">
        <v>798</v>
      </c>
      <c r="D39" s="177">
        <v>793</v>
      </c>
    </row>
    <row r="40" spans="1:4" x14ac:dyDescent="0.2">
      <c r="A40" s="140" t="s">
        <v>149</v>
      </c>
      <c r="B40" s="141"/>
      <c r="C40" s="148">
        <v>169968</v>
      </c>
      <c r="D40" s="149">
        <v>147261</v>
      </c>
    </row>
    <row r="41" spans="1:4" x14ac:dyDescent="0.2">
      <c r="A41" s="166" t="s">
        <v>150</v>
      </c>
      <c r="B41" s="14"/>
      <c r="C41" s="14"/>
      <c r="D41" s="89"/>
    </row>
    <row r="42" spans="1:4" x14ac:dyDescent="0.2">
      <c r="A42" s="137" t="s">
        <v>151</v>
      </c>
      <c r="B42" s="144">
        <v>11</v>
      </c>
      <c r="C42" s="175">
        <v>13525</v>
      </c>
      <c r="D42" s="176">
        <v>11681</v>
      </c>
    </row>
    <row r="43" spans="1:4" x14ac:dyDescent="0.2">
      <c r="A43" s="137" t="s">
        <v>152</v>
      </c>
      <c r="B43" s="144">
        <v>12</v>
      </c>
      <c r="C43" s="175">
        <v>47549</v>
      </c>
      <c r="D43" s="176">
        <v>48088</v>
      </c>
    </row>
    <row r="44" spans="1:4" x14ac:dyDescent="0.2">
      <c r="A44" s="137" t="s">
        <v>147</v>
      </c>
      <c r="B44" s="14"/>
      <c r="C44" s="175">
        <v>11914</v>
      </c>
      <c r="D44" s="176">
        <v>3980</v>
      </c>
    </row>
    <row r="45" spans="1:4" x14ac:dyDescent="0.2">
      <c r="A45" s="137" t="s">
        <v>153</v>
      </c>
      <c r="B45" s="144">
        <v>13</v>
      </c>
      <c r="C45" s="175">
        <v>5482</v>
      </c>
      <c r="D45" s="176">
        <v>7512</v>
      </c>
    </row>
    <row r="46" spans="1:4" x14ac:dyDescent="0.2">
      <c r="A46" s="140" t="s">
        <v>154</v>
      </c>
      <c r="B46" s="141"/>
      <c r="C46" s="148">
        <v>78470</v>
      </c>
      <c r="D46" s="149">
        <v>71261</v>
      </c>
    </row>
    <row r="47" spans="1:4" x14ac:dyDescent="0.2">
      <c r="A47" s="178"/>
      <c r="B47" s="179"/>
      <c r="C47" s="179"/>
      <c r="D47" s="180"/>
    </row>
    <row r="48" spans="1:4" x14ac:dyDescent="0.2">
      <c r="A48" s="140" t="s">
        <v>155</v>
      </c>
      <c r="B48" s="141"/>
      <c r="C48" s="148">
        <v>248438</v>
      </c>
      <c r="D48" s="149">
        <v>218522</v>
      </c>
    </row>
    <row r="49" spans="1:4" x14ac:dyDescent="0.2">
      <c r="A49" s="166" t="s">
        <v>156</v>
      </c>
      <c r="B49" s="14"/>
      <c r="C49" s="14"/>
      <c r="D49" s="89"/>
    </row>
    <row r="50" spans="1:4" x14ac:dyDescent="0.2">
      <c r="A50" s="166" t="s">
        <v>157</v>
      </c>
      <c r="B50" s="14"/>
      <c r="C50" s="14"/>
      <c r="D50" s="89"/>
    </row>
    <row r="51" spans="1:4" x14ac:dyDescent="0.2">
      <c r="A51" s="137" t="s">
        <v>158</v>
      </c>
      <c r="B51" s="144">
        <v>14</v>
      </c>
      <c r="C51" s="175">
        <v>38253</v>
      </c>
      <c r="D51" s="176">
        <v>24587</v>
      </c>
    </row>
    <row r="52" spans="1:4" x14ac:dyDescent="0.2">
      <c r="A52" s="137" t="s">
        <v>159</v>
      </c>
      <c r="B52" s="144">
        <v>15</v>
      </c>
      <c r="C52" s="175">
        <v>11270</v>
      </c>
      <c r="D52" s="176">
        <v>11194</v>
      </c>
    </row>
    <row r="53" spans="1:4" x14ac:dyDescent="0.2">
      <c r="A53" s="137" t="s">
        <v>160</v>
      </c>
      <c r="B53" s="14"/>
      <c r="C53" s="144">
        <v>392</v>
      </c>
      <c r="D53" s="176">
        <v>1085</v>
      </c>
    </row>
    <row r="54" spans="1:4" x14ac:dyDescent="0.2">
      <c r="A54" s="137" t="s">
        <v>161</v>
      </c>
      <c r="B54" s="14"/>
      <c r="C54" s="175">
        <v>27862</v>
      </c>
      <c r="D54" s="176">
        <v>20885</v>
      </c>
    </row>
    <row r="55" spans="1:4" x14ac:dyDescent="0.2">
      <c r="A55" s="137" t="s">
        <v>162</v>
      </c>
      <c r="B55" s="144">
        <v>16</v>
      </c>
      <c r="C55" s="144">
        <v>10</v>
      </c>
      <c r="D55" s="177">
        <v>29</v>
      </c>
    </row>
    <row r="56" spans="1:4" x14ac:dyDescent="0.2">
      <c r="A56" s="140" t="s">
        <v>163</v>
      </c>
      <c r="B56" s="141"/>
      <c r="C56" s="148">
        <v>77787</v>
      </c>
      <c r="D56" s="149">
        <v>57780</v>
      </c>
    </row>
    <row r="57" spans="1:4" x14ac:dyDescent="0.2">
      <c r="A57" s="166" t="s">
        <v>164</v>
      </c>
      <c r="B57" s="14"/>
      <c r="C57" s="14"/>
      <c r="D57" s="89"/>
    </row>
    <row r="58" spans="1:4" x14ac:dyDescent="0.2">
      <c r="A58" s="137" t="s">
        <v>158</v>
      </c>
      <c r="B58" s="144">
        <v>28</v>
      </c>
      <c r="C58" s="175">
        <v>8370</v>
      </c>
      <c r="D58" s="176">
        <v>16068</v>
      </c>
    </row>
    <row r="59" spans="1:4" x14ac:dyDescent="0.2">
      <c r="A59" s="137" t="s">
        <v>159</v>
      </c>
      <c r="B59" s="144">
        <v>17</v>
      </c>
      <c r="C59" s="175">
        <v>3338</v>
      </c>
      <c r="D59" s="176">
        <v>4555</v>
      </c>
    </row>
    <row r="60" spans="1:4" x14ac:dyDescent="0.2">
      <c r="A60" s="137" t="s">
        <v>165</v>
      </c>
      <c r="B60" s="144">
        <v>18</v>
      </c>
      <c r="C60" s="175">
        <v>1423</v>
      </c>
      <c r="D60" s="176">
        <v>1625</v>
      </c>
    </row>
    <row r="61" spans="1:4" x14ac:dyDescent="0.2">
      <c r="A61" s="140" t="s">
        <v>166</v>
      </c>
      <c r="B61" s="141"/>
      <c r="C61" s="148">
        <v>13131</v>
      </c>
      <c r="D61" s="149">
        <v>22248</v>
      </c>
    </row>
    <row r="62" spans="1:4" x14ac:dyDescent="0.2">
      <c r="A62" s="62"/>
      <c r="B62" s="14"/>
      <c r="C62" s="14"/>
      <c r="D62" s="89"/>
    </row>
    <row r="63" spans="1:4" x14ac:dyDescent="0.2">
      <c r="A63" s="140" t="s">
        <v>167</v>
      </c>
      <c r="B63" s="141"/>
      <c r="C63" s="148">
        <v>90918</v>
      </c>
      <c r="D63" s="149">
        <v>80028</v>
      </c>
    </row>
    <row r="64" spans="1:4" x14ac:dyDescent="0.2">
      <c r="A64" s="140" t="s">
        <v>168</v>
      </c>
      <c r="B64" s="141"/>
      <c r="C64" s="148">
        <v>157520</v>
      </c>
      <c r="D64" s="149">
        <v>138494</v>
      </c>
    </row>
    <row r="65" spans="1:4" x14ac:dyDescent="0.2">
      <c r="A65" s="166" t="s">
        <v>169</v>
      </c>
      <c r="B65" s="14"/>
      <c r="C65" s="14"/>
      <c r="D65" s="89"/>
    </row>
    <row r="66" spans="1:4" x14ac:dyDescent="0.2">
      <c r="A66" s="137" t="s">
        <v>170</v>
      </c>
      <c r="B66" s="144">
        <v>20</v>
      </c>
      <c r="C66" s="175">
        <v>32152</v>
      </c>
      <c r="D66" s="176">
        <v>29984</v>
      </c>
    </row>
    <row r="67" spans="1:4" x14ac:dyDescent="0.2">
      <c r="A67" s="137" t="s">
        <v>171</v>
      </c>
      <c r="B67" s="144">
        <v>21</v>
      </c>
      <c r="C67" s="175">
        <v>34687</v>
      </c>
      <c r="D67" s="176">
        <v>38350</v>
      </c>
    </row>
    <row r="68" spans="1:4" x14ac:dyDescent="0.2">
      <c r="A68" s="137" t="s">
        <v>172</v>
      </c>
      <c r="B68" s="14"/>
      <c r="C68" s="175">
        <v>90681</v>
      </c>
      <c r="D68" s="176">
        <v>70160</v>
      </c>
    </row>
    <row r="69" spans="1:4" ht="13.5" thickBot="1" x14ac:dyDescent="0.25">
      <c r="A69" s="168" t="s">
        <v>173</v>
      </c>
      <c r="B69" s="181"/>
      <c r="C69" s="169">
        <v>157520</v>
      </c>
      <c r="D69" s="182">
        <v>138494</v>
      </c>
    </row>
    <row r="70" spans="1:4" ht="13.5" thickBot="1" x14ac:dyDescent="0.25"/>
    <row r="71" spans="1:4" x14ac:dyDescent="0.2">
      <c r="A71" s="1314" t="s">
        <v>174</v>
      </c>
      <c r="B71" s="1315"/>
      <c r="C71" s="171"/>
      <c r="D71" s="172"/>
    </row>
    <row r="72" spans="1:4" ht="18" x14ac:dyDescent="0.2">
      <c r="A72" s="183"/>
      <c r="B72" s="184" t="s">
        <v>110</v>
      </c>
      <c r="C72" s="185" t="s">
        <v>111</v>
      </c>
      <c r="D72" s="186" t="s">
        <v>112</v>
      </c>
    </row>
    <row r="73" spans="1:4" x14ac:dyDescent="0.2">
      <c r="A73" s="187" t="s">
        <v>175</v>
      </c>
      <c r="B73" s="188"/>
      <c r="C73" s="188"/>
      <c r="D73" s="189"/>
    </row>
    <row r="74" spans="1:4" x14ac:dyDescent="0.2">
      <c r="A74" s="137" t="s">
        <v>176</v>
      </c>
      <c r="B74" s="14"/>
      <c r="C74" s="175">
        <v>296419</v>
      </c>
      <c r="D74" s="176">
        <v>266492</v>
      </c>
    </row>
    <row r="75" spans="1:4" x14ac:dyDescent="0.2">
      <c r="A75" s="137" t="s">
        <v>177</v>
      </c>
      <c r="B75" s="14"/>
      <c r="C75" s="138">
        <v>-2417</v>
      </c>
      <c r="D75" s="139">
        <v>-3996</v>
      </c>
    </row>
    <row r="76" spans="1:4" x14ac:dyDescent="0.2">
      <c r="A76" s="137" t="s">
        <v>178</v>
      </c>
      <c r="B76" s="14"/>
      <c r="C76" s="138">
        <v>-238006</v>
      </c>
      <c r="D76" s="139">
        <v>-210508</v>
      </c>
    </row>
    <row r="77" spans="1:4" x14ac:dyDescent="0.2">
      <c r="A77" s="137" t="s">
        <v>179</v>
      </c>
      <c r="B77" s="14"/>
      <c r="C77" s="144">
        <v>728</v>
      </c>
      <c r="D77" s="176">
        <v>1035</v>
      </c>
    </row>
    <row r="78" spans="1:4" x14ac:dyDescent="0.2">
      <c r="A78" s="137" t="s">
        <v>180</v>
      </c>
      <c r="B78" s="14"/>
      <c r="C78" s="138">
        <v>-10507</v>
      </c>
      <c r="D78" s="139">
        <v>-10711</v>
      </c>
    </row>
    <row r="79" spans="1:4" x14ac:dyDescent="0.2">
      <c r="A79" s="137" t="s">
        <v>181</v>
      </c>
      <c r="B79" s="14"/>
      <c r="C79" s="144">
        <v>273</v>
      </c>
      <c r="D79" s="176">
        <v>1530</v>
      </c>
    </row>
    <row r="80" spans="1:4" x14ac:dyDescent="0.2">
      <c r="A80" s="137" t="s">
        <v>182</v>
      </c>
      <c r="B80" s="14"/>
      <c r="C80" s="145">
        <v>-48</v>
      </c>
      <c r="D80" s="146">
        <v>-101</v>
      </c>
    </row>
    <row r="81" spans="1:4" x14ac:dyDescent="0.2">
      <c r="A81" s="140" t="s">
        <v>183</v>
      </c>
      <c r="B81" s="147">
        <v>30</v>
      </c>
      <c r="C81" s="148">
        <v>46442</v>
      </c>
      <c r="D81" s="149">
        <v>43741</v>
      </c>
    </row>
    <row r="82" spans="1:4" x14ac:dyDescent="0.15">
      <c r="A82" s="190" t="s">
        <v>184</v>
      </c>
      <c r="B82" s="1"/>
      <c r="C82" s="1"/>
      <c r="D82" s="191"/>
    </row>
    <row r="83" spans="1:4" x14ac:dyDescent="0.2">
      <c r="A83" s="137" t="s">
        <v>185</v>
      </c>
      <c r="B83" s="14"/>
      <c r="C83" s="138">
        <v>-1322</v>
      </c>
      <c r="D83" s="139">
        <v>-3017</v>
      </c>
    </row>
    <row r="84" spans="1:4" x14ac:dyDescent="0.2">
      <c r="A84" s="137" t="s">
        <v>186</v>
      </c>
      <c r="B84" s="14"/>
      <c r="C84" s="138">
        <v>-6109</v>
      </c>
      <c r="D84" s="139">
        <v>-4889</v>
      </c>
    </row>
    <row r="85" spans="1:4" x14ac:dyDescent="0.2">
      <c r="A85" s="137" t="s">
        <v>187</v>
      </c>
      <c r="B85" s="14"/>
      <c r="C85" s="144">
        <v>3</v>
      </c>
      <c r="D85" s="177">
        <v>13</v>
      </c>
    </row>
    <row r="86" spans="1:4" x14ac:dyDescent="0.2">
      <c r="A86" s="140" t="s">
        <v>188</v>
      </c>
      <c r="B86" s="141"/>
      <c r="C86" s="142">
        <v>-7428</v>
      </c>
      <c r="D86" s="143">
        <v>-7893</v>
      </c>
    </row>
    <row r="87" spans="1:4" x14ac:dyDescent="0.15">
      <c r="A87" s="190" t="s">
        <v>189</v>
      </c>
      <c r="B87" s="1"/>
      <c r="C87" s="1"/>
      <c r="D87" s="191"/>
    </row>
    <row r="88" spans="1:4" x14ac:dyDescent="0.2">
      <c r="A88" s="137" t="s">
        <v>190</v>
      </c>
      <c r="B88" s="14"/>
      <c r="C88" s="175">
        <v>2168</v>
      </c>
      <c r="D88" s="176">
        <v>1525</v>
      </c>
    </row>
    <row r="89" spans="1:4" x14ac:dyDescent="0.2">
      <c r="A89" s="137" t="s">
        <v>191</v>
      </c>
      <c r="B89" s="14"/>
      <c r="C89" s="145">
        <v>-17</v>
      </c>
      <c r="D89" s="139">
        <v>-2363</v>
      </c>
    </row>
    <row r="90" spans="1:4" x14ac:dyDescent="0.2">
      <c r="A90" s="137" t="s">
        <v>192</v>
      </c>
      <c r="B90" s="144">
        <v>22</v>
      </c>
      <c r="C90" s="138">
        <v>-30370</v>
      </c>
      <c r="D90" s="139">
        <v>-27958</v>
      </c>
    </row>
    <row r="91" spans="1:4" x14ac:dyDescent="0.2">
      <c r="A91" s="140" t="s">
        <v>193</v>
      </c>
      <c r="B91" s="141"/>
      <c r="C91" s="142">
        <v>-28219</v>
      </c>
      <c r="D91" s="143">
        <v>-28796</v>
      </c>
    </row>
    <row r="92" spans="1:4" x14ac:dyDescent="0.15">
      <c r="A92" s="190" t="s">
        <v>194</v>
      </c>
      <c r="B92" s="1"/>
      <c r="C92" s="192">
        <v>10795</v>
      </c>
      <c r="D92" s="193">
        <v>7052</v>
      </c>
    </row>
    <row r="93" spans="1:4" ht="18" x14ac:dyDescent="0.2">
      <c r="A93" s="166" t="s">
        <v>195</v>
      </c>
      <c r="B93" s="14"/>
      <c r="C93" s="175">
        <v>82588</v>
      </c>
      <c r="D93" s="176">
        <v>75536</v>
      </c>
    </row>
    <row r="94" spans="1:4" ht="13.5" thickBot="1" x14ac:dyDescent="0.25">
      <c r="A94" s="168" t="s">
        <v>196</v>
      </c>
      <c r="B94" s="194">
        <v>8</v>
      </c>
      <c r="C94" s="169">
        <v>93383</v>
      </c>
      <c r="D94" s="182">
        <v>82588</v>
      </c>
    </row>
    <row r="96" spans="1:4" ht="13.5" thickBot="1" x14ac:dyDescent="0.25"/>
    <row r="97" spans="1:8" ht="54" x14ac:dyDescent="0.2">
      <c r="A97" s="1316" t="s">
        <v>110</v>
      </c>
      <c r="B97" s="1317"/>
      <c r="C97" s="195" t="s">
        <v>197</v>
      </c>
      <c r="D97" s="195" t="s">
        <v>198</v>
      </c>
      <c r="E97" s="195" t="s">
        <v>199</v>
      </c>
      <c r="F97" s="196" t="s">
        <v>200</v>
      </c>
      <c r="G97" s="195" t="s">
        <v>201</v>
      </c>
      <c r="H97" s="197" t="s">
        <v>202</v>
      </c>
    </row>
    <row r="98" spans="1:8" x14ac:dyDescent="0.2">
      <c r="A98" s="130" t="s">
        <v>203</v>
      </c>
      <c r="B98" s="198"/>
      <c r="C98" s="199">
        <v>29984</v>
      </c>
      <c r="D98" s="199">
        <v>70160</v>
      </c>
      <c r="E98" s="199">
        <v>22172</v>
      </c>
      <c r="F98" s="200">
        <v>-561</v>
      </c>
      <c r="G98" s="199">
        <v>16739</v>
      </c>
      <c r="H98" s="133">
        <v>138494</v>
      </c>
    </row>
    <row r="99" spans="1:8" x14ac:dyDescent="0.2">
      <c r="A99" s="137" t="s">
        <v>204</v>
      </c>
      <c r="B99" s="1"/>
      <c r="C99" s="201" t="s">
        <v>205</v>
      </c>
      <c r="D99" s="201" t="s">
        <v>205</v>
      </c>
      <c r="E99" s="201" t="s">
        <v>205</v>
      </c>
      <c r="F99" s="202">
        <v>-167</v>
      </c>
      <c r="G99" s="201" t="s">
        <v>205</v>
      </c>
      <c r="H99" s="203">
        <v>-167</v>
      </c>
    </row>
    <row r="100" spans="1:8" x14ac:dyDescent="0.2">
      <c r="A100" s="137" t="s">
        <v>206</v>
      </c>
      <c r="B100" s="14"/>
      <c r="C100" s="204" t="s">
        <v>205</v>
      </c>
      <c r="D100" s="205">
        <v>44494</v>
      </c>
      <c r="E100" s="204" t="s">
        <v>205</v>
      </c>
      <c r="F100" s="206" t="s">
        <v>205</v>
      </c>
      <c r="G100" s="204" t="s">
        <v>205</v>
      </c>
      <c r="H100" s="176">
        <v>44494</v>
      </c>
    </row>
    <row r="101" spans="1:8" x14ac:dyDescent="0.2">
      <c r="A101" s="140" t="s">
        <v>207</v>
      </c>
      <c r="B101" s="141"/>
      <c r="C101" s="207" t="s">
        <v>208</v>
      </c>
      <c r="D101" s="208">
        <v>44494</v>
      </c>
      <c r="E101" s="207" t="s">
        <v>208</v>
      </c>
      <c r="F101" s="209">
        <v>-167</v>
      </c>
      <c r="G101" s="207" t="s">
        <v>208</v>
      </c>
      <c r="H101" s="149">
        <v>44327</v>
      </c>
    </row>
    <row r="102" spans="1:8" x14ac:dyDescent="0.15">
      <c r="A102" s="134" t="s">
        <v>209</v>
      </c>
      <c r="B102" s="210">
        <v>22</v>
      </c>
      <c r="C102" s="211" t="s">
        <v>205</v>
      </c>
      <c r="D102" s="211" t="s">
        <v>205</v>
      </c>
      <c r="E102" s="212">
        <v>-30370</v>
      </c>
      <c r="F102" s="213" t="s">
        <v>205</v>
      </c>
      <c r="G102" s="211" t="s">
        <v>205</v>
      </c>
      <c r="H102" s="136">
        <v>-30370</v>
      </c>
    </row>
    <row r="103" spans="1:8" x14ac:dyDescent="0.2">
      <c r="A103" s="137" t="s">
        <v>210</v>
      </c>
      <c r="B103" s="14"/>
      <c r="C103" s="204" t="s">
        <v>205</v>
      </c>
      <c r="D103" s="214">
        <v>-23973</v>
      </c>
      <c r="E103" s="205">
        <v>23973</v>
      </c>
      <c r="F103" s="206" t="s">
        <v>205</v>
      </c>
      <c r="G103" s="204" t="s">
        <v>205</v>
      </c>
      <c r="H103" s="215" t="s">
        <v>205</v>
      </c>
    </row>
    <row r="104" spans="1:8" x14ac:dyDescent="0.2">
      <c r="A104" s="137" t="s">
        <v>211</v>
      </c>
      <c r="B104" s="216">
        <v>20</v>
      </c>
      <c r="C104" s="205">
        <v>2168</v>
      </c>
      <c r="D104" s="204" t="s">
        <v>205</v>
      </c>
      <c r="E104" s="204" t="s">
        <v>205</v>
      </c>
      <c r="F104" s="206" t="s">
        <v>205</v>
      </c>
      <c r="G104" s="204" t="s">
        <v>205</v>
      </c>
      <c r="H104" s="176">
        <v>2168</v>
      </c>
    </row>
    <row r="105" spans="1:8" x14ac:dyDescent="0.2">
      <c r="A105" s="137" t="s">
        <v>212</v>
      </c>
      <c r="B105" s="216">
        <v>32</v>
      </c>
      <c r="C105" s="204" t="s">
        <v>205</v>
      </c>
      <c r="D105" s="204" t="s">
        <v>205</v>
      </c>
      <c r="E105" s="204" t="s">
        <v>205</v>
      </c>
      <c r="F105" s="206" t="s">
        <v>205</v>
      </c>
      <c r="G105" s="205">
        <v>1576</v>
      </c>
      <c r="H105" s="176">
        <v>1576</v>
      </c>
    </row>
    <row r="106" spans="1:8" x14ac:dyDescent="0.2">
      <c r="A106" s="137" t="s">
        <v>213</v>
      </c>
      <c r="B106" s="14"/>
      <c r="C106" s="204" t="s">
        <v>205</v>
      </c>
      <c r="D106" s="204" t="s">
        <v>205</v>
      </c>
      <c r="E106" s="204" t="s">
        <v>205</v>
      </c>
      <c r="F106" s="206" t="s">
        <v>205</v>
      </c>
      <c r="G106" s="205">
        <v>1325</v>
      </c>
      <c r="H106" s="176">
        <v>1325</v>
      </c>
    </row>
    <row r="107" spans="1:8" x14ac:dyDescent="0.2">
      <c r="A107" s="62"/>
      <c r="B107" s="14"/>
      <c r="C107" s="205">
        <v>2168</v>
      </c>
      <c r="D107" s="214">
        <v>-23973</v>
      </c>
      <c r="E107" s="214">
        <v>-6397</v>
      </c>
      <c r="F107" s="206" t="s">
        <v>205</v>
      </c>
      <c r="G107" s="205">
        <v>2901</v>
      </c>
      <c r="H107" s="139">
        <v>-25301</v>
      </c>
    </row>
    <row r="108" spans="1:8" x14ac:dyDescent="0.2">
      <c r="A108" s="140" t="s">
        <v>214</v>
      </c>
      <c r="B108" s="141"/>
      <c r="C108" s="208">
        <v>32152</v>
      </c>
      <c r="D108" s="208">
        <v>90681</v>
      </c>
      <c r="E108" s="208">
        <v>15775</v>
      </c>
      <c r="F108" s="209">
        <v>-728</v>
      </c>
      <c r="G108" s="208">
        <v>19640</v>
      </c>
      <c r="H108" s="149">
        <v>157520</v>
      </c>
    </row>
    <row r="109" spans="1:8" x14ac:dyDescent="0.2">
      <c r="A109" s="62"/>
      <c r="B109" s="14"/>
      <c r="C109" s="14"/>
      <c r="D109" s="14"/>
      <c r="E109" s="14"/>
      <c r="F109" s="14"/>
      <c r="G109" s="14"/>
      <c r="H109" s="89"/>
    </row>
    <row r="110" spans="1:8" x14ac:dyDescent="0.2">
      <c r="A110" s="140" t="s">
        <v>215</v>
      </c>
      <c r="B110" s="141"/>
      <c r="C110" s="208">
        <v>28459</v>
      </c>
      <c r="D110" s="208">
        <v>58384</v>
      </c>
      <c r="E110" s="208">
        <v>20562</v>
      </c>
      <c r="F110" s="209">
        <v>-216</v>
      </c>
      <c r="G110" s="208">
        <v>10751</v>
      </c>
      <c r="H110" s="149">
        <v>117940</v>
      </c>
    </row>
    <row r="111" spans="1:8" x14ac:dyDescent="0.2">
      <c r="A111" s="137" t="s">
        <v>204</v>
      </c>
      <c r="B111" s="1"/>
      <c r="C111" s="201" t="s">
        <v>205</v>
      </c>
      <c r="D111" s="201" t="s">
        <v>205</v>
      </c>
      <c r="E111" s="201" t="s">
        <v>205</v>
      </c>
      <c r="F111" s="202">
        <v>-345</v>
      </c>
      <c r="G111" s="201" t="s">
        <v>205</v>
      </c>
      <c r="H111" s="203">
        <v>-345</v>
      </c>
    </row>
    <row r="112" spans="1:8" x14ac:dyDescent="0.2">
      <c r="A112" s="137" t="s">
        <v>206</v>
      </c>
      <c r="B112" s="14"/>
      <c r="C112" s="204" t="s">
        <v>205</v>
      </c>
      <c r="D112" s="205">
        <v>41344</v>
      </c>
      <c r="E112" s="204" t="s">
        <v>205</v>
      </c>
      <c r="F112" s="206" t="s">
        <v>205</v>
      </c>
      <c r="G112" s="204" t="s">
        <v>205</v>
      </c>
      <c r="H112" s="176">
        <v>41344</v>
      </c>
    </row>
    <row r="113" spans="1:8" x14ac:dyDescent="0.2">
      <c r="A113" s="140" t="s">
        <v>207</v>
      </c>
      <c r="B113" s="141"/>
      <c r="C113" s="207" t="s">
        <v>208</v>
      </c>
      <c r="D113" s="208">
        <v>41344</v>
      </c>
      <c r="E113" s="207" t="s">
        <v>208</v>
      </c>
      <c r="F113" s="209">
        <v>-345</v>
      </c>
      <c r="G113" s="207" t="s">
        <v>208</v>
      </c>
      <c r="H113" s="149">
        <v>40999</v>
      </c>
    </row>
    <row r="114" spans="1:8" x14ac:dyDescent="0.15">
      <c r="A114" s="134" t="s">
        <v>209</v>
      </c>
      <c r="B114" s="210">
        <v>22</v>
      </c>
      <c r="C114" s="211" t="s">
        <v>205</v>
      </c>
      <c r="D114" s="211" t="s">
        <v>205</v>
      </c>
      <c r="E114" s="212">
        <v>-27958</v>
      </c>
      <c r="F114" s="213" t="s">
        <v>205</v>
      </c>
      <c r="G114" s="211" t="s">
        <v>205</v>
      </c>
      <c r="H114" s="136">
        <v>-27958</v>
      </c>
    </row>
    <row r="115" spans="1:8" x14ac:dyDescent="0.2">
      <c r="A115" s="137" t="s">
        <v>210</v>
      </c>
      <c r="B115" s="14"/>
      <c r="C115" s="204" t="s">
        <v>205</v>
      </c>
      <c r="D115" s="214">
        <v>-29568</v>
      </c>
      <c r="E115" s="205">
        <v>29568</v>
      </c>
      <c r="F115" s="206" t="s">
        <v>205</v>
      </c>
      <c r="G115" s="204" t="s">
        <v>205</v>
      </c>
      <c r="H115" s="215" t="s">
        <v>205</v>
      </c>
    </row>
    <row r="116" spans="1:8" x14ac:dyDescent="0.2">
      <c r="A116" s="137" t="s">
        <v>211</v>
      </c>
      <c r="B116" s="216">
        <v>20</v>
      </c>
      <c r="C116" s="205">
        <v>1525</v>
      </c>
      <c r="D116" s="204" t="s">
        <v>205</v>
      </c>
      <c r="E116" s="204" t="s">
        <v>205</v>
      </c>
      <c r="F116" s="206" t="s">
        <v>205</v>
      </c>
      <c r="G116" s="204" t="s">
        <v>205</v>
      </c>
      <c r="H116" s="176">
        <v>1525</v>
      </c>
    </row>
    <row r="117" spans="1:8" x14ac:dyDescent="0.2">
      <c r="A117" s="137" t="s">
        <v>123</v>
      </c>
      <c r="B117" s="216">
        <v>32</v>
      </c>
      <c r="C117" s="204" t="s">
        <v>205</v>
      </c>
      <c r="D117" s="204" t="s">
        <v>205</v>
      </c>
      <c r="E117" s="204" t="s">
        <v>205</v>
      </c>
      <c r="F117" s="206" t="s">
        <v>205</v>
      </c>
      <c r="G117" s="205">
        <v>1496</v>
      </c>
      <c r="H117" s="176">
        <v>1496</v>
      </c>
    </row>
    <row r="118" spans="1:8" x14ac:dyDescent="0.2">
      <c r="A118" s="137" t="s">
        <v>213</v>
      </c>
      <c r="B118" s="14"/>
      <c r="C118" s="204" t="s">
        <v>205</v>
      </c>
      <c r="D118" s="204" t="s">
        <v>205</v>
      </c>
      <c r="E118" s="204" t="s">
        <v>205</v>
      </c>
      <c r="F118" s="206" t="s">
        <v>205</v>
      </c>
      <c r="G118" s="205">
        <v>4492</v>
      </c>
      <c r="H118" s="176">
        <v>4492</v>
      </c>
    </row>
    <row r="119" spans="1:8" x14ac:dyDescent="0.2">
      <c r="A119" s="62"/>
      <c r="B119" s="14"/>
      <c r="C119" s="205">
        <v>1525</v>
      </c>
      <c r="D119" s="214">
        <v>-29568</v>
      </c>
      <c r="E119" s="205">
        <v>1610</v>
      </c>
      <c r="F119" s="206" t="s">
        <v>205</v>
      </c>
      <c r="G119" s="205">
        <v>5988</v>
      </c>
      <c r="H119" s="139">
        <v>-20445</v>
      </c>
    </row>
    <row r="120" spans="1:8" ht="13.5" thickBot="1" x14ac:dyDescent="0.25">
      <c r="A120" s="168" t="s">
        <v>216</v>
      </c>
      <c r="B120" s="181"/>
      <c r="C120" s="217">
        <v>29984</v>
      </c>
      <c r="D120" s="217">
        <v>70160</v>
      </c>
      <c r="E120" s="217">
        <v>22172</v>
      </c>
      <c r="F120" s="218">
        <v>-561</v>
      </c>
      <c r="G120" s="217">
        <v>16739</v>
      </c>
      <c r="H120" s="182">
        <v>138494</v>
      </c>
    </row>
  </sheetData>
  <mergeCells count="4">
    <mergeCell ref="A23:B23"/>
    <mergeCell ref="A31:B31"/>
    <mergeCell ref="A71:B71"/>
    <mergeCell ref="A97:B9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3"/>
  <sheetViews>
    <sheetView topLeftCell="A10" zoomScale="115" zoomScaleNormal="115" workbookViewId="0">
      <selection activeCell="I134" sqref="I134"/>
    </sheetView>
  </sheetViews>
  <sheetFormatPr defaultRowHeight="12.75" x14ac:dyDescent="0.2"/>
  <cols>
    <col min="1" max="1" width="46.33203125" style="277" customWidth="1"/>
    <col min="2" max="2" width="10.6640625" style="326" bestFit="1" customWidth="1"/>
    <col min="3" max="3" width="11.33203125" style="278" bestFit="1" customWidth="1"/>
    <col min="4" max="4" width="18" style="278" customWidth="1"/>
    <col min="5" max="5" width="8.6640625" bestFit="1" customWidth="1"/>
    <col min="6" max="8" width="7.6640625" bestFit="1" customWidth="1"/>
  </cols>
  <sheetData>
    <row r="1" spans="1:9" ht="15.75" x14ac:dyDescent="0.2">
      <c r="A1" s="219" t="s">
        <v>217</v>
      </c>
      <c r="B1" s="220"/>
      <c r="C1" s="221"/>
      <c r="D1" s="222"/>
      <c r="E1" s="223"/>
      <c r="F1" s="224"/>
      <c r="G1" s="224"/>
      <c r="H1" s="224"/>
      <c r="I1" s="224"/>
    </row>
    <row r="2" spans="1:9" ht="21.75" thickBot="1" x14ac:dyDescent="0.3">
      <c r="A2" s="225"/>
      <c r="B2" s="226" t="s">
        <v>218</v>
      </c>
      <c r="C2" s="227" t="s">
        <v>219</v>
      </c>
      <c r="D2" s="228" t="s">
        <v>220</v>
      </c>
      <c r="E2" s="229"/>
      <c r="F2" s="224"/>
      <c r="G2" s="224"/>
      <c r="H2" s="224"/>
      <c r="I2" s="224"/>
    </row>
    <row r="3" spans="1:9" ht="15.75" x14ac:dyDescent="0.2">
      <c r="A3" s="219" t="s">
        <v>221</v>
      </c>
      <c r="B3" s="230">
        <v>5</v>
      </c>
      <c r="C3" s="231">
        <v>298650</v>
      </c>
      <c r="D3" s="232">
        <v>273253</v>
      </c>
      <c r="E3" s="224"/>
      <c r="F3" s="224"/>
      <c r="G3" s="224"/>
      <c r="H3" s="224"/>
      <c r="I3" s="224"/>
    </row>
    <row r="4" spans="1:9" ht="15.75" x14ac:dyDescent="0.2">
      <c r="A4" s="233" t="s">
        <v>222</v>
      </c>
      <c r="B4" s="234"/>
      <c r="C4" s="235">
        <v>-27786</v>
      </c>
      <c r="D4" s="236">
        <v>-24766</v>
      </c>
      <c r="E4" s="224"/>
      <c r="F4" s="224"/>
      <c r="G4" s="224"/>
      <c r="H4" s="224"/>
      <c r="I4" s="224"/>
    </row>
    <row r="5" spans="1:9" ht="15.75" x14ac:dyDescent="0.2">
      <c r="A5" s="233" t="s">
        <v>223</v>
      </c>
      <c r="B5" s="234"/>
      <c r="C5" s="235">
        <v>-11884</v>
      </c>
      <c r="D5" s="236">
        <v>-9611</v>
      </c>
      <c r="E5" s="224"/>
      <c r="F5" s="224"/>
      <c r="G5" s="224"/>
      <c r="H5" s="224"/>
      <c r="I5" s="224"/>
    </row>
    <row r="6" spans="1:9" ht="15.75" x14ac:dyDescent="0.2">
      <c r="A6" s="237" t="s">
        <v>224</v>
      </c>
      <c r="B6" s="234"/>
      <c r="C6" s="238">
        <v>-39670</v>
      </c>
      <c r="D6" s="239">
        <v>-34377</v>
      </c>
      <c r="E6" s="224"/>
      <c r="F6" s="224"/>
      <c r="G6" s="224"/>
      <c r="H6" s="224"/>
      <c r="I6" s="224"/>
    </row>
    <row r="7" spans="1:9" ht="15.75" x14ac:dyDescent="0.2">
      <c r="A7" s="233" t="s">
        <v>225</v>
      </c>
      <c r="B7" s="234"/>
      <c r="C7" s="235">
        <v>-9588</v>
      </c>
      <c r="D7" s="236">
        <v>-7750</v>
      </c>
      <c r="E7" s="224"/>
      <c r="F7" s="224"/>
      <c r="G7" s="224"/>
      <c r="H7" s="224"/>
      <c r="I7" s="224"/>
    </row>
    <row r="8" spans="1:9" ht="15.75" x14ac:dyDescent="0.2">
      <c r="A8" s="233" t="s">
        <v>226</v>
      </c>
      <c r="B8" s="234"/>
      <c r="C8" s="235">
        <v>-18951</v>
      </c>
      <c r="D8" s="236">
        <v>-16421</v>
      </c>
      <c r="E8" s="224"/>
      <c r="F8" s="224"/>
      <c r="G8" s="224"/>
      <c r="H8" s="224"/>
      <c r="I8" s="224"/>
    </row>
    <row r="9" spans="1:9" ht="15.75" x14ac:dyDescent="0.2">
      <c r="A9" s="233" t="s">
        <v>227</v>
      </c>
      <c r="B9" s="234">
        <v>6</v>
      </c>
      <c r="C9" s="235">
        <v>-4276</v>
      </c>
      <c r="D9" s="236">
        <v>-4237</v>
      </c>
      <c r="E9" s="224"/>
      <c r="F9" s="224"/>
      <c r="G9" s="224"/>
      <c r="H9" s="224"/>
      <c r="I9" s="224"/>
    </row>
    <row r="10" spans="1:9" ht="15.75" x14ac:dyDescent="0.2">
      <c r="A10" s="233" t="s">
        <v>228</v>
      </c>
      <c r="B10" s="234"/>
      <c r="C10" s="235">
        <v>-10339</v>
      </c>
      <c r="D10" s="236">
        <v>-10599</v>
      </c>
      <c r="E10" s="224"/>
      <c r="F10" s="224"/>
      <c r="G10" s="224"/>
      <c r="H10" s="224"/>
      <c r="I10" s="224"/>
    </row>
    <row r="11" spans="1:9" ht="15.75" x14ac:dyDescent="0.2">
      <c r="A11" s="233" t="s">
        <v>229</v>
      </c>
      <c r="B11" s="234"/>
      <c r="C11" s="235">
        <v>-4068</v>
      </c>
      <c r="D11" s="236">
        <v>-5624</v>
      </c>
      <c r="E11" s="224"/>
      <c r="F11" s="224"/>
      <c r="G11" s="224"/>
      <c r="H11" s="224"/>
      <c r="I11" s="224"/>
    </row>
    <row r="12" spans="1:9" ht="15.75" x14ac:dyDescent="0.2">
      <c r="A12" s="233" t="s">
        <v>230</v>
      </c>
      <c r="B12" s="234"/>
      <c r="C12" s="235">
        <v>-143240</v>
      </c>
      <c r="D12" s="236">
        <v>-134602</v>
      </c>
      <c r="E12" s="224"/>
      <c r="F12" s="224"/>
      <c r="G12" s="224"/>
      <c r="H12" s="224"/>
      <c r="I12" s="224"/>
    </row>
    <row r="13" spans="1:9" ht="15.75" x14ac:dyDescent="0.2">
      <c r="A13" s="233" t="s">
        <v>231</v>
      </c>
      <c r="B13" s="234"/>
      <c r="C13" s="235">
        <v>-1595</v>
      </c>
      <c r="D13" s="236">
        <v>-1576</v>
      </c>
      <c r="E13" s="224"/>
      <c r="F13" s="224"/>
      <c r="G13" s="224"/>
      <c r="H13" s="224"/>
      <c r="I13" s="224"/>
    </row>
    <row r="14" spans="1:9" ht="15.75" x14ac:dyDescent="0.2">
      <c r="A14" s="233" t="s">
        <v>232</v>
      </c>
      <c r="B14" s="59"/>
      <c r="C14" s="235">
        <v>-395</v>
      </c>
      <c r="D14" s="236">
        <v>-48</v>
      </c>
      <c r="E14" s="224"/>
      <c r="F14" s="224"/>
      <c r="G14" s="224"/>
      <c r="H14" s="224"/>
      <c r="I14" s="224"/>
    </row>
    <row r="15" spans="1:9" ht="15.75" x14ac:dyDescent="0.2">
      <c r="A15" s="237" t="s">
        <v>233</v>
      </c>
      <c r="B15" s="234"/>
      <c r="C15" s="238">
        <v>-192452</v>
      </c>
      <c r="D15" s="239">
        <v>-180857</v>
      </c>
      <c r="E15" s="224"/>
      <c r="F15" s="224"/>
      <c r="G15" s="224"/>
      <c r="H15" s="224"/>
      <c r="I15" s="224"/>
    </row>
    <row r="16" spans="1:9" ht="15.75" x14ac:dyDescent="0.2">
      <c r="A16" s="240"/>
      <c r="B16" s="234"/>
      <c r="C16" s="241"/>
      <c r="D16" s="242"/>
      <c r="E16" s="224"/>
      <c r="F16" s="224"/>
      <c r="G16" s="224"/>
      <c r="H16" s="224"/>
      <c r="I16" s="224"/>
    </row>
    <row r="17" spans="1:9" ht="15.75" x14ac:dyDescent="0.2">
      <c r="A17" s="237" t="s">
        <v>234</v>
      </c>
      <c r="B17" s="234">
        <v>7</v>
      </c>
      <c r="C17" s="243">
        <v>66528</v>
      </c>
      <c r="D17" s="244">
        <v>58019</v>
      </c>
      <c r="E17" s="224"/>
      <c r="F17" s="224"/>
      <c r="G17" s="224"/>
      <c r="H17" s="224"/>
      <c r="I17" s="224"/>
    </row>
    <row r="18" spans="1:9" ht="15.75" x14ac:dyDescent="0.2">
      <c r="A18" s="233" t="s">
        <v>235</v>
      </c>
      <c r="B18" s="234">
        <v>7</v>
      </c>
      <c r="C18" s="238">
        <v>-15548</v>
      </c>
      <c r="D18" s="239">
        <v>-13525</v>
      </c>
      <c r="E18" s="224"/>
      <c r="F18" s="224"/>
      <c r="G18" s="224"/>
      <c r="H18" s="224"/>
      <c r="I18" s="224"/>
    </row>
    <row r="19" spans="1:9" ht="31.5" x14ac:dyDescent="0.2">
      <c r="A19" s="237" t="s">
        <v>236</v>
      </c>
      <c r="B19" s="234"/>
      <c r="C19" s="238">
        <v>50980</v>
      </c>
      <c r="D19" s="239">
        <v>44494</v>
      </c>
      <c r="E19" s="224"/>
      <c r="F19" s="224"/>
      <c r="G19" s="224"/>
      <c r="H19" s="224"/>
      <c r="I19" s="224"/>
    </row>
    <row r="20" spans="1:9" ht="15.75" x14ac:dyDescent="0.2">
      <c r="A20" s="240"/>
      <c r="B20" s="234"/>
      <c r="C20" s="245"/>
      <c r="D20" s="246"/>
      <c r="E20" s="224"/>
      <c r="F20" s="224"/>
      <c r="G20" s="224"/>
      <c r="H20" s="224"/>
      <c r="I20" s="224"/>
    </row>
    <row r="21" spans="1:9" ht="15.75" x14ac:dyDescent="0.2">
      <c r="A21" s="233" t="s">
        <v>237</v>
      </c>
      <c r="B21" s="234">
        <v>31</v>
      </c>
      <c r="C21" s="238">
        <v>16.14</v>
      </c>
      <c r="D21" s="239">
        <v>14.18</v>
      </c>
      <c r="E21" s="224"/>
      <c r="F21" s="224"/>
      <c r="G21" s="224"/>
      <c r="H21" s="224"/>
      <c r="I21" s="224"/>
    </row>
    <row r="22" spans="1:9" ht="15.75" x14ac:dyDescent="0.2">
      <c r="A22" s="233" t="s">
        <v>238</v>
      </c>
      <c r="B22" s="234">
        <v>31</v>
      </c>
      <c r="C22" s="238">
        <v>16.100000000000001</v>
      </c>
      <c r="D22" s="239">
        <v>14.1</v>
      </c>
      <c r="E22" s="224"/>
      <c r="F22" s="224"/>
      <c r="G22" s="224"/>
      <c r="H22" s="224"/>
      <c r="I22" s="224"/>
    </row>
    <row r="23" spans="1:9" ht="15.75" x14ac:dyDescent="0.2">
      <c r="A23" s="233"/>
      <c r="B23" s="59"/>
      <c r="C23" s="247"/>
      <c r="D23" s="248"/>
      <c r="E23" s="224"/>
      <c r="F23" s="224"/>
      <c r="G23" s="224"/>
      <c r="H23" s="224"/>
      <c r="I23" s="224"/>
    </row>
    <row r="24" spans="1:9" ht="21" x14ac:dyDescent="0.2">
      <c r="A24" s="252"/>
      <c r="B24" s="59"/>
      <c r="C24" s="227" t="s">
        <v>219</v>
      </c>
      <c r="D24" s="228" t="s">
        <v>220</v>
      </c>
      <c r="E24" s="224"/>
      <c r="F24" s="224"/>
      <c r="G24" s="224"/>
      <c r="H24" s="224"/>
      <c r="I24" s="224"/>
    </row>
    <row r="25" spans="1:9" ht="31.5" x14ac:dyDescent="0.2">
      <c r="A25" s="255" t="s">
        <v>236</v>
      </c>
      <c r="B25" s="59"/>
      <c r="C25" s="37">
        <v>50980</v>
      </c>
      <c r="D25" s="320">
        <v>44494</v>
      </c>
      <c r="E25" s="224"/>
      <c r="F25" s="224"/>
      <c r="G25" s="224"/>
      <c r="H25" s="224"/>
      <c r="I25" s="224"/>
    </row>
    <row r="26" spans="1:9" ht="15.75" x14ac:dyDescent="0.2">
      <c r="A26" s="255" t="s">
        <v>239</v>
      </c>
      <c r="B26" s="59"/>
      <c r="C26" s="37"/>
      <c r="D26" s="320"/>
      <c r="E26" s="224"/>
      <c r="F26" s="224"/>
      <c r="G26" s="224"/>
      <c r="H26" s="224"/>
      <c r="I26" s="224"/>
    </row>
    <row r="27" spans="1:9" ht="63" x14ac:dyDescent="0.2">
      <c r="A27" s="258" t="s">
        <v>240</v>
      </c>
      <c r="B27" s="59"/>
      <c r="C27" s="314">
        <v>348</v>
      </c>
      <c r="D27" s="304">
        <v>-167</v>
      </c>
      <c r="E27" s="224"/>
      <c r="F27" s="224"/>
      <c r="G27" s="224"/>
      <c r="H27" s="224"/>
      <c r="I27" s="224"/>
    </row>
    <row r="28" spans="1:9" ht="31.5" x14ac:dyDescent="0.2">
      <c r="A28" s="252" t="s">
        <v>241</v>
      </c>
      <c r="B28" s="59"/>
      <c r="C28" s="29">
        <v>348</v>
      </c>
      <c r="D28" s="360">
        <v>-167</v>
      </c>
      <c r="E28" s="224"/>
      <c r="F28" s="224"/>
      <c r="G28" s="224"/>
      <c r="H28" s="224"/>
      <c r="I28" s="224"/>
    </row>
    <row r="29" spans="1:9" ht="32.25" thickBot="1" x14ac:dyDescent="0.25">
      <c r="A29" s="237" t="s">
        <v>242</v>
      </c>
      <c r="B29" s="59"/>
      <c r="C29" s="238">
        <v>51328</v>
      </c>
      <c r="D29" s="239">
        <v>44327</v>
      </c>
      <c r="E29" s="224"/>
      <c r="F29" s="224"/>
      <c r="G29" s="224"/>
      <c r="H29" s="224"/>
      <c r="I29" s="224"/>
    </row>
    <row r="30" spans="1:9" ht="16.5" thickBot="1" x14ac:dyDescent="0.25">
      <c r="A30" s="220"/>
      <c r="B30" s="249"/>
      <c r="C30" s="221"/>
      <c r="D30" s="222"/>
      <c r="E30" s="250"/>
    </row>
    <row r="31" spans="1:9" ht="15.75" x14ac:dyDescent="0.2">
      <c r="A31" s="251" t="s">
        <v>243</v>
      </c>
      <c r="B31" s="249"/>
      <c r="C31" s="221"/>
      <c r="D31" s="222"/>
    </row>
    <row r="32" spans="1:9" ht="18" x14ac:dyDescent="0.2">
      <c r="A32" s="252"/>
      <c r="B32" s="59" t="s">
        <v>83</v>
      </c>
      <c r="C32" s="253" t="s">
        <v>244</v>
      </c>
      <c r="D32" s="254" t="s">
        <v>245</v>
      </c>
    </row>
    <row r="33" spans="1:4" x14ac:dyDescent="0.2">
      <c r="A33" s="255" t="s">
        <v>246</v>
      </c>
      <c r="B33" s="59"/>
      <c r="C33" s="256"/>
      <c r="D33" s="257"/>
    </row>
    <row r="34" spans="1:4" x14ac:dyDescent="0.2">
      <c r="A34" s="255" t="s">
        <v>247</v>
      </c>
      <c r="B34" s="59"/>
      <c r="C34" s="256"/>
      <c r="D34" s="257"/>
    </row>
    <row r="35" spans="1:4" x14ac:dyDescent="0.2">
      <c r="A35" s="258" t="s">
        <v>248</v>
      </c>
      <c r="B35" s="59">
        <v>8</v>
      </c>
      <c r="C35" s="235">
        <v>104322</v>
      </c>
      <c r="D35" s="236">
        <v>93383</v>
      </c>
    </row>
    <row r="36" spans="1:4" x14ac:dyDescent="0.2">
      <c r="A36" s="258" t="s">
        <v>249</v>
      </c>
      <c r="B36" s="59"/>
      <c r="C36" s="235">
        <v>10852</v>
      </c>
      <c r="D36" s="236">
        <v>8220</v>
      </c>
    </row>
    <row r="37" spans="1:4" x14ac:dyDescent="0.2">
      <c r="A37" s="258" t="s">
        <v>250</v>
      </c>
      <c r="B37" s="59">
        <v>9</v>
      </c>
      <c r="C37" s="235">
        <v>59554</v>
      </c>
      <c r="D37" s="236">
        <v>53262</v>
      </c>
    </row>
    <row r="38" spans="1:4" x14ac:dyDescent="0.2">
      <c r="A38" s="258" t="s">
        <v>251</v>
      </c>
      <c r="B38" s="59"/>
      <c r="C38" s="235">
        <v>19758</v>
      </c>
      <c r="D38" s="236">
        <v>14305</v>
      </c>
    </row>
    <row r="39" spans="1:4" x14ac:dyDescent="0.2">
      <c r="A39" s="258" t="s">
        <v>252</v>
      </c>
      <c r="B39" s="59">
        <v>10</v>
      </c>
      <c r="C39" s="259">
        <v>959</v>
      </c>
      <c r="D39" s="260">
        <v>798</v>
      </c>
    </row>
    <row r="40" spans="1:4" x14ac:dyDescent="0.2">
      <c r="A40" s="258" t="s">
        <v>253</v>
      </c>
      <c r="B40" s="59"/>
      <c r="C40" s="235">
        <v>1574</v>
      </c>
      <c r="D40" s="261" t="s">
        <v>91</v>
      </c>
    </row>
    <row r="41" spans="1:4" x14ac:dyDescent="0.2">
      <c r="A41" s="262" t="s">
        <v>254</v>
      </c>
      <c r="B41" s="59"/>
      <c r="C41" s="263">
        <v>197019</v>
      </c>
      <c r="D41" s="264">
        <v>169968</v>
      </c>
    </row>
    <row r="42" spans="1:4" x14ac:dyDescent="0.2">
      <c r="A42" s="255" t="s">
        <v>255</v>
      </c>
      <c r="B42" s="59"/>
      <c r="C42" s="256"/>
      <c r="D42" s="257"/>
    </row>
    <row r="43" spans="1:4" x14ac:dyDescent="0.2">
      <c r="A43" s="258" t="s">
        <v>256</v>
      </c>
      <c r="B43" s="59">
        <v>11</v>
      </c>
      <c r="C43" s="235">
        <v>12280</v>
      </c>
      <c r="D43" s="236">
        <v>13525</v>
      </c>
    </row>
    <row r="44" spans="1:4" x14ac:dyDescent="0.2">
      <c r="A44" s="258" t="s">
        <v>257</v>
      </c>
      <c r="B44" s="59">
        <v>12</v>
      </c>
      <c r="C44" s="235">
        <v>45011</v>
      </c>
      <c r="D44" s="236">
        <v>47549</v>
      </c>
    </row>
    <row r="45" spans="1:4" x14ac:dyDescent="0.2">
      <c r="A45" s="258" t="s">
        <v>251</v>
      </c>
      <c r="B45" s="59"/>
      <c r="C45" s="235">
        <v>26374</v>
      </c>
      <c r="D45" s="236">
        <v>11914</v>
      </c>
    </row>
    <row r="46" spans="1:4" x14ac:dyDescent="0.2">
      <c r="A46" s="258" t="s">
        <v>258</v>
      </c>
      <c r="B46" s="59">
        <v>13</v>
      </c>
      <c r="C46" s="259">
        <v>404</v>
      </c>
      <c r="D46" s="236">
        <v>5482</v>
      </c>
    </row>
    <row r="47" spans="1:4" x14ac:dyDescent="0.2">
      <c r="A47" s="262" t="s">
        <v>259</v>
      </c>
      <c r="B47" s="59"/>
      <c r="C47" s="263">
        <v>84069</v>
      </c>
      <c r="D47" s="264">
        <v>78470</v>
      </c>
    </row>
    <row r="48" spans="1:4" x14ac:dyDescent="0.2">
      <c r="A48" s="265"/>
      <c r="B48" s="59"/>
      <c r="C48" s="266"/>
      <c r="D48" s="267"/>
    </row>
    <row r="49" spans="1:9" x14ac:dyDescent="0.2">
      <c r="A49" s="262" t="s">
        <v>260</v>
      </c>
      <c r="B49" s="59"/>
      <c r="C49" s="263">
        <v>281088</v>
      </c>
      <c r="D49" s="264">
        <v>248438</v>
      </c>
    </row>
    <row r="50" spans="1:9" x14ac:dyDescent="0.2">
      <c r="A50" s="255" t="s">
        <v>261</v>
      </c>
      <c r="B50" s="59"/>
      <c r="C50" s="256"/>
      <c r="D50" s="257"/>
    </row>
    <row r="51" spans="1:9" x14ac:dyDescent="0.2">
      <c r="A51" s="255" t="s">
        <v>262</v>
      </c>
      <c r="B51" s="59"/>
      <c r="C51" s="256"/>
      <c r="D51" s="257"/>
    </row>
    <row r="52" spans="1:9" x14ac:dyDescent="0.2">
      <c r="A52" s="258" t="s">
        <v>263</v>
      </c>
      <c r="B52" s="59">
        <v>14</v>
      </c>
      <c r="C52" s="235">
        <v>52617</v>
      </c>
      <c r="D52" s="236">
        <v>38253</v>
      </c>
    </row>
    <row r="53" spans="1:9" x14ac:dyDescent="0.2">
      <c r="A53" s="258" t="s">
        <v>264</v>
      </c>
      <c r="B53" s="59">
        <v>15</v>
      </c>
      <c r="C53" s="235">
        <v>13257</v>
      </c>
      <c r="D53" s="236">
        <v>11270</v>
      </c>
    </row>
    <row r="54" spans="1:9" x14ac:dyDescent="0.2">
      <c r="A54" s="258" t="s">
        <v>265</v>
      </c>
      <c r="B54" s="59"/>
      <c r="C54" s="268" t="s">
        <v>91</v>
      </c>
      <c r="D54" s="260">
        <v>392</v>
      </c>
    </row>
    <row r="55" spans="1:9" x14ac:dyDescent="0.2">
      <c r="A55" s="258" t="s">
        <v>266</v>
      </c>
      <c r="B55" s="59"/>
      <c r="C55" s="235">
        <v>31305</v>
      </c>
      <c r="D55" s="236">
        <v>27862</v>
      </c>
    </row>
    <row r="56" spans="1:9" x14ac:dyDescent="0.2">
      <c r="A56" s="258" t="s">
        <v>267</v>
      </c>
      <c r="B56" s="59">
        <v>16</v>
      </c>
      <c r="C56" s="259">
        <v>5</v>
      </c>
      <c r="D56" s="260">
        <v>10</v>
      </c>
    </row>
    <row r="57" spans="1:9" x14ac:dyDescent="0.2">
      <c r="A57" s="262" t="s">
        <v>268</v>
      </c>
      <c r="B57" s="59"/>
      <c r="C57" s="263">
        <v>97184</v>
      </c>
      <c r="D57" s="264">
        <v>77787</v>
      </c>
    </row>
    <row r="58" spans="1:9" x14ac:dyDescent="0.2">
      <c r="A58" s="255" t="s">
        <v>269</v>
      </c>
      <c r="B58" s="59"/>
      <c r="C58" s="256"/>
      <c r="D58" s="257"/>
      <c r="E58" s="269"/>
      <c r="F58" s="269"/>
      <c r="G58" s="269"/>
      <c r="H58" s="269"/>
      <c r="I58" s="269"/>
    </row>
    <row r="59" spans="1:9" x14ac:dyDescent="0.2">
      <c r="A59" s="258" t="s">
        <v>263</v>
      </c>
      <c r="B59" s="59">
        <v>28</v>
      </c>
      <c r="C59" s="268" t="s">
        <v>91</v>
      </c>
      <c r="D59" s="236">
        <v>8370</v>
      </c>
    </row>
    <row r="60" spans="1:9" x14ac:dyDescent="0.2">
      <c r="A60" s="258" t="s">
        <v>264</v>
      </c>
      <c r="B60" s="59">
        <v>17</v>
      </c>
      <c r="C60" s="235">
        <v>3144</v>
      </c>
      <c r="D60" s="236">
        <v>3338</v>
      </c>
    </row>
    <row r="61" spans="1:9" x14ac:dyDescent="0.2">
      <c r="A61" s="258" t="s">
        <v>270</v>
      </c>
      <c r="B61" s="59">
        <v>18</v>
      </c>
      <c r="C61" s="235">
        <v>1241</v>
      </c>
      <c r="D61" s="236">
        <v>1423</v>
      </c>
    </row>
    <row r="62" spans="1:9" x14ac:dyDescent="0.2">
      <c r="A62" s="262" t="s">
        <v>271</v>
      </c>
      <c r="B62" s="59"/>
      <c r="C62" s="263">
        <v>4385</v>
      </c>
      <c r="D62" s="264">
        <v>13131</v>
      </c>
    </row>
    <row r="63" spans="1:9" x14ac:dyDescent="0.2">
      <c r="A63" s="252"/>
      <c r="B63" s="59"/>
      <c r="C63" s="256"/>
      <c r="D63" s="257"/>
    </row>
    <row r="64" spans="1:9" x14ac:dyDescent="0.2">
      <c r="A64" s="262" t="s">
        <v>272</v>
      </c>
      <c r="B64" s="59"/>
      <c r="C64" s="263">
        <v>101569</v>
      </c>
      <c r="D64" s="264">
        <v>90918</v>
      </c>
    </row>
    <row r="65" spans="1:4" x14ac:dyDescent="0.2">
      <c r="A65" s="262" t="s">
        <v>273</v>
      </c>
      <c r="B65" s="59"/>
      <c r="C65" s="263">
        <v>179519</v>
      </c>
      <c r="D65" s="264">
        <v>157520</v>
      </c>
    </row>
    <row r="66" spans="1:4" x14ac:dyDescent="0.2">
      <c r="A66" s="270"/>
      <c r="B66" s="59"/>
      <c r="C66" s="271"/>
      <c r="D66" s="272"/>
    </row>
    <row r="67" spans="1:4" x14ac:dyDescent="0.2">
      <c r="A67" s="273" t="s">
        <v>274</v>
      </c>
      <c r="B67" s="59"/>
      <c r="C67" s="266"/>
      <c r="D67" s="267"/>
    </row>
    <row r="68" spans="1:4" x14ac:dyDescent="0.2">
      <c r="A68" s="137" t="s">
        <v>275</v>
      </c>
      <c r="B68" s="59">
        <v>20</v>
      </c>
      <c r="C68" s="235">
        <v>33171</v>
      </c>
      <c r="D68" s="236">
        <v>32152</v>
      </c>
    </row>
    <row r="69" spans="1:4" x14ac:dyDescent="0.2">
      <c r="A69" s="137" t="s">
        <v>276</v>
      </c>
      <c r="B69" s="59">
        <v>21</v>
      </c>
      <c r="C69" s="235">
        <v>30530</v>
      </c>
      <c r="D69" s="236">
        <v>34687</v>
      </c>
    </row>
    <row r="70" spans="1:4" x14ac:dyDescent="0.2">
      <c r="A70" s="137" t="s">
        <v>277</v>
      </c>
      <c r="B70" s="59"/>
      <c r="C70" s="235">
        <v>115818</v>
      </c>
      <c r="D70" s="236">
        <v>90681</v>
      </c>
    </row>
    <row r="71" spans="1:4" ht="13.5" thickBot="1" x14ac:dyDescent="0.25">
      <c r="A71" s="274" t="s">
        <v>278</v>
      </c>
      <c r="B71" s="63"/>
      <c r="C71" s="275">
        <v>179519</v>
      </c>
      <c r="D71" s="276">
        <v>157520</v>
      </c>
    </row>
    <row r="72" spans="1:4" x14ac:dyDescent="0.2">
      <c r="B72" s="59"/>
    </row>
    <row r="73" spans="1:4" x14ac:dyDescent="0.2">
      <c r="B73" s="59"/>
    </row>
    <row r="74" spans="1:4" ht="38.25" thickBot="1" x14ac:dyDescent="0.25">
      <c r="A74" s="279" t="s">
        <v>279</v>
      </c>
      <c r="B74" s="59"/>
      <c r="C74" s="253"/>
      <c r="D74" s="280"/>
    </row>
    <row r="75" spans="1:4" ht="18" x14ac:dyDescent="0.2">
      <c r="A75" s="281"/>
      <c r="B75" s="282" t="s">
        <v>83</v>
      </c>
      <c r="C75" s="283" t="s">
        <v>244</v>
      </c>
      <c r="D75" s="284" t="s">
        <v>245</v>
      </c>
    </row>
    <row r="76" spans="1:4" x14ac:dyDescent="0.2">
      <c r="A76" s="273" t="s">
        <v>280</v>
      </c>
      <c r="B76" s="59"/>
      <c r="C76" s="285"/>
      <c r="D76" s="286"/>
    </row>
    <row r="77" spans="1:4" x14ac:dyDescent="0.2">
      <c r="A77" s="137" t="s">
        <v>281</v>
      </c>
      <c r="B77" s="59"/>
      <c r="C77" s="287">
        <v>300058</v>
      </c>
      <c r="D77" s="288">
        <v>296419</v>
      </c>
    </row>
    <row r="78" spans="1:4" x14ac:dyDescent="0.2">
      <c r="A78" s="137" t="s">
        <v>282</v>
      </c>
      <c r="B78" s="59"/>
      <c r="C78" s="287">
        <v>-2632</v>
      </c>
      <c r="D78" s="288">
        <v>-2417</v>
      </c>
    </row>
    <row r="79" spans="1:4" ht="23.25" customHeight="1" x14ac:dyDescent="0.2">
      <c r="A79" s="137" t="s">
        <v>283</v>
      </c>
      <c r="B79" s="59"/>
      <c r="C79" s="287">
        <v>-237983</v>
      </c>
      <c r="D79" s="288">
        <v>-238006</v>
      </c>
    </row>
    <row r="80" spans="1:4" x14ac:dyDescent="0.2">
      <c r="A80" s="137" t="s">
        <v>284</v>
      </c>
      <c r="B80" s="59"/>
      <c r="C80" s="287">
        <v>735</v>
      </c>
      <c r="D80" s="288">
        <v>728</v>
      </c>
    </row>
    <row r="81" spans="1:4" x14ac:dyDescent="0.2">
      <c r="A81" s="137" t="s">
        <v>285</v>
      </c>
      <c r="B81" s="59"/>
      <c r="C81" s="287">
        <v>-11187</v>
      </c>
      <c r="D81" s="288">
        <v>-10507</v>
      </c>
    </row>
    <row r="82" spans="1:4" x14ac:dyDescent="0.2">
      <c r="A82" s="137" t="s">
        <v>286</v>
      </c>
      <c r="B82" s="59"/>
      <c r="C82" s="289" t="s">
        <v>91</v>
      </c>
      <c r="D82" s="288">
        <v>273</v>
      </c>
    </row>
    <row r="83" spans="1:4" x14ac:dyDescent="0.2">
      <c r="A83" s="137" t="s">
        <v>287</v>
      </c>
      <c r="B83" s="59"/>
      <c r="C83" s="287">
        <v>-395</v>
      </c>
      <c r="D83" s="288">
        <v>-48</v>
      </c>
    </row>
    <row r="84" spans="1:4" x14ac:dyDescent="0.2">
      <c r="A84" s="290" t="s">
        <v>288</v>
      </c>
      <c r="B84" s="59">
        <v>30</v>
      </c>
      <c r="C84" s="291">
        <v>48596</v>
      </c>
      <c r="D84" s="292">
        <v>46442</v>
      </c>
    </row>
    <row r="85" spans="1:4" x14ac:dyDescent="0.2">
      <c r="A85" s="273" t="s">
        <v>289</v>
      </c>
      <c r="B85" s="59"/>
      <c r="C85" s="285"/>
      <c r="D85" s="286"/>
    </row>
    <row r="86" spans="1:4" x14ac:dyDescent="0.2">
      <c r="A86" s="137" t="s">
        <v>290</v>
      </c>
      <c r="B86" s="59"/>
      <c r="C86" s="287">
        <v>-2721</v>
      </c>
      <c r="D86" s="288">
        <v>-1322</v>
      </c>
    </row>
    <row r="87" spans="1:4" x14ac:dyDescent="0.2">
      <c r="A87" s="137" t="s">
        <v>291</v>
      </c>
      <c r="B87" s="59"/>
      <c r="C87" s="287">
        <v>-3388</v>
      </c>
      <c r="D87" s="288">
        <v>-6109</v>
      </c>
    </row>
    <row r="88" spans="1:4" x14ac:dyDescent="0.2">
      <c r="A88" s="137" t="s">
        <v>292</v>
      </c>
      <c r="B88" s="59"/>
      <c r="C88" s="287">
        <v>440</v>
      </c>
      <c r="D88" s="288">
        <v>3</v>
      </c>
    </row>
    <row r="89" spans="1:4" x14ac:dyDescent="0.2">
      <c r="A89" s="290" t="s">
        <v>293</v>
      </c>
      <c r="B89" s="59"/>
      <c r="C89" s="291">
        <v>-5669</v>
      </c>
      <c r="D89" s="292">
        <v>-7428</v>
      </c>
    </row>
    <row r="90" spans="1:4" x14ac:dyDescent="0.15">
      <c r="A90" s="293" t="s">
        <v>294</v>
      </c>
      <c r="B90" s="59"/>
      <c r="C90" s="285"/>
      <c r="D90" s="286"/>
    </row>
    <row r="91" spans="1:4" x14ac:dyDescent="0.2">
      <c r="A91" s="137" t="s">
        <v>295</v>
      </c>
      <c r="B91" s="59"/>
      <c r="C91" s="287">
        <v>1019</v>
      </c>
      <c r="D91" s="288">
        <v>2168</v>
      </c>
    </row>
    <row r="92" spans="1:4" x14ac:dyDescent="0.2">
      <c r="A92" s="137" t="s">
        <v>296</v>
      </c>
      <c r="B92" s="59"/>
      <c r="C92" s="287">
        <v>-5</v>
      </c>
      <c r="D92" s="288">
        <v>-17</v>
      </c>
    </row>
    <row r="93" spans="1:4" x14ac:dyDescent="0.2">
      <c r="A93" s="137" t="s">
        <v>297</v>
      </c>
      <c r="B93" s="59">
        <v>22</v>
      </c>
      <c r="C93" s="287">
        <v>-33002</v>
      </c>
      <c r="D93" s="288">
        <v>-30370</v>
      </c>
    </row>
    <row r="94" spans="1:4" x14ac:dyDescent="0.2">
      <c r="A94" s="290" t="s">
        <v>298</v>
      </c>
      <c r="B94" s="59"/>
      <c r="C94" s="291">
        <v>-31988</v>
      </c>
      <c r="D94" s="292">
        <v>-28219</v>
      </c>
    </row>
    <row r="95" spans="1:4" ht="18" x14ac:dyDescent="0.15">
      <c r="A95" s="293" t="s">
        <v>299</v>
      </c>
      <c r="B95" s="59"/>
      <c r="C95" s="287">
        <v>10939</v>
      </c>
      <c r="D95" s="288">
        <v>10795</v>
      </c>
    </row>
    <row r="96" spans="1:4" ht="18" x14ac:dyDescent="0.2">
      <c r="A96" s="273" t="s">
        <v>300</v>
      </c>
      <c r="B96" s="59"/>
      <c r="C96" s="287">
        <v>93383</v>
      </c>
      <c r="D96" s="288">
        <v>82588</v>
      </c>
    </row>
    <row r="97" spans="1:8" ht="13.5" thickBot="1" x14ac:dyDescent="0.25">
      <c r="A97" s="274" t="s">
        <v>301</v>
      </c>
      <c r="B97" s="63">
        <v>8</v>
      </c>
      <c r="C97" s="294">
        <v>104322</v>
      </c>
      <c r="D97" s="295">
        <v>93383</v>
      </c>
    </row>
    <row r="98" spans="1:8" ht="13.5" thickBot="1" x14ac:dyDescent="0.25">
      <c r="B98" s="59"/>
      <c r="D98" s="296"/>
    </row>
    <row r="99" spans="1:8" ht="36.75" thickBot="1" x14ac:dyDescent="0.2">
      <c r="A99" s="54" t="s">
        <v>82</v>
      </c>
      <c r="B99" s="55" t="s">
        <v>83</v>
      </c>
      <c r="C99" s="297" t="s">
        <v>84</v>
      </c>
      <c r="D99" s="297" t="s">
        <v>85</v>
      </c>
      <c r="E99" s="56" t="s">
        <v>86</v>
      </c>
      <c r="F99" s="56" t="s">
        <v>87</v>
      </c>
      <c r="G99" s="56" t="s">
        <v>88</v>
      </c>
      <c r="H99" s="57" t="s">
        <v>89</v>
      </c>
    </row>
    <row r="100" spans="1:8" x14ac:dyDescent="0.2">
      <c r="A100" s="290" t="s">
        <v>302</v>
      </c>
      <c r="B100" s="59"/>
      <c r="C100" s="263">
        <v>32152</v>
      </c>
      <c r="D100" s="263">
        <v>90681</v>
      </c>
      <c r="E100" s="298">
        <v>15775</v>
      </c>
      <c r="F100" s="299">
        <v>-728</v>
      </c>
      <c r="G100" s="298">
        <v>19640</v>
      </c>
      <c r="H100" s="300">
        <v>157520</v>
      </c>
    </row>
    <row r="101" spans="1:8" x14ac:dyDescent="0.2">
      <c r="A101" s="137" t="s">
        <v>90</v>
      </c>
      <c r="B101" s="59"/>
      <c r="C101" s="268" t="s">
        <v>91</v>
      </c>
      <c r="D101" s="268" t="s">
        <v>91</v>
      </c>
      <c r="E101" s="301" t="s">
        <v>91</v>
      </c>
      <c r="F101" s="302">
        <v>348</v>
      </c>
      <c r="G101" s="301" t="s">
        <v>91</v>
      </c>
      <c r="H101" s="303">
        <v>348</v>
      </c>
    </row>
    <row r="102" spans="1:8" x14ac:dyDescent="0.2">
      <c r="A102" s="137" t="s">
        <v>92</v>
      </c>
      <c r="B102" s="59"/>
      <c r="C102" s="268" t="s">
        <v>91</v>
      </c>
      <c r="D102" s="235">
        <v>50980</v>
      </c>
      <c r="E102" s="301" t="s">
        <v>91</v>
      </c>
      <c r="F102" s="301" t="s">
        <v>91</v>
      </c>
      <c r="G102" s="301" t="s">
        <v>91</v>
      </c>
      <c r="H102" s="304">
        <v>50980</v>
      </c>
    </row>
    <row r="103" spans="1:8" x14ac:dyDescent="0.2">
      <c r="A103" s="290" t="s">
        <v>93</v>
      </c>
      <c r="B103" s="59"/>
      <c r="C103" s="305" t="s">
        <v>94</v>
      </c>
      <c r="D103" s="263">
        <v>50980</v>
      </c>
      <c r="E103" s="306" t="s">
        <v>94</v>
      </c>
      <c r="F103" s="307">
        <v>348</v>
      </c>
      <c r="G103" s="306" t="s">
        <v>94</v>
      </c>
      <c r="H103" s="308">
        <v>51328</v>
      </c>
    </row>
    <row r="104" spans="1:8" x14ac:dyDescent="0.15">
      <c r="A104" s="134" t="s">
        <v>95</v>
      </c>
      <c r="B104" s="59">
        <v>22</v>
      </c>
      <c r="C104" s="309" t="s">
        <v>91</v>
      </c>
      <c r="D104" s="309" t="s">
        <v>91</v>
      </c>
      <c r="E104" s="310">
        <v>-33002</v>
      </c>
      <c r="F104" s="311" t="s">
        <v>91</v>
      </c>
      <c r="G104" s="311" t="s">
        <v>91</v>
      </c>
      <c r="H104" s="312">
        <v>-33002</v>
      </c>
    </row>
    <row r="105" spans="1:8" x14ac:dyDescent="0.2">
      <c r="A105" s="137" t="s">
        <v>96</v>
      </c>
      <c r="B105" s="59"/>
      <c r="C105" s="268" t="s">
        <v>91</v>
      </c>
      <c r="D105" s="313">
        <v>-25843</v>
      </c>
      <c r="E105" s="314">
        <v>25843</v>
      </c>
      <c r="F105" s="301" t="s">
        <v>91</v>
      </c>
      <c r="G105" s="301" t="s">
        <v>91</v>
      </c>
      <c r="H105" s="315" t="s">
        <v>91</v>
      </c>
    </row>
    <row r="106" spans="1:8" x14ac:dyDescent="0.2">
      <c r="A106" s="137" t="s">
        <v>97</v>
      </c>
      <c r="B106" s="59">
        <v>20</v>
      </c>
      <c r="C106" s="235">
        <v>1019</v>
      </c>
      <c r="D106" s="268" t="s">
        <v>91</v>
      </c>
      <c r="E106" s="301" t="s">
        <v>91</v>
      </c>
      <c r="F106" s="301" t="s">
        <v>91</v>
      </c>
      <c r="G106" s="301" t="s">
        <v>91</v>
      </c>
      <c r="H106" s="304">
        <v>1019</v>
      </c>
    </row>
    <row r="107" spans="1:8" x14ac:dyDescent="0.2">
      <c r="A107" s="137" t="s">
        <v>98</v>
      </c>
      <c r="B107" s="59">
        <v>32</v>
      </c>
      <c r="C107" s="268" t="s">
        <v>91</v>
      </c>
      <c r="D107" s="268" t="s">
        <v>91</v>
      </c>
      <c r="E107" s="301" t="s">
        <v>91</v>
      </c>
      <c r="F107" s="301" t="s">
        <v>91</v>
      </c>
      <c r="G107" s="314">
        <v>1595</v>
      </c>
      <c r="H107" s="304">
        <v>1595</v>
      </c>
    </row>
    <row r="108" spans="1:8" x14ac:dyDescent="0.2">
      <c r="A108" s="137" t="s">
        <v>99</v>
      </c>
      <c r="B108" s="59"/>
      <c r="C108" s="268" t="s">
        <v>91</v>
      </c>
      <c r="D108" s="268" t="s">
        <v>91</v>
      </c>
      <c r="E108" s="301" t="s">
        <v>91</v>
      </c>
      <c r="F108" s="301" t="s">
        <v>91</v>
      </c>
      <c r="G108" s="314">
        <v>1059</v>
      </c>
      <c r="H108" s="304">
        <v>1059</v>
      </c>
    </row>
    <row r="109" spans="1:8" x14ac:dyDescent="0.2">
      <c r="A109" s="62"/>
      <c r="B109" s="59"/>
      <c r="C109" s="235">
        <v>1019</v>
      </c>
      <c r="D109" s="313">
        <v>-25843</v>
      </c>
      <c r="E109" s="316">
        <v>-7160</v>
      </c>
      <c r="F109" s="301" t="s">
        <v>91</v>
      </c>
      <c r="G109" s="314">
        <v>2654</v>
      </c>
      <c r="H109" s="317">
        <v>-29329</v>
      </c>
    </row>
    <row r="110" spans="1:8" x14ac:dyDescent="0.2">
      <c r="A110" s="290" t="s">
        <v>303</v>
      </c>
      <c r="B110" s="59"/>
      <c r="C110" s="263">
        <v>33171</v>
      </c>
      <c r="D110" s="263">
        <v>115818</v>
      </c>
      <c r="E110" s="318">
        <v>8616</v>
      </c>
      <c r="F110" s="319">
        <v>-380</v>
      </c>
      <c r="G110" s="318">
        <v>22294</v>
      </c>
      <c r="H110" s="308">
        <v>179519</v>
      </c>
    </row>
    <row r="111" spans="1:8" x14ac:dyDescent="0.2">
      <c r="A111" s="62"/>
      <c r="B111" s="59"/>
      <c r="C111" s="256"/>
      <c r="D111" s="256"/>
      <c r="E111" s="37"/>
      <c r="F111" s="37"/>
      <c r="G111" s="37"/>
      <c r="H111" s="320"/>
    </row>
    <row r="112" spans="1:8" x14ac:dyDescent="0.2">
      <c r="A112" s="290" t="s">
        <v>304</v>
      </c>
      <c r="B112" s="59"/>
      <c r="C112" s="263">
        <v>29984</v>
      </c>
      <c r="D112" s="263">
        <v>70160</v>
      </c>
      <c r="E112" s="318">
        <v>22172</v>
      </c>
      <c r="F112" s="319">
        <v>-561</v>
      </c>
      <c r="G112" s="318">
        <v>16739</v>
      </c>
      <c r="H112" s="308">
        <v>138494</v>
      </c>
    </row>
    <row r="113" spans="1:8" x14ac:dyDescent="0.2">
      <c r="A113" s="137" t="s">
        <v>90</v>
      </c>
      <c r="B113" s="59"/>
      <c r="C113" s="268" t="s">
        <v>91</v>
      </c>
      <c r="D113" s="268" t="s">
        <v>91</v>
      </c>
      <c r="E113" s="301" t="s">
        <v>91</v>
      </c>
      <c r="F113" s="321">
        <v>-167</v>
      </c>
      <c r="G113" s="301" t="s">
        <v>91</v>
      </c>
      <c r="H113" s="322">
        <v>-167</v>
      </c>
    </row>
    <row r="114" spans="1:8" x14ac:dyDescent="0.2">
      <c r="A114" s="137" t="s">
        <v>92</v>
      </c>
      <c r="B114" s="59"/>
      <c r="C114" s="268" t="s">
        <v>91</v>
      </c>
      <c r="D114" s="235">
        <v>44494</v>
      </c>
      <c r="E114" s="301" t="s">
        <v>91</v>
      </c>
      <c r="F114" s="301" t="s">
        <v>91</v>
      </c>
      <c r="G114" s="301" t="s">
        <v>91</v>
      </c>
      <c r="H114" s="304">
        <v>44494</v>
      </c>
    </row>
    <row r="115" spans="1:8" x14ac:dyDescent="0.2">
      <c r="A115" s="290" t="s">
        <v>93</v>
      </c>
      <c r="B115" s="59"/>
      <c r="C115" s="305" t="s">
        <v>94</v>
      </c>
      <c r="D115" s="263">
        <v>44494</v>
      </c>
      <c r="E115" s="306" t="s">
        <v>94</v>
      </c>
      <c r="F115" s="319">
        <v>-167</v>
      </c>
      <c r="G115" s="306" t="s">
        <v>94</v>
      </c>
      <c r="H115" s="308">
        <v>44327</v>
      </c>
    </row>
    <row r="116" spans="1:8" x14ac:dyDescent="0.15">
      <c r="A116" s="134" t="s">
        <v>95</v>
      </c>
      <c r="B116" s="59">
        <v>22</v>
      </c>
      <c r="C116" s="309" t="s">
        <v>91</v>
      </c>
      <c r="D116" s="309" t="s">
        <v>91</v>
      </c>
      <c r="E116" s="310">
        <v>-30370</v>
      </c>
      <c r="F116" s="311" t="s">
        <v>91</v>
      </c>
      <c r="G116" s="311" t="s">
        <v>91</v>
      </c>
      <c r="H116" s="312">
        <v>-30370</v>
      </c>
    </row>
    <row r="117" spans="1:8" x14ac:dyDescent="0.2">
      <c r="A117" s="137" t="s">
        <v>96</v>
      </c>
      <c r="B117" s="59"/>
      <c r="C117" s="268" t="s">
        <v>91</v>
      </c>
      <c r="D117" s="313">
        <v>-23973</v>
      </c>
      <c r="E117" s="314">
        <v>23973</v>
      </c>
      <c r="F117" s="301" t="s">
        <v>91</v>
      </c>
      <c r="G117" s="301" t="s">
        <v>91</v>
      </c>
      <c r="H117" s="315" t="s">
        <v>91</v>
      </c>
    </row>
    <row r="118" spans="1:8" x14ac:dyDescent="0.2">
      <c r="A118" s="137" t="s">
        <v>97</v>
      </c>
      <c r="B118" s="59">
        <v>20</v>
      </c>
      <c r="C118" s="235">
        <v>2168</v>
      </c>
      <c r="D118" s="268" t="s">
        <v>91</v>
      </c>
      <c r="E118" s="301" t="s">
        <v>91</v>
      </c>
      <c r="F118" s="301" t="s">
        <v>91</v>
      </c>
      <c r="G118" s="301" t="s">
        <v>91</v>
      </c>
      <c r="H118" s="304">
        <v>2168</v>
      </c>
    </row>
    <row r="119" spans="1:8" x14ac:dyDescent="0.2">
      <c r="A119" s="137" t="s">
        <v>100</v>
      </c>
      <c r="B119" s="59">
        <v>32</v>
      </c>
      <c r="C119" s="268" t="s">
        <v>91</v>
      </c>
      <c r="D119" s="268" t="s">
        <v>91</v>
      </c>
      <c r="E119" s="301" t="s">
        <v>91</v>
      </c>
      <c r="F119" s="301" t="s">
        <v>91</v>
      </c>
      <c r="G119" s="314">
        <v>1576</v>
      </c>
      <c r="H119" s="304">
        <v>1576</v>
      </c>
    </row>
    <row r="120" spans="1:8" x14ac:dyDescent="0.2">
      <c r="A120" s="137" t="s">
        <v>99</v>
      </c>
      <c r="B120" s="59"/>
      <c r="C120" s="268" t="s">
        <v>91</v>
      </c>
      <c r="D120" s="268" t="s">
        <v>91</v>
      </c>
      <c r="E120" s="301" t="s">
        <v>91</v>
      </c>
      <c r="F120" s="301" t="s">
        <v>91</v>
      </c>
      <c r="G120" s="314">
        <v>1325</v>
      </c>
      <c r="H120" s="304">
        <v>1325</v>
      </c>
    </row>
    <row r="121" spans="1:8" x14ac:dyDescent="0.2">
      <c r="A121" s="62"/>
      <c r="B121" s="59"/>
      <c r="C121" s="235">
        <v>2168</v>
      </c>
      <c r="D121" s="313">
        <v>-23973</v>
      </c>
      <c r="E121" s="316">
        <v>-6397</v>
      </c>
      <c r="F121" s="301" t="s">
        <v>91</v>
      </c>
      <c r="G121" s="314">
        <v>2901</v>
      </c>
      <c r="H121" s="317">
        <v>-25301</v>
      </c>
    </row>
    <row r="122" spans="1:8" ht="13.5" thickBot="1" x14ac:dyDescent="0.25">
      <c r="A122" s="274" t="s">
        <v>305</v>
      </c>
      <c r="B122" s="63"/>
      <c r="C122" s="275">
        <v>32152</v>
      </c>
      <c r="D122" s="275">
        <v>90681</v>
      </c>
      <c r="E122" s="323">
        <v>15775</v>
      </c>
      <c r="F122" s="324">
        <v>-728</v>
      </c>
      <c r="G122" s="323">
        <v>19640</v>
      </c>
      <c r="H122" s="325">
        <v>157520</v>
      </c>
    </row>
    <row r="143" spans="1:9" x14ac:dyDescent="0.2">
      <c r="A143" s="269"/>
      <c r="B143" s="269"/>
      <c r="C143" s="327"/>
      <c r="D143" s="327"/>
      <c r="E143" s="269"/>
      <c r="F143" s="269"/>
      <c r="G143" s="269"/>
      <c r="H143" s="269"/>
      <c r="I143" s="26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9"/>
  <sheetViews>
    <sheetView topLeftCell="A16" zoomScale="115" zoomScaleNormal="115" workbookViewId="0">
      <selection activeCell="A119" sqref="A119"/>
    </sheetView>
  </sheetViews>
  <sheetFormatPr defaultRowHeight="12.75" x14ac:dyDescent="0.2"/>
  <cols>
    <col min="1" max="1" width="51.33203125" customWidth="1"/>
    <col min="2" max="2" width="9.33203125" customWidth="1"/>
    <col min="3" max="3" width="9.83203125" bestFit="1" customWidth="1"/>
    <col min="4" max="4" width="13.33203125" style="393" customWidth="1"/>
    <col min="5" max="5" width="16.5" customWidth="1"/>
    <col min="6" max="6" width="12.83203125" customWidth="1"/>
    <col min="7" max="7" width="12.1640625" bestFit="1" customWidth="1"/>
    <col min="8" max="8" width="10.83203125" customWidth="1"/>
  </cols>
  <sheetData>
    <row r="1" spans="1:8" ht="25.5" x14ac:dyDescent="0.2">
      <c r="A1" s="328" t="s">
        <v>306</v>
      </c>
      <c r="B1" s="329"/>
      <c r="C1" s="329"/>
      <c r="D1" s="330" t="s">
        <v>307</v>
      </c>
      <c r="E1" s="266"/>
      <c r="F1" s="266"/>
      <c r="G1" s="266"/>
      <c r="H1" s="266"/>
    </row>
    <row r="2" spans="1:8" x14ac:dyDescent="0.2">
      <c r="A2" s="160"/>
      <c r="B2" s="331" t="s">
        <v>308</v>
      </c>
      <c r="C2" s="332">
        <v>2019</v>
      </c>
      <c r="D2" s="333">
        <v>2018</v>
      </c>
      <c r="E2" s="334"/>
      <c r="F2" s="334"/>
      <c r="G2" s="334"/>
      <c r="H2" s="334"/>
    </row>
    <row r="3" spans="1:8" x14ac:dyDescent="0.2">
      <c r="A3" s="265"/>
      <c r="B3" s="266"/>
      <c r="C3" s="335" t="s">
        <v>309</v>
      </c>
      <c r="D3" s="336" t="s">
        <v>310</v>
      </c>
      <c r="E3" s="337"/>
      <c r="H3" s="401"/>
    </row>
    <row r="4" spans="1:8" x14ac:dyDescent="0.2">
      <c r="A4" s="338" t="s">
        <v>311</v>
      </c>
      <c r="B4" s="339">
        <v>5</v>
      </c>
      <c r="C4" s="340">
        <v>284994</v>
      </c>
      <c r="D4" s="341">
        <v>252989</v>
      </c>
    </row>
    <row r="5" spans="1:8" x14ac:dyDescent="0.15">
      <c r="A5" s="342" t="s">
        <v>312</v>
      </c>
      <c r="B5" s="29"/>
      <c r="C5" s="343">
        <v>-22011</v>
      </c>
      <c r="D5" s="344">
        <v>-24512</v>
      </c>
    </row>
    <row r="6" spans="1:8" x14ac:dyDescent="0.2">
      <c r="A6" s="258" t="s">
        <v>313</v>
      </c>
      <c r="B6" s="37"/>
      <c r="C6" s="345">
        <v>-16965</v>
      </c>
      <c r="D6" s="346">
        <v>-11884</v>
      </c>
    </row>
    <row r="7" spans="1:8" x14ac:dyDescent="0.2">
      <c r="A7" s="338" t="s">
        <v>314</v>
      </c>
      <c r="B7" s="347"/>
      <c r="C7" s="348">
        <v>-38976</v>
      </c>
      <c r="D7" s="349">
        <v>-36396</v>
      </c>
    </row>
    <row r="8" spans="1:8" x14ac:dyDescent="0.15">
      <c r="A8" s="342" t="s">
        <v>315</v>
      </c>
      <c r="B8" s="29"/>
      <c r="C8" s="343">
        <v>-10808</v>
      </c>
      <c r="D8" s="344">
        <v>-9588</v>
      </c>
    </row>
    <row r="9" spans="1:8" x14ac:dyDescent="0.2">
      <c r="A9" s="258" t="s">
        <v>316</v>
      </c>
      <c r="B9" s="37"/>
      <c r="C9" s="345">
        <v>-17285</v>
      </c>
      <c r="D9" s="346">
        <v>-18951</v>
      </c>
    </row>
    <row r="10" spans="1:8" x14ac:dyDescent="0.2">
      <c r="A10" s="258" t="s">
        <v>317</v>
      </c>
      <c r="B10" s="350">
        <v>6</v>
      </c>
      <c r="C10" s="345">
        <v>-6127</v>
      </c>
      <c r="D10" s="346">
        <v>-5102</v>
      </c>
    </row>
    <row r="11" spans="1:8" x14ac:dyDescent="0.2">
      <c r="A11" s="258" t="s">
        <v>318</v>
      </c>
      <c r="B11" s="37"/>
      <c r="C11" s="345">
        <v>-10744</v>
      </c>
      <c r="D11" s="346">
        <v>-10339</v>
      </c>
    </row>
    <row r="12" spans="1:8" x14ac:dyDescent="0.2">
      <c r="A12" s="258" t="s">
        <v>319</v>
      </c>
      <c r="B12" s="37"/>
      <c r="C12" s="345">
        <v>-6252</v>
      </c>
      <c r="D12" s="346">
        <v>-4068</v>
      </c>
    </row>
    <row r="13" spans="1:8" x14ac:dyDescent="0.2">
      <c r="A13" s="258" t="s">
        <v>320</v>
      </c>
      <c r="B13" s="37"/>
      <c r="C13" s="345">
        <v>-117817</v>
      </c>
      <c r="D13" s="346">
        <v>-143240</v>
      </c>
    </row>
    <row r="14" spans="1:8" x14ac:dyDescent="0.2">
      <c r="A14" s="258" t="s">
        <v>321</v>
      </c>
      <c r="B14" s="37"/>
      <c r="C14" s="345">
        <v>-2018</v>
      </c>
      <c r="D14" s="346">
        <v>-1595</v>
      </c>
    </row>
    <row r="15" spans="1:8" x14ac:dyDescent="0.2">
      <c r="A15" s="258" t="s">
        <v>322</v>
      </c>
      <c r="B15" s="37"/>
      <c r="C15" s="351">
        <v>-24</v>
      </c>
      <c r="D15" s="352">
        <v>-395</v>
      </c>
    </row>
    <row r="16" spans="1:8" x14ac:dyDescent="0.2">
      <c r="A16" s="338" t="s">
        <v>323</v>
      </c>
      <c r="B16" s="347"/>
      <c r="C16" s="348">
        <v>-171075</v>
      </c>
      <c r="D16" s="349">
        <v>-193278</v>
      </c>
    </row>
    <row r="17" spans="1:4" x14ac:dyDescent="0.2">
      <c r="A17" s="258" t="s">
        <v>324</v>
      </c>
      <c r="B17" s="301" t="s">
        <v>325</v>
      </c>
      <c r="C17" s="353">
        <v>1446</v>
      </c>
      <c r="D17" s="354">
        <v>1502</v>
      </c>
    </row>
    <row r="18" spans="1:4" x14ac:dyDescent="0.2">
      <c r="A18" s="338" t="s">
        <v>326</v>
      </c>
      <c r="B18" s="339">
        <v>7</v>
      </c>
      <c r="C18" s="340">
        <v>76389</v>
      </c>
      <c r="D18" s="341">
        <v>24817</v>
      </c>
    </row>
    <row r="19" spans="1:4" x14ac:dyDescent="0.2">
      <c r="A19" s="258" t="s">
        <v>327</v>
      </c>
      <c r="B19" s="350">
        <v>7</v>
      </c>
      <c r="C19" s="345">
        <v>-17930</v>
      </c>
      <c r="D19" s="346">
        <v>-3126</v>
      </c>
    </row>
    <row r="20" spans="1:4" x14ac:dyDescent="0.2">
      <c r="A20" s="338" t="s">
        <v>328</v>
      </c>
      <c r="B20" s="347"/>
      <c r="C20" s="340">
        <v>58459</v>
      </c>
      <c r="D20" s="341">
        <v>21691</v>
      </c>
    </row>
    <row r="21" spans="1:4" x14ac:dyDescent="0.15">
      <c r="A21" s="355"/>
      <c r="B21" s="29"/>
      <c r="C21" s="356" t="s">
        <v>329</v>
      </c>
      <c r="D21" s="357" t="s">
        <v>329</v>
      </c>
    </row>
    <row r="22" spans="1:4" x14ac:dyDescent="0.2">
      <c r="A22" s="258" t="s">
        <v>330</v>
      </c>
      <c r="B22" s="350">
        <v>33</v>
      </c>
      <c r="C22" s="358">
        <v>18.43</v>
      </c>
      <c r="D22" s="359">
        <v>6.87</v>
      </c>
    </row>
    <row r="23" spans="1:4" x14ac:dyDescent="0.2">
      <c r="A23" s="258" t="s">
        <v>331</v>
      </c>
      <c r="B23" s="350">
        <v>33</v>
      </c>
      <c r="C23" s="358">
        <v>18.3</v>
      </c>
      <c r="D23" s="359">
        <v>6.85</v>
      </c>
    </row>
    <row r="24" spans="1:4" ht="25.5" x14ac:dyDescent="0.2">
      <c r="A24" s="252" t="s">
        <v>332</v>
      </c>
      <c r="B24" s="256"/>
      <c r="C24" s="253" t="s">
        <v>333</v>
      </c>
      <c r="D24" s="360" t="s">
        <v>334</v>
      </c>
    </row>
    <row r="25" spans="1:4" x14ac:dyDescent="0.2">
      <c r="A25" s="338" t="s">
        <v>328</v>
      </c>
      <c r="B25" s="361"/>
      <c r="C25" s="362">
        <v>58459</v>
      </c>
      <c r="D25" s="341">
        <v>21691</v>
      </c>
    </row>
    <row r="26" spans="1:4" x14ac:dyDescent="0.2">
      <c r="A26" s="363" t="s">
        <v>335</v>
      </c>
      <c r="B26" s="331"/>
      <c r="C26" s="331"/>
      <c r="D26" s="336"/>
    </row>
    <row r="27" spans="1:4" ht="18" x14ac:dyDescent="0.2">
      <c r="A27" s="355" t="s">
        <v>336</v>
      </c>
      <c r="B27" s="253"/>
      <c r="C27" s="364">
        <v>1199</v>
      </c>
      <c r="D27" s="365">
        <v>1379</v>
      </c>
    </row>
    <row r="28" spans="1:4" x14ac:dyDescent="0.2">
      <c r="A28" s="363" t="s">
        <v>337</v>
      </c>
      <c r="B28" s="331"/>
      <c r="C28" s="366">
        <v>1199</v>
      </c>
      <c r="D28" s="367">
        <v>1379</v>
      </c>
    </row>
    <row r="29" spans="1:4" ht="13.5" thickBot="1" x14ac:dyDescent="0.25">
      <c r="A29" s="368" t="s">
        <v>338</v>
      </c>
      <c r="B29" s="369"/>
      <c r="C29" s="370">
        <v>59658</v>
      </c>
      <c r="D29" s="371">
        <v>23070</v>
      </c>
    </row>
    <row r="30" spans="1:4" x14ac:dyDescent="0.2">
      <c r="A30" s="256"/>
      <c r="B30" s="256"/>
      <c r="C30" s="256"/>
      <c r="D30" s="37"/>
    </row>
    <row r="31" spans="1:4" x14ac:dyDescent="0.2">
      <c r="A31" s="372"/>
      <c r="B31" s="372"/>
      <c r="C31" s="372"/>
      <c r="D31" s="373"/>
    </row>
    <row r="32" spans="1:4" ht="13.5" thickBot="1" x14ac:dyDescent="0.25">
      <c r="B32" s="1"/>
      <c r="C32" s="1"/>
      <c r="D32" s="29"/>
    </row>
    <row r="33" spans="1:4" ht="15" x14ac:dyDescent="0.2">
      <c r="A33" s="374" t="s">
        <v>339</v>
      </c>
      <c r="B33" s="329"/>
      <c r="C33" s="329"/>
      <c r="D33" s="375"/>
    </row>
    <row r="34" spans="1:4" x14ac:dyDescent="0.2">
      <c r="A34" s="160"/>
      <c r="B34" s="334"/>
      <c r="C34" s="334">
        <v>2019</v>
      </c>
      <c r="D34" s="333">
        <v>2018</v>
      </c>
    </row>
    <row r="35" spans="1:4" x14ac:dyDescent="0.2">
      <c r="A35" s="265"/>
      <c r="B35" s="331" t="s">
        <v>308</v>
      </c>
      <c r="C35" s="331" t="s">
        <v>310</v>
      </c>
      <c r="D35" s="336" t="s">
        <v>310</v>
      </c>
    </row>
    <row r="36" spans="1:4" x14ac:dyDescent="0.2">
      <c r="A36" s="338" t="s">
        <v>340</v>
      </c>
      <c r="B36" s="376"/>
      <c r="C36" s="376"/>
      <c r="D36" s="377"/>
    </row>
    <row r="37" spans="1:4" x14ac:dyDescent="0.2">
      <c r="A37" s="363" t="s">
        <v>341</v>
      </c>
      <c r="B37" s="256"/>
      <c r="C37" s="256"/>
      <c r="D37" s="320"/>
    </row>
    <row r="38" spans="1:4" x14ac:dyDescent="0.2">
      <c r="A38" s="258" t="s">
        <v>342</v>
      </c>
      <c r="B38" s="378">
        <v>8</v>
      </c>
      <c r="C38" s="379">
        <v>105046</v>
      </c>
      <c r="D38" s="354">
        <v>104322</v>
      </c>
    </row>
    <row r="39" spans="1:4" x14ac:dyDescent="0.2">
      <c r="A39" s="258" t="s">
        <v>343</v>
      </c>
      <c r="B39" s="256"/>
      <c r="C39" s="379">
        <v>12810</v>
      </c>
      <c r="D39" s="354">
        <v>10852</v>
      </c>
    </row>
    <row r="40" spans="1:4" x14ac:dyDescent="0.2">
      <c r="A40" s="258" t="s">
        <v>344</v>
      </c>
      <c r="B40" s="378">
        <v>9</v>
      </c>
      <c r="C40" s="379">
        <v>49032</v>
      </c>
      <c r="D40" s="354">
        <v>59554</v>
      </c>
    </row>
    <row r="41" spans="1:4" x14ac:dyDescent="0.2">
      <c r="A41" s="258" t="s">
        <v>345</v>
      </c>
      <c r="B41" s="378">
        <v>10</v>
      </c>
      <c r="C41" s="379">
        <v>24607</v>
      </c>
      <c r="D41" s="354">
        <v>1879</v>
      </c>
    </row>
    <row r="42" spans="1:4" x14ac:dyDescent="0.2">
      <c r="A42" s="258" t="s">
        <v>346</v>
      </c>
      <c r="B42" s="378">
        <v>11</v>
      </c>
      <c r="C42" s="378">
        <v>463</v>
      </c>
      <c r="D42" s="380">
        <v>959</v>
      </c>
    </row>
    <row r="43" spans="1:4" x14ac:dyDescent="0.2">
      <c r="A43" s="258" t="s">
        <v>347</v>
      </c>
      <c r="B43" s="256"/>
      <c r="C43" s="379">
        <v>6783</v>
      </c>
      <c r="D43" s="354">
        <v>1574</v>
      </c>
    </row>
    <row r="44" spans="1:4" x14ac:dyDescent="0.2">
      <c r="A44" s="258" t="s">
        <v>348</v>
      </c>
      <c r="B44" s="381">
        <v>13</v>
      </c>
      <c r="C44" s="379">
        <v>2104</v>
      </c>
      <c r="D44" s="354">
        <v>1357</v>
      </c>
    </row>
    <row r="45" spans="1:4" x14ac:dyDescent="0.2">
      <c r="A45" s="338" t="s">
        <v>349</v>
      </c>
      <c r="B45" s="376"/>
      <c r="C45" s="362">
        <v>200845</v>
      </c>
      <c r="D45" s="341">
        <v>180497</v>
      </c>
    </row>
    <row r="46" spans="1:4" x14ac:dyDescent="0.2">
      <c r="A46" s="363" t="s">
        <v>350</v>
      </c>
      <c r="B46" s="256"/>
      <c r="C46" s="256"/>
      <c r="D46" s="320"/>
    </row>
    <row r="47" spans="1:4" x14ac:dyDescent="0.2">
      <c r="A47" s="258" t="s">
        <v>351</v>
      </c>
      <c r="B47" s="378">
        <v>12</v>
      </c>
      <c r="C47" s="379">
        <v>10900</v>
      </c>
      <c r="D47" s="354">
        <v>12280</v>
      </c>
    </row>
    <row r="48" spans="1:4" x14ac:dyDescent="0.2">
      <c r="A48" s="258" t="s">
        <v>352</v>
      </c>
      <c r="B48" s="378">
        <v>13</v>
      </c>
      <c r="C48" s="379">
        <v>37521</v>
      </c>
      <c r="D48" s="354">
        <v>45011</v>
      </c>
    </row>
    <row r="49" spans="1:4" x14ac:dyDescent="0.2">
      <c r="A49" s="258" t="s">
        <v>353</v>
      </c>
      <c r="B49" s="378">
        <v>13</v>
      </c>
      <c r="C49" s="379">
        <v>31590</v>
      </c>
      <c r="D49" s="315" t="s">
        <v>354</v>
      </c>
    </row>
    <row r="50" spans="1:4" x14ac:dyDescent="0.2">
      <c r="A50" s="258" t="s">
        <v>345</v>
      </c>
      <c r="B50" s="378">
        <v>10</v>
      </c>
      <c r="C50" s="268" t="s">
        <v>354</v>
      </c>
      <c r="D50" s="380">
        <v>245</v>
      </c>
    </row>
    <row r="51" spans="1:4" x14ac:dyDescent="0.2">
      <c r="A51" s="258" t="s">
        <v>355</v>
      </c>
      <c r="B51" s="378">
        <v>14</v>
      </c>
      <c r="C51" s="379">
        <v>32153</v>
      </c>
      <c r="D51" s="354">
        <v>42278</v>
      </c>
    </row>
    <row r="52" spans="1:4" x14ac:dyDescent="0.2">
      <c r="A52" s="258" t="s">
        <v>348</v>
      </c>
      <c r="B52" s="378">
        <v>13</v>
      </c>
      <c r="C52" s="379">
        <v>5415</v>
      </c>
      <c r="D52" s="354">
        <v>4000</v>
      </c>
    </row>
    <row r="53" spans="1:4" x14ac:dyDescent="0.2">
      <c r="A53" s="338" t="s">
        <v>356</v>
      </c>
      <c r="B53" s="376"/>
      <c r="C53" s="362">
        <v>117579</v>
      </c>
      <c r="D53" s="341">
        <v>103814</v>
      </c>
    </row>
    <row r="54" spans="1:4" x14ac:dyDescent="0.2">
      <c r="A54" s="265"/>
      <c r="B54" s="266"/>
      <c r="C54" s="266"/>
      <c r="D54" s="382"/>
    </row>
    <row r="55" spans="1:4" x14ac:dyDescent="0.2">
      <c r="A55" s="338" t="s">
        <v>357</v>
      </c>
      <c r="B55" s="376"/>
      <c r="C55" s="362">
        <v>318424</v>
      </c>
      <c r="D55" s="341">
        <v>284311</v>
      </c>
    </row>
    <row r="56" spans="1:4" x14ac:dyDescent="0.2">
      <c r="A56" s="363" t="s">
        <v>358</v>
      </c>
      <c r="B56" s="266"/>
      <c r="C56" s="266"/>
      <c r="D56" s="382"/>
    </row>
    <row r="57" spans="1:4" x14ac:dyDescent="0.2">
      <c r="A57" s="363" t="s">
        <v>359</v>
      </c>
      <c r="B57" s="256"/>
      <c r="C57" s="256"/>
      <c r="D57" s="320"/>
    </row>
    <row r="58" spans="1:4" x14ac:dyDescent="0.2">
      <c r="A58" s="258" t="s">
        <v>360</v>
      </c>
      <c r="B58" s="378">
        <v>15</v>
      </c>
      <c r="C58" s="379">
        <v>47290</v>
      </c>
      <c r="D58" s="354">
        <v>52617</v>
      </c>
    </row>
    <row r="59" spans="1:4" x14ac:dyDescent="0.2">
      <c r="A59" s="258" t="s">
        <v>361</v>
      </c>
      <c r="B59" s="378">
        <v>16</v>
      </c>
      <c r="C59" s="379">
        <v>12261</v>
      </c>
      <c r="D59" s="354">
        <v>13257</v>
      </c>
    </row>
    <row r="60" spans="1:4" x14ac:dyDescent="0.2">
      <c r="A60" s="258" t="s">
        <v>362</v>
      </c>
      <c r="B60" s="378">
        <v>17</v>
      </c>
      <c r="C60" s="379">
        <v>147558</v>
      </c>
      <c r="D60" s="354">
        <v>136557</v>
      </c>
    </row>
    <row r="61" spans="1:4" x14ac:dyDescent="0.2">
      <c r="A61" s="258" t="s">
        <v>363</v>
      </c>
      <c r="B61" s="378">
        <v>18</v>
      </c>
      <c r="C61" s="378">
        <v>5</v>
      </c>
      <c r="D61" s="380">
        <v>5</v>
      </c>
    </row>
    <row r="62" spans="1:4" x14ac:dyDescent="0.2">
      <c r="A62" s="338" t="s">
        <v>364</v>
      </c>
      <c r="B62" s="376"/>
      <c r="C62" s="362">
        <v>207114</v>
      </c>
      <c r="D62" s="341">
        <v>202436</v>
      </c>
    </row>
    <row r="63" spans="1:4" x14ac:dyDescent="0.2">
      <c r="A63" s="363" t="s">
        <v>365</v>
      </c>
      <c r="B63" s="266"/>
      <c r="C63" s="266"/>
      <c r="D63" s="382"/>
    </row>
    <row r="64" spans="1:4" x14ac:dyDescent="0.2">
      <c r="A64" s="258" t="s">
        <v>361</v>
      </c>
      <c r="B64" s="378">
        <v>19</v>
      </c>
      <c r="C64" s="379">
        <v>3616</v>
      </c>
      <c r="D64" s="354">
        <v>3144</v>
      </c>
    </row>
    <row r="65" spans="1:4" x14ac:dyDescent="0.2">
      <c r="A65" s="258" t="s">
        <v>366</v>
      </c>
      <c r="B65" s="378">
        <v>20</v>
      </c>
      <c r="C65" s="378">
        <v>837</v>
      </c>
      <c r="D65" s="354">
        <v>1241</v>
      </c>
    </row>
    <row r="66" spans="1:4" x14ac:dyDescent="0.2">
      <c r="A66" s="338" t="s">
        <v>367</v>
      </c>
      <c r="B66" s="376"/>
      <c r="C66" s="362">
        <v>4453</v>
      </c>
      <c r="D66" s="341">
        <v>4385</v>
      </c>
    </row>
    <row r="67" spans="1:4" x14ac:dyDescent="0.2">
      <c r="A67" s="265"/>
      <c r="B67" s="266"/>
      <c r="C67" s="266"/>
      <c r="D67" s="382"/>
    </row>
    <row r="68" spans="1:4" x14ac:dyDescent="0.2">
      <c r="A68" s="338" t="s">
        <v>368</v>
      </c>
      <c r="B68" s="376"/>
      <c r="C68" s="362">
        <v>211567</v>
      </c>
      <c r="D68" s="341">
        <v>206821</v>
      </c>
    </row>
    <row r="69" spans="1:4" x14ac:dyDescent="0.2">
      <c r="A69" s="338" t="s">
        <v>369</v>
      </c>
      <c r="B69" s="376"/>
      <c r="C69" s="362">
        <v>106857</v>
      </c>
      <c r="D69" s="341">
        <v>77490</v>
      </c>
    </row>
    <row r="70" spans="1:4" x14ac:dyDescent="0.2">
      <c r="A70" s="363" t="s">
        <v>370</v>
      </c>
      <c r="B70" s="256"/>
      <c r="C70" s="256"/>
      <c r="D70" s="320"/>
    </row>
    <row r="71" spans="1:4" x14ac:dyDescent="0.2">
      <c r="A71" s="258" t="s">
        <v>371</v>
      </c>
      <c r="B71" s="378">
        <v>22</v>
      </c>
      <c r="C71" s="379">
        <v>35302</v>
      </c>
      <c r="D71" s="354">
        <v>33171</v>
      </c>
    </row>
    <row r="72" spans="1:4" x14ac:dyDescent="0.2">
      <c r="A72" s="258" t="s">
        <v>372</v>
      </c>
      <c r="B72" s="378">
        <v>23</v>
      </c>
      <c r="C72" s="379">
        <v>55477</v>
      </c>
      <c r="D72" s="354">
        <v>31561</v>
      </c>
    </row>
    <row r="73" spans="1:4" x14ac:dyDescent="0.2">
      <c r="A73" s="258" t="s">
        <v>373</v>
      </c>
      <c r="B73" s="256"/>
      <c r="C73" s="379">
        <v>16078</v>
      </c>
      <c r="D73" s="354">
        <v>12758</v>
      </c>
    </row>
    <row r="74" spans="1:4" ht="13.5" thickBot="1" x14ac:dyDescent="0.25">
      <c r="A74" s="368" t="s">
        <v>374</v>
      </c>
      <c r="B74" s="383"/>
      <c r="C74" s="370">
        <v>106857</v>
      </c>
      <c r="D74" s="371">
        <v>77490</v>
      </c>
    </row>
    <row r="75" spans="1:4" ht="33" x14ac:dyDescent="0.2">
      <c r="A75" s="384" t="s">
        <v>375</v>
      </c>
      <c r="B75" s="385"/>
      <c r="C75" s="385"/>
      <c r="D75" s="330"/>
    </row>
    <row r="76" spans="1:4" x14ac:dyDescent="0.2">
      <c r="A76" s="265"/>
      <c r="B76" s="266"/>
      <c r="C76" s="266"/>
      <c r="D76" s="360" t="s">
        <v>307</v>
      </c>
    </row>
    <row r="77" spans="1:4" x14ac:dyDescent="0.2">
      <c r="A77" s="160"/>
      <c r="B77" s="334"/>
      <c r="C77" s="334">
        <v>2019</v>
      </c>
      <c r="D77" s="333">
        <v>2018</v>
      </c>
    </row>
    <row r="78" spans="1:4" x14ac:dyDescent="0.2">
      <c r="A78" s="265"/>
      <c r="B78" s="332" t="s">
        <v>308</v>
      </c>
      <c r="C78" s="331" t="s">
        <v>310</v>
      </c>
      <c r="D78" s="336" t="s">
        <v>310</v>
      </c>
    </row>
    <row r="79" spans="1:4" x14ac:dyDescent="0.2">
      <c r="A79" s="363" t="s">
        <v>376</v>
      </c>
      <c r="B79" s="37"/>
      <c r="C79" s="256"/>
      <c r="D79" s="320"/>
    </row>
    <row r="80" spans="1:4" x14ac:dyDescent="0.2">
      <c r="A80" s="258" t="s">
        <v>377</v>
      </c>
      <c r="B80" s="37"/>
      <c r="C80" s="379">
        <v>310883</v>
      </c>
      <c r="D80" s="354">
        <v>300058</v>
      </c>
    </row>
    <row r="81" spans="1:4" x14ac:dyDescent="0.2">
      <c r="A81" s="258" t="s">
        <v>378</v>
      </c>
      <c r="B81" s="37"/>
      <c r="C81" s="386">
        <v>-1957</v>
      </c>
      <c r="D81" s="346">
        <v>-2632</v>
      </c>
    </row>
    <row r="82" spans="1:4" x14ac:dyDescent="0.2">
      <c r="A82" s="258" t="s">
        <v>379</v>
      </c>
      <c r="B82" s="37"/>
      <c r="C82" s="386">
        <v>-221167</v>
      </c>
      <c r="D82" s="346">
        <v>-234709</v>
      </c>
    </row>
    <row r="83" spans="1:4" x14ac:dyDescent="0.2">
      <c r="A83" s="258" t="s">
        <v>380</v>
      </c>
      <c r="B83" s="37"/>
      <c r="C83" s="378">
        <v>634</v>
      </c>
      <c r="D83" s="380">
        <v>735</v>
      </c>
    </row>
    <row r="84" spans="1:4" x14ac:dyDescent="0.2">
      <c r="A84" s="258" t="s">
        <v>381</v>
      </c>
      <c r="B84" s="37"/>
      <c r="C84" s="386">
        <v>-11534</v>
      </c>
      <c r="D84" s="346">
        <v>-11187</v>
      </c>
    </row>
    <row r="85" spans="1:4" x14ac:dyDescent="0.2">
      <c r="A85" s="258" t="s">
        <v>382</v>
      </c>
      <c r="B85" s="37"/>
      <c r="C85" s="387">
        <v>-24</v>
      </c>
      <c r="D85" s="352">
        <v>-395</v>
      </c>
    </row>
    <row r="86" spans="1:4" x14ac:dyDescent="0.2">
      <c r="A86" s="338" t="s">
        <v>383</v>
      </c>
      <c r="B86" s="339">
        <v>32</v>
      </c>
      <c r="C86" s="362">
        <v>76835</v>
      </c>
      <c r="D86" s="341">
        <v>51870</v>
      </c>
    </row>
    <row r="87" spans="1:4" x14ac:dyDescent="0.2">
      <c r="A87" s="363" t="s">
        <v>384</v>
      </c>
      <c r="B87" s="37"/>
      <c r="C87" s="256"/>
      <c r="D87" s="320"/>
    </row>
    <row r="88" spans="1:4" x14ac:dyDescent="0.2">
      <c r="A88" s="258" t="s">
        <v>385</v>
      </c>
      <c r="B88" s="37"/>
      <c r="C88" s="386">
        <v>-4059</v>
      </c>
      <c r="D88" s="346">
        <v>-2721</v>
      </c>
    </row>
    <row r="89" spans="1:4" x14ac:dyDescent="0.2">
      <c r="A89" s="258" t="s">
        <v>386</v>
      </c>
      <c r="B89" s="37"/>
      <c r="C89" s="386">
        <v>-2350</v>
      </c>
      <c r="D89" s="346">
        <v>-3388</v>
      </c>
    </row>
    <row r="90" spans="1:4" x14ac:dyDescent="0.2">
      <c r="A90" s="258" t="s">
        <v>387</v>
      </c>
      <c r="B90" s="37"/>
      <c r="C90" s="386">
        <v>-35927</v>
      </c>
      <c r="D90" s="346">
        <v>-3274</v>
      </c>
    </row>
    <row r="91" spans="1:4" x14ac:dyDescent="0.2">
      <c r="A91" s="258" t="s">
        <v>388</v>
      </c>
      <c r="B91" s="37"/>
      <c r="C91" s="268" t="s">
        <v>354</v>
      </c>
      <c r="D91" s="380">
        <v>440</v>
      </c>
    </row>
    <row r="92" spans="1:4" x14ac:dyDescent="0.2">
      <c r="A92" s="338" t="s">
        <v>389</v>
      </c>
      <c r="B92" s="347"/>
      <c r="C92" s="388">
        <v>-42336</v>
      </c>
      <c r="D92" s="349">
        <v>-8943</v>
      </c>
    </row>
    <row r="93" spans="1:4" x14ac:dyDescent="0.15">
      <c r="A93" s="389" t="s">
        <v>390</v>
      </c>
      <c r="B93" s="29"/>
      <c r="C93" s="253"/>
      <c r="D93" s="360"/>
    </row>
    <row r="94" spans="1:4" x14ac:dyDescent="0.2">
      <c r="A94" s="258" t="s">
        <v>391</v>
      </c>
      <c r="B94" s="37"/>
      <c r="C94" s="379">
        <v>2075</v>
      </c>
      <c r="D94" s="354">
        <v>1019</v>
      </c>
    </row>
    <row r="95" spans="1:4" x14ac:dyDescent="0.2">
      <c r="A95" s="258" t="s">
        <v>392</v>
      </c>
      <c r="B95" s="37"/>
      <c r="C95" s="268" t="s">
        <v>354</v>
      </c>
      <c r="D95" s="352">
        <v>-5</v>
      </c>
    </row>
    <row r="96" spans="1:4" x14ac:dyDescent="0.2">
      <c r="A96" s="258" t="s">
        <v>393</v>
      </c>
      <c r="B96" s="350">
        <v>24</v>
      </c>
      <c r="C96" s="386">
        <v>-35850</v>
      </c>
      <c r="D96" s="346">
        <v>-33002</v>
      </c>
    </row>
    <row r="97" spans="1:8" x14ac:dyDescent="0.2">
      <c r="A97" s="338" t="s">
        <v>394</v>
      </c>
      <c r="B97" s="347"/>
      <c r="C97" s="388">
        <v>-33775</v>
      </c>
      <c r="D97" s="349">
        <v>-31988</v>
      </c>
    </row>
    <row r="98" spans="1:8" x14ac:dyDescent="0.15">
      <c r="A98" s="389" t="s">
        <v>395</v>
      </c>
      <c r="B98" s="29"/>
      <c r="C98" s="390">
        <v>724</v>
      </c>
      <c r="D98" s="391">
        <v>10939</v>
      </c>
    </row>
    <row r="99" spans="1:8" x14ac:dyDescent="0.2">
      <c r="A99" s="258" t="s">
        <v>396</v>
      </c>
      <c r="B99" s="37"/>
      <c r="C99" s="379">
        <v>104322</v>
      </c>
      <c r="D99" s="354">
        <v>93383</v>
      </c>
    </row>
    <row r="100" spans="1:8" ht="13.5" thickBot="1" x14ac:dyDescent="0.25">
      <c r="A100" s="368" t="s">
        <v>397</v>
      </c>
      <c r="B100" s="392">
        <v>8</v>
      </c>
      <c r="C100" s="370">
        <v>105046</v>
      </c>
      <c r="D100" s="371">
        <v>104322</v>
      </c>
    </row>
    <row r="101" spans="1:8" x14ac:dyDescent="0.2">
      <c r="A101" s="1"/>
      <c r="B101" s="1"/>
      <c r="C101" s="1"/>
      <c r="D101" s="29"/>
    </row>
    <row r="108" spans="1:8" ht="13.5" thickBot="1" x14ac:dyDescent="0.25"/>
    <row r="109" spans="1:8" ht="36.75" thickBot="1" x14ac:dyDescent="0.2">
      <c r="A109" s="54" t="s">
        <v>82</v>
      </c>
      <c r="B109" s="55" t="s">
        <v>83</v>
      </c>
      <c r="C109" s="297" t="s">
        <v>84</v>
      </c>
      <c r="D109" s="56" t="s">
        <v>85</v>
      </c>
      <c r="E109" s="56" t="s">
        <v>86</v>
      </c>
      <c r="F109" s="56" t="s">
        <v>87</v>
      </c>
      <c r="G109" s="56" t="s">
        <v>88</v>
      </c>
      <c r="H109" s="57" t="s">
        <v>89</v>
      </c>
    </row>
    <row r="110" spans="1:8" x14ac:dyDescent="0.2">
      <c r="A110" s="64" t="s">
        <v>398</v>
      </c>
      <c r="B110" s="59"/>
      <c r="C110" s="263">
        <v>33171</v>
      </c>
      <c r="D110" s="318">
        <v>12758</v>
      </c>
      <c r="E110" s="318">
        <v>8616</v>
      </c>
      <c r="F110" s="319">
        <v>651</v>
      </c>
      <c r="G110" s="318">
        <v>22294</v>
      </c>
      <c r="H110" s="308">
        <f>SUM(C110:G110)</f>
        <v>77490</v>
      </c>
    </row>
    <row r="111" spans="1:8" x14ac:dyDescent="0.2">
      <c r="A111" s="60" t="s">
        <v>90</v>
      </c>
      <c r="B111" s="59"/>
      <c r="C111" s="394" t="s">
        <v>91</v>
      </c>
      <c r="D111" s="395" t="s">
        <v>91</v>
      </c>
      <c r="E111" s="395" t="s">
        <v>91</v>
      </c>
      <c r="F111" s="302">
        <v>1199</v>
      </c>
      <c r="G111" s="395" t="s">
        <v>91</v>
      </c>
      <c r="H111" s="308">
        <f t="shared" ref="H111:H133" si="0">SUM(C111:G111)</f>
        <v>1199</v>
      </c>
    </row>
    <row r="112" spans="1:8" x14ac:dyDescent="0.2">
      <c r="A112" s="60" t="s">
        <v>92</v>
      </c>
      <c r="B112" s="59"/>
      <c r="C112" s="394" t="s">
        <v>91</v>
      </c>
      <c r="D112" s="314">
        <v>58459</v>
      </c>
      <c r="E112" s="395" t="s">
        <v>91</v>
      </c>
      <c r="F112" s="395" t="s">
        <v>91</v>
      </c>
      <c r="G112" s="395" t="s">
        <v>91</v>
      </c>
      <c r="H112" s="308">
        <f t="shared" si="0"/>
        <v>58459</v>
      </c>
    </row>
    <row r="113" spans="1:8" x14ac:dyDescent="0.2">
      <c r="A113" s="58" t="s">
        <v>93</v>
      </c>
      <c r="B113" s="59"/>
      <c r="C113" s="396" t="s">
        <v>94</v>
      </c>
      <c r="D113" s="318">
        <f>SUM(D111:D112)</f>
        <v>58459</v>
      </c>
      <c r="E113" s="318" t="s">
        <v>91</v>
      </c>
      <c r="F113" s="318">
        <f>SUM(F111:F112)</f>
        <v>1199</v>
      </c>
      <c r="G113" s="318" t="s">
        <v>91</v>
      </c>
      <c r="H113" s="308">
        <f t="shared" si="0"/>
        <v>59658</v>
      </c>
    </row>
    <row r="114" spans="1:8" x14ac:dyDescent="0.15">
      <c r="A114" s="61" t="s">
        <v>399</v>
      </c>
      <c r="B114" s="59"/>
      <c r="C114" s="397" t="s">
        <v>91</v>
      </c>
      <c r="D114" s="398">
        <v>-55139</v>
      </c>
      <c r="E114" s="310">
        <v>55139</v>
      </c>
      <c r="F114" s="398" t="s">
        <v>91</v>
      </c>
      <c r="G114" s="398" t="s">
        <v>91</v>
      </c>
      <c r="H114" s="308">
        <f t="shared" si="0"/>
        <v>0</v>
      </c>
    </row>
    <row r="115" spans="1:8" x14ac:dyDescent="0.15">
      <c r="A115" s="61" t="s">
        <v>95</v>
      </c>
      <c r="B115" s="59">
        <v>24</v>
      </c>
      <c r="C115" s="394" t="s">
        <v>91</v>
      </c>
      <c r="D115" s="398" t="s">
        <v>91</v>
      </c>
      <c r="E115" s="314">
        <v>-35850</v>
      </c>
      <c r="F115" s="395" t="s">
        <v>91</v>
      </c>
      <c r="G115" s="395" t="s">
        <v>91</v>
      </c>
      <c r="H115" s="308">
        <f t="shared" si="0"/>
        <v>-35850</v>
      </c>
    </row>
    <row r="116" spans="1:8" x14ac:dyDescent="0.2">
      <c r="A116" s="60" t="s">
        <v>97</v>
      </c>
      <c r="B116" s="59">
        <v>22</v>
      </c>
      <c r="C116" s="235">
        <v>2131</v>
      </c>
      <c r="D116" s="395" t="s">
        <v>91</v>
      </c>
      <c r="E116" s="395" t="s">
        <v>91</v>
      </c>
      <c r="F116" s="395" t="s">
        <v>91</v>
      </c>
      <c r="G116" s="395" t="s">
        <v>91</v>
      </c>
      <c r="H116" s="308">
        <f t="shared" si="0"/>
        <v>2131</v>
      </c>
    </row>
    <row r="117" spans="1:8" x14ac:dyDescent="0.2">
      <c r="A117" s="60" t="s">
        <v>98</v>
      </c>
      <c r="B117" s="59">
        <v>34</v>
      </c>
      <c r="C117" s="394" t="s">
        <v>91</v>
      </c>
      <c r="D117" s="395" t="s">
        <v>91</v>
      </c>
      <c r="E117" s="395" t="s">
        <v>91</v>
      </c>
      <c r="F117" s="395" t="s">
        <v>91</v>
      </c>
      <c r="G117" s="314">
        <v>1947</v>
      </c>
      <c r="H117" s="308">
        <f t="shared" si="0"/>
        <v>1947</v>
      </c>
    </row>
    <row r="118" spans="1:8" x14ac:dyDescent="0.2">
      <c r="A118" s="60" t="s">
        <v>99</v>
      </c>
      <c r="B118" s="59"/>
      <c r="C118" s="394" t="s">
        <v>91</v>
      </c>
      <c r="D118" s="395" t="s">
        <v>91</v>
      </c>
      <c r="E118" s="395" t="s">
        <v>91</v>
      </c>
      <c r="F118" s="395" t="s">
        <v>91</v>
      </c>
      <c r="G118" s="314">
        <v>1481</v>
      </c>
      <c r="H118" s="308">
        <f t="shared" si="0"/>
        <v>1481</v>
      </c>
    </row>
    <row r="119" spans="1:8" x14ac:dyDescent="0.2">
      <c r="A119" s="62"/>
      <c r="B119" s="59"/>
      <c r="C119" s="314">
        <f>SUM(C114:C118)</f>
        <v>2131</v>
      </c>
      <c r="D119" s="314">
        <f>SUM(D114:D118)</f>
        <v>-55139</v>
      </c>
      <c r="E119" s="314">
        <f>SUM(E114:E118)</f>
        <v>19289</v>
      </c>
      <c r="F119" s="314">
        <f>SUM(F114:F118)</f>
        <v>0</v>
      </c>
      <c r="G119" s="314">
        <v>3428</v>
      </c>
      <c r="H119" s="304">
        <f>SUM(H114:H118)</f>
        <v>-30291</v>
      </c>
    </row>
    <row r="120" spans="1:8" x14ac:dyDescent="0.2">
      <c r="A120" s="64" t="s">
        <v>400</v>
      </c>
      <c r="B120" s="59"/>
      <c r="C120" s="318">
        <f>SUM(C110,C119)</f>
        <v>35302</v>
      </c>
      <c r="D120" s="318">
        <f>SUM(D110,D119,D113)</f>
        <v>16078</v>
      </c>
      <c r="E120" s="318">
        <f>SUM(E110,E119)</f>
        <v>27905</v>
      </c>
      <c r="F120" s="318">
        <f>SUM(F110,F113)</f>
        <v>1850</v>
      </c>
      <c r="G120" s="318">
        <f>SUM(G110,G119)</f>
        <v>25722</v>
      </c>
      <c r="H120" s="308">
        <f>SUM(H110,H119,H113)</f>
        <v>106857</v>
      </c>
    </row>
    <row r="121" spans="1:8" x14ac:dyDescent="0.2">
      <c r="E121" s="393"/>
      <c r="F121" s="393"/>
      <c r="G121" s="393"/>
      <c r="H121" s="402"/>
    </row>
    <row r="122" spans="1:8" x14ac:dyDescent="0.2">
      <c r="A122" s="64" t="s">
        <v>401</v>
      </c>
      <c r="B122" s="59"/>
      <c r="C122" s="318">
        <v>32152</v>
      </c>
      <c r="D122" s="318">
        <v>90681</v>
      </c>
      <c r="E122" s="318">
        <v>15775</v>
      </c>
      <c r="F122" s="318">
        <v>-728</v>
      </c>
      <c r="G122" s="318">
        <v>19640</v>
      </c>
      <c r="H122" s="308">
        <f t="shared" si="0"/>
        <v>157520</v>
      </c>
    </row>
    <row r="123" spans="1:8" x14ac:dyDescent="0.2">
      <c r="A123" s="64" t="s">
        <v>402</v>
      </c>
      <c r="B123" s="59"/>
      <c r="C123" s="318" t="s">
        <v>91</v>
      </c>
      <c r="D123" s="318">
        <v>-73771</v>
      </c>
      <c r="E123" s="318" t="s">
        <v>91</v>
      </c>
      <c r="F123" s="318" t="s">
        <v>91</v>
      </c>
      <c r="G123" s="318" t="s">
        <v>91</v>
      </c>
      <c r="H123" s="308">
        <f>SUM(C123:G123)</f>
        <v>-73771</v>
      </c>
    </row>
    <row r="124" spans="1:8" x14ac:dyDescent="0.2">
      <c r="A124" s="64" t="s">
        <v>403</v>
      </c>
      <c r="B124" s="59"/>
      <c r="C124" s="318">
        <f t="shared" ref="C124:H124" si="1">SUM(C122:C123)</f>
        <v>32152</v>
      </c>
      <c r="D124" s="318">
        <f t="shared" si="1"/>
        <v>16910</v>
      </c>
      <c r="E124" s="318">
        <f t="shared" si="1"/>
        <v>15775</v>
      </c>
      <c r="F124" s="318">
        <f t="shared" si="1"/>
        <v>-728</v>
      </c>
      <c r="G124" s="318">
        <f t="shared" si="1"/>
        <v>19640</v>
      </c>
      <c r="H124" s="308">
        <f t="shared" si="1"/>
        <v>83749</v>
      </c>
    </row>
    <row r="125" spans="1:8" x14ac:dyDescent="0.2">
      <c r="A125" s="60" t="s">
        <v>90</v>
      </c>
      <c r="B125" s="59"/>
      <c r="C125" s="394" t="s">
        <v>91</v>
      </c>
      <c r="D125" s="395" t="s">
        <v>91</v>
      </c>
      <c r="E125" s="395" t="s">
        <v>91</v>
      </c>
      <c r="F125" s="321">
        <v>1379</v>
      </c>
      <c r="G125" s="395" t="s">
        <v>91</v>
      </c>
      <c r="H125" s="308">
        <f t="shared" si="0"/>
        <v>1379</v>
      </c>
    </row>
    <row r="126" spans="1:8" x14ac:dyDescent="0.2">
      <c r="A126" s="60" t="s">
        <v>92</v>
      </c>
      <c r="B126" s="59"/>
      <c r="C126" s="394" t="s">
        <v>91</v>
      </c>
      <c r="D126" s="314">
        <v>21691</v>
      </c>
      <c r="E126" s="395" t="s">
        <v>91</v>
      </c>
      <c r="F126" s="395" t="s">
        <v>91</v>
      </c>
      <c r="G126" s="395" t="s">
        <v>91</v>
      </c>
      <c r="H126" s="308">
        <f t="shared" si="0"/>
        <v>21691</v>
      </c>
    </row>
    <row r="127" spans="1:8" x14ac:dyDescent="0.2">
      <c r="A127" s="58" t="s">
        <v>93</v>
      </c>
      <c r="B127" s="59"/>
      <c r="C127" s="399" t="s">
        <v>91</v>
      </c>
      <c r="D127" s="399">
        <f>SUM(D125:D126)</f>
        <v>21691</v>
      </c>
      <c r="E127" s="399" t="s">
        <v>91</v>
      </c>
      <c r="F127" s="399">
        <f>SUM(F125:F126)</f>
        <v>1379</v>
      </c>
      <c r="G127" s="399" t="s">
        <v>91</v>
      </c>
      <c r="H127" s="403">
        <f>SUM(H125:H126)</f>
        <v>23070</v>
      </c>
    </row>
    <row r="128" spans="1:8" x14ac:dyDescent="0.2">
      <c r="A128" s="60" t="s">
        <v>96</v>
      </c>
      <c r="B128" s="59"/>
      <c r="C128" s="394" t="s">
        <v>91</v>
      </c>
      <c r="D128" s="316">
        <v>-25843</v>
      </c>
      <c r="E128" s="314">
        <v>25843</v>
      </c>
      <c r="F128" s="395" t="s">
        <v>91</v>
      </c>
      <c r="G128" s="395" t="s">
        <v>91</v>
      </c>
      <c r="H128" s="404" t="s">
        <v>91</v>
      </c>
    </row>
    <row r="129" spans="1:8" x14ac:dyDescent="0.15">
      <c r="A129" s="61" t="s">
        <v>95</v>
      </c>
      <c r="B129" s="59">
        <v>24</v>
      </c>
      <c r="C129" s="397" t="s">
        <v>91</v>
      </c>
      <c r="D129" s="398" t="s">
        <v>91</v>
      </c>
      <c r="E129" s="310">
        <v>-33002</v>
      </c>
      <c r="F129" s="398" t="s">
        <v>91</v>
      </c>
      <c r="G129" s="398" t="s">
        <v>91</v>
      </c>
      <c r="H129" s="308">
        <f t="shared" si="0"/>
        <v>-33002</v>
      </c>
    </row>
    <row r="130" spans="1:8" x14ac:dyDescent="0.2">
      <c r="A130" s="60" t="s">
        <v>97</v>
      </c>
      <c r="B130" s="59">
        <v>22</v>
      </c>
      <c r="C130" s="235">
        <v>1019</v>
      </c>
      <c r="D130" s="395" t="s">
        <v>91</v>
      </c>
      <c r="E130" s="395" t="s">
        <v>91</v>
      </c>
      <c r="F130" s="395" t="s">
        <v>91</v>
      </c>
      <c r="G130" s="395" t="s">
        <v>91</v>
      </c>
      <c r="H130" s="308">
        <f t="shared" si="0"/>
        <v>1019</v>
      </c>
    </row>
    <row r="131" spans="1:8" x14ac:dyDescent="0.2">
      <c r="A131" s="60" t="s">
        <v>100</v>
      </c>
      <c r="B131" s="59">
        <v>34</v>
      </c>
      <c r="C131" s="394" t="s">
        <v>91</v>
      </c>
      <c r="D131" s="395" t="s">
        <v>91</v>
      </c>
      <c r="E131" s="395" t="s">
        <v>91</v>
      </c>
      <c r="F131" s="395" t="s">
        <v>91</v>
      </c>
      <c r="G131" s="314">
        <v>1595</v>
      </c>
      <c r="H131" s="308">
        <f t="shared" si="0"/>
        <v>1595</v>
      </c>
    </row>
    <row r="132" spans="1:8" x14ac:dyDescent="0.2">
      <c r="A132" s="60" t="s">
        <v>99</v>
      </c>
      <c r="B132" s="59"/>
      <c r="C132" s="394" t="s">
        <v>91</v>
      </c>
      <c r="D132" s="395" t="s">
        <v>91</v>
      </c>
      <c r="E132" s="395" t="s">
        <v>91</v>
      </c>
      <c r="F132" s="395" t="s">
        <v>91</v>
      </c>
      <c r="G132" s="314">
        <v>1059</v>
      </c>
      <c r="H132" s="308">
        <f t="shared" si="0"/>
        <v>1059</v>
      </c>
    </row>
    <row r="133" spans="1:8" x14ac:dyDescent="0.2">
      <c r="A133" s="62"/>
      <c r="B133" s="59"/>
      <c r="C133" s="235">
        <v>1019</v>
      </c>
      <c r="D133" s="316">
        <f>SUM(D128:D132)</f>
        <v>-25843</v>
      </c>
      <c r="E133" s="316">
        <v>-7159</v>
      </c>
      <c r="F133" s="395" t="s">
        <v>91</v>
      </c>
      <c r="G133" s="314">
        <v>2654</v>
      </c>
      <c r="H133" s="308">
        <f t="shared" si="0"/>
        <v>-29329</v>
      </c>
    </row>
    <row r="134" spans="1:8" ht="13.5" thickBot="1" x14ac:dyDescent="0.25">
      <c r="A134" s="400" t="s">
        <v>305</v>
      </c>
      <c r="B134" s="63"/>
      <c r="C134" s="275">
        <f>SUM(C124,C133)</f>
        <v>33171</v>
      </c>
      <c r="D134" s="323">
        <f>SUM(D124,D133,D127)</f>
        <v>12758</v>
      </c>
      <c r="E134" s="275">
        <f>SUM(E124,E133)</f>
        <v>8616</v>
      </c>
      <c r="F134" s="275">
        <f>SUM(F124,F133,F125)</f>
        <v>651</v>
      </c>
      <c r="G134" s="275">
        <f>SUM(G124,G133)</f>
        <v>22294</v>
      </c>
      <c r="H134" s="276">
        <f>SUM(C134:G134)</f>
        <v>77490</v>
      </c>
    </row>
    <row r="138" spans="1:8" x14ac:dyDescent="0.2">
      <c r="A138" t="s">
        <v>404</v>
      </c>
    </row>
    <row r="139" spans="1:8" x14ac:dyDescent="0.2">
      <c r="A139" t="s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FD137"/>
  <sheetViews>
    <sheetView topLeftCell="A2" zoomScale="129" zoomScaleNormal="130" workbookViewId="0">
      <selection activeCell="H126" sqref="H126"/>
    </sheetView>
  </sheetViews>
  <sheetFormatPr defaultRowHeight="12.75" x14ac:dyDescent="0.2"/>
  <cols>
    <col min="1" max="1" width="43.33203125" customWidth="1"/>
    <col min="2" max="2" width="9.33203125" customWidth="1"/>
    <col min="3" max="4" width="13.33203125" style="393" customWidth="1"/>
    <col min="5" max="9" width="16.5" customWidth="1"/>
    <col min="10" max="10" width="24.83203125" bestFit="1" customWidth="1"/>
    <col min="11" max="11" width="30.5" customWidth="1"/>
    <col min="18" max="18" width="18.5" customWidth="1"/>
    <col min="19" max="19" width="16.83203125" customWidth="1"/>
    <col min="20" max="20" width="18.5" customWidth="1"/>
    <col min="21" max="21" width="23.1640625" customWidth="1"/>
    <col min="22" max="22" width="15.6640625" customWidth="1"/>
    <col min="24" max="24" width="9.83203125" bestFit="1" customWidth="1"/>
  </cols>
  <sheetData>
    <row r="1" spans="1:11" ht="38.25" x14ac:dyDescent="0.2">
      <c r="A1" s="592" t="s">
        <v>837</v>
      </c>
      <c r="B1" s="329"/>
      <c r="C1" s="649"/>
      <c r="D1" s="649" t="s">
        <v>813</v>
      </c>
      <c r="E1" s="266"/>
      <c r="J1" s="266"/>
      <c r="K1" s="266"/>
    </row>
    <row r="2" spans="1:11" x14ac:dyDescent="0.2">
      <c r="A2" s="160"/>
      <c r="B2" s="331" t="s">
        <v>308</v>
      </c>
      <c r="C2" s="650">
        <v>2020</v>
      </c>
      <c r="D2" s="650">
        <v>2019</v>
      </c>
      <c r="E2" s="334"/>
      <c r="J2" s="334"/>
      <c r="K2" s="334"/>
    </row>
    <row r="3" spans="1:11" x14ac:dyDescent="0.2">
      <c r="A3" s="265"/>
      <c r="B3" s="266"/>
      <c r="C3" s="651" t="s">
        <v>309</v>
      </c>
      <c r="D3" s="651" t="s">
        <v>814</v>
      </c>
      <c r="E3" s="337"/>
    </row>
    <row r="4" spans="1:11" x14ac:dyDescent="0.2">
      <c r="A4" s="338" t="s">
        <v>311</v>
      </c>
      <c r="B4" s="339">
        <v>5</v>
      </c>
      <c r="C4" s="652">
        <v>298267</v>
      </c>
      <c r="D4" s="652">
        <v>284994</v>
      </c>
    </row>
    <row r="5" spans="1:11" x14ac:dyDescent="0.2">
      <c r="A5" s="342" t="s">
        <v>312</v>
      </c>
      <c r="B5" s="29"/>
      <c r="C5" s="653">
        <v>-19130</v>
      </c>
      <c r="D5" s="653">
        <v>-22011</v>
      </c>
    </row>
    <row r="6" spans="1:11" x14ac:dyDescent="0.2">
      <c r="A6" s="258" t="s">
        <v>313</v>
      </c>
      <c r="B6" s="37"/>
      <c r="C6" s="654">
        <v>-19479</v>
      </c>
      <c r="D6" s="654">
        <v>-16965</v>
      </c>
    </row>
    <row r="7" spans="1:11" x14ac:dyDescent="0.2">
      <c r="A7" s="338" t="s">
        <v>314</v>
      </c>
      <c r="B7" s="347"/>
      <c r="C7" s="655">
        <v>-38609</v>
      </c>
      <c r="D7" s="655">
        <v>-38976</v>
      </c>
    </row>
    <row r="8" spans="1:11" x14ac:dyDescent="0.2">
      <c r="A8" s="342" t="s">
        <v>315</v>
      </c>
      <c r="B8" s="29"/>
      <c r="C8" s="653">
        <v>-3259</v>
      </c>
      <c r="D8" s="653">
        <v>-10808</v>
      </c>
    </row>
    <row r="9" spans="1:11" x14ac:dyDescent="0.2">
      <c r="A9" s="258" t="s">
        <v>316</v>
      </c>
      <c r="B9" s="37"/>
      <c r="C9" s="654">
        <v>-18312</v>
      </c>
      <c r="D9" s="654">
        <v>-17285</v>
      </c>
    </row>
    <row r="10" spans="1:11" x14ac:dyDescent="0.2">
      <c r="A10" s="258" t="s">
        <v>317</v>
      </c>
      <c r="B10" s="350">
        <v>6</v>
      </c>
      <c r="C10" s="654">
        <v>-18638</v>
      </c>
      <c r="D10" s="654">
        <v>-6127</v>
      </c>
      <c r="K10" s="640"/>
    </row>
    <row r="11" spans="1:11" x14ac:dyDescent="0.2">
      <c r="A11" s="258" t="s">
        <v>318</v>
      </c>
      <c r="B11" s="37"/>
      <c r="C11" s="654">
        <v>-8019</v>
      </c>
      <c r="D11" s="654">
        <v>-10744</v>
      </c>
    </row>
    <row r="12" spans="1:11" x14ac:dyDescent="0.2">
      <c r="A12" s="258" t="s">
        <v>319</v>
      </c>
      <c r="B12" s="37"/>
      <c r="C12" s="654">
        <v>-5296</v>
      </c>
      <c r="D12" s="654">
        <v>-6252</v>
      </c>
      <c r="H12" s="640"/>
      <c r="I12" s="640"/>
    </row>
    <row r="13" spans="1:11" x14ac:dyDescent="0.2">
      <c r="A13" s="258" t="s">
        <v>320</v>
      </c>
      <c r="B13" s="37"/>
      <c r="C13" s="654">
        <v>-119615</v>
      </c>
      <c r="D13" s="654">
        <v>-117817</v>
      </c>
      <c r="J13" s="640"/>
      <c r="K13" s="640"/>
    </row>
    <row r="14" spans="1:11" x14ac:dyDescent="0.2">
      <c r="A14" s="258" t="s">
        <v>321</v>
      </c>
      <c r="B14" s="37"/>
      <c r="C14" s="654">
        <v>-3305</v>
      </c>
      <c r="D14" s="654">
        <v>-2018</v>
      </c>
      <c r="I14" s="640"/>
      <c r="J14" s="640"/>
    </row>
    <row r="15" spans="1:11" x14ac:dyDescent="0.2">
      <c r="A15" s="258" t="s">
        <v>322</v>
      </c>
      <c r="B15" s="37"/>
      <c r="C15" s="656">
        <v>-1495</v>
      </c>
      <c r="D15" s="656">
        <v>-24</v>
      </c>
      <c r="I15" s="640"/>
      <c r="J15" s="640"/>
    </row>
    <row r="16" spans="1:11" x14ac:dyDescent="0.2">
      <c r="A16" s="338" t="s">
        <v>323</v>
      </c>
      <c r="B16" s="347"/>
      <c r="C16" s="655">
        <f>SUM(C8:C15)</f>
        <v>-177939</v>
      </c>
      <c r="D16" s="655">
        <f>SUM(D8:D15)</f>
        <v>-171075</v>
      </c>
      <c r="H16" s="640"/>
      <c r="I16" s="640"/>
    </row>
    <row r="17" spans="1:11" x14ac:dyDescent="0.2">
      <c r="A17" s="258" t="s">
        <v>324</v>
      </c>
      <c r="B17" s="301" t="s">
        <v>325</v>
      </c>
      <c r="C17" s="657">
        <v>751</v>
      </c>
      <c r="D17" s="657">
        <v>1446</v>
      </c>
      <c r="J17" s="640"/>
      <c r="K17" s="640"/>
    </row>
    <row r="18" spans="1:11" x14ac:dyDescent="0.2">
      <c r="A18" s="338" t="s">
        <v>326</v>
      </c>
      <c r="B18" s="339">
        <v>7</v>
      </c>
      <c r="C18" s="652">
        <v>82470</v>
      </c>
      <c r="D18" s="652">
        <v>76389</v>
      </c>
      <c r="F18" s="642"/>
      <c r="J18" s="640"/>
      <c r="K18" s="640"/>
    </row>
    <row r="19" spans="1:11" x14ac:dyDescent="0.2">
      <c r="A19" s="258" t="s">
        <v>327</v>
      </c>
      <c r="B19" s="350">
        <v>7</v>
      </c>
      <c r="C19" s="654">
        <v>-19525</v>
      </c>
      <c r="D19" s="654">
        <v>-17930</v>
      </c>
      <c r="F19" s="643" t="s">
        <v>968</v>
      </c>
      <c r="H19" s="640"/>
      <c r="I19" s="640"/>
    </row>
    <row r="20" spans="1:11" x14ac:dyDescent="0.2">
      <c r="A20" s="338" t="s">
        <v>328</v>
      </c>
      <c r="B20" s="347"/>
      <c r="C20" s="652">
        <v>62945</v>
      </c>
      <c r="D20" s="652">
        <v>58459</v>
      </c>
      <c r="E20" s="640"/>
      <c r="H20" s="640"/>
      <c r="I20" s="640"/>
    </row>
    <row r="21" spans="1:11" x14ac:dyDescent="0.2">
      <c r="A21" s="355"/>
      <c r="B21" s="29"/>
      <c r="C21" s="658" t="s">
        <v>815</v>
      </c>
      <c r="D21" s="658" t="s">
        <v>75</v>
      </c>
      <c r="I21" s="640"/>
      <c r="J21" s="640"/>
    </row>
    <row r="22" spans="1:11" x14ac:dyDescent="0.2">
      <c r="A22" s="258" t="s">
        <v>330</v>
      </c>
      <c r="B22" s="350">
        <v>33</v>
      </c>
      <c r="C22" s="659">
        <v>19.75</v>
      </c>
      <c r="D22" s="659">
        <v>18.43</v>
      </c>
      <c r="I22" s="640"/>
    </row>
    <row r="23" spans="1:11" x14ac:dyDescent="0.2">
      <c r="A23" s="258" t="s">
        <v>331</v>
      </c>
      <c r="B23" s="350">
        <v>33</v>
      </c>
      <c r="C23" s="659">
        <v>19.61</v>
      </c>
      <c r="D23" s="659">
        <v>18.3</v>
      </c>
      <c r="I23" s="640"/>
      <c r="J23" s="640"/>
    </row>
    <row r="24" spans="1:11" ht="22.5" x14ac:dyDescent="0.2">
      <c r="A24" s="641" t="s">
        <v>811</v>
      </c>
      <c r="B24" s="256"/>
      <c r="C24" s="660" t="s">
        <v>816</v>
      </c>
      <c r="D24" s="647" t="s">
        <v>534</v>
      </c>
      <c r="J24" s="640"/>
    </row>
    <row r="25" spans="1:11" x14ac:dyDescent="0.2">
      <c r="A25" s="338" t="s">
        <v>328</v>
      </c>
      <c r="B25" s="361"/>
      <c r="C25" s="652">
        <v>62945</v>
      </c>
      <c r="D25" s="652">
        <v>58459</v>
      </c>
      <c r="J25" s="640"/>
      <c r="K25" s="640"/>
    </row>
    <row r="26" spans="1:11" x14ac:dyDescent="0.2">
      <c r="A26" s="363" t="s">
        <v>335</v>
      </c>
      <c r="B26" s="331"/>
      <c r="C26" s="651"/>
      <c r="D26" s="651"/>
      <c r="J26" s="640"/>
      <c r="K26" s="640"/>
    </row>
    <row r="27" spans="1:11" ht="18" x14ac:dyDescent="0.2">
      <c r="A27" s="355" t="s">
        <v>336</v>
      </c>
      <c r="B27" s="253"/>
      <c r="C27" s="661"/>
      <c r="D27" s="661"/>
      <c r="J27" s="640"/>
      <c r="K27" s="640"/>
    </row>
    <row r="28" spans="1:11" ht="18" x14ac:dyDescent="0.2">
      <c r="A28" s="363" t="s">
        <v>337</v>
      </c>
      <c r="B28" s="331"/>
      <c r="C28" s="662">
        <v>286</v>
      </c>
      <c r="D28" s="662">
        <v>1199</v>
      </c>
      <c r="E28" s="640"/>
    </row>
    <row r="29" spans="1:11" ht="13.5" thickBot="1" x14ac:dyDescent="0.25">
      <c r="A29" s="368" t="s">
        <v>338</v>
      </c>
      <c r="B29" s="369"/>
      <c r="C29" s="663">
        <f>C25+C28</f>
        <v>63231</v>
      </c>
      <c r="D29" s="663">
        <f>D25+D28</f>
        <v>59658</v>
      </c>
    </row>
    <row r="30" spans="1:11" x14ac:dyDescent="0.2">
      <c r="A30" s="256"/>
      <c r="B30" s="256"/>
      <c r="C30" s="664"/>
      <c r="D30" s="664"/>
    </row>
    <row r="31" spans="1:11" x14ac:dyDescent="0.2">
      <c r="A31" s="372"/>
      <c r="B31" s="372"/>
      <c r="C31" s="648"/>
      <c r="D31" s="648"/>
    </row>
    <row r="32" spans="1:11" ht="13.5" thickBot="1" x14ac:dyDescent="0.25">
      <c r="B32" s="1"/>
      <c r="C32" s="665"/>
      <c r="D32" s="665"/>
    </row>
    <row r="33" spans="1:4" ht="15" x14ac:dyDescent="0.2">
      <c r="A33" s="374" t="s">
        <v>838</v>
      </c>
      <c r="B33" s="329"/>
      <c r="C33" s="666"/>
      <c r="D33" s="666"/>
    </row>
    <row r="34" spans="1:4" x14ac:dyDescent="0.2">
      <c r="A34" s="160"/>
      <c r="B34" s="334"/>
      <c r="C34" s="650">
        <v>2020</v>
      </c>
      <c r="D34" s="650">
        <v>2019</v>
      </c>
    </row>
    <row r="35" spans="1:4" x14ac:dyDescent="0.2">
      <c r="A35" s="265"/>
      <c r="B35" s="331" t="s">
        <v>308</v>
      </c>
      <c r="C35" s="651" t="s">
        <v>814</v>
      </c>
      <c r="D35" s="651" t="s">
        <v>814</v>
      </c>
    </row>
    <row r="36" spans="1:4" x14ac:dyDescent="0.2">
      <c r="A36" s="338" t="s">
        <v>340</v>
      </c>
      <c r="B36" s="376"/>
      <c r="C36" s="667"/>
      <c r="D36" s="667"/>
    </row>
    <row r="37" spans="1:4" x14ac:dyDescent="0.2">
      <c r="A37" s="363" t="s">
        <v>341</v>
      </c>
      <c r="B37" s="256"/>
      <c r="C37" s="657"/>
      <c r="D37" s="657"/>
    </row>
    <row r="38" spans="1:4" x14ac:dyDescent="0.2">
      <c r="A38" s="258" t="s">
        <v>342</v>
      </c>
      <c r="B38" s="378">
        <v>8</v>
      </c>
      <c r="C38" s="657">
        <v>125244</v>
      </c>
      <c r="D38" s="657">
        <v>105046</v>
      </c>
    </row>
    <row r="39" spans="1:4" x14ac:dyDescent="0.2">
      <c r="A39" s="258" t="s">
        <v>343</v>
      </c>
      <c r="B39" s="256"/>
      <c r="C39" s="657">
        <v>10851</v>
      </c>
      <c r="D39" s="657">
        <v>12810</v>
      </c>
    </row>
    <row r="40" spans="1:4" x14ac:dyDescent="0.2">
      <c r="A40" s="258" t="s">
        <v>344</v>
      </c>
      <c r="B40" s="378">
        <v>9</v>
      </c>
      <c r="C40" s="657">
        <v>37396</v>
      </c>
      <c r="D40" s="657">
        <v>49032</v>
      </c>
    </row>
    <row r="41" spans="1:4" x14ac:dyDescent="0.2">
      <c r="A41" s="258" t="s">
        <v>345</v>
      </c>
      <c r="B41" s="378">
        <v>10</v>
      </c>
      <c r="C41" s="657">
        <v>22051</v>
      </c>
      <c r="D41" s="657">
        <v>24607</v>
      </c>
    </row>
    <row r="42" spans="1:4" x14ac:dyDescent="0.2">
      <c r="A42" s="258" t="s">
        <v>346</v>
      </c>
      <c r="B42" s="378">
        <v>11</v>
      </c>
      <c r="C42" s="668">
        <v>397</v>
      </c>
      <c r="D42" s="668">
        <v>463</v>
      </c>
    </row>
    <row r="43" spans="1:4" x14ac:dyDescent="0.2">
      <c r="A43" s="258" t="s">
        <v>347</v>
      </c>
      <c r="B43" s="256"/>
      <c r="C43" s="657">
        <v>8077</v>
      </c>
      <c r="D43" s="657">
        <v>6783</v>
      </c>
    </row>
    <row r="44" spans="1:4" x14ac:dyDescent="0.2">
      <c r="A44" s="258" t="s">
        <v>348</v>
      </c>
      <c r="B44" s="381">
        <v>13</v>
      </c>
      <c r="C44" s="657">
        <v>2956</v>
      </c>
      <c r="D44" s="657">
        <v>2104</v>
      </c>
    </row>
    <row r="45" spans="1:4" x14ac:dyDescent="0.2">
      <c r="A45" s="338" t="s">
        <v>349</v>
      </c>
      <c r="B45" s="376"/>
      <c r="C45" s="652">
        <f>SUM(C38:C44)</f>
        <v>206972</v>
      </c>
      <c r="D45" s="652">
        <f>SUM(D38:D44)</f>
        <v>200845</v>
      </c>
    </row>
    <row r="46" spans="1:4" x14ac:dyDescent="0.2">
      <c r="A46" s="363" t="s">
        <v>350</v>
      </c>
      <c r="B46" s="256"/>
      <c r="C46" s="669"/>
      <c r="D46" s="670"/>
    </row>
    <row r="47" spans="1:4" x14ac:dyDescent="0.2">
      <c r="A47" s="258" t="s">
        <v>351</v>
      </c>
      <c r="B47" s="378">
        <v>12</v>
      </c>
      <c r="C47" s="657">
        <v>8969</v>
      </c>
      <c r="D47" s="657">
        <v>10900</v>
      </c>
    </row>
    <row r="48" spans="1:4" x14ac:dyDescent="0.2">
      <c r="A48" s="258" t="s">
        <v>352</v>
      </c>
      <c r="B48" s="378">
        <v>13</v>
      </c>
      <c r="C48" s="657">
        <v>23786</v>
      </c>
      <c r="D48" s="657">
        <v>37521</v>
      </c>
    </row>
    <row r="49" spans="1:11" x14ac:dyDescent="0.2">
      <c r="A49" s="258" t="s">
        <v>353</v>
      </c>
      <c r="B49" s="378">
        <v>13</v>
      </c>
      <c r="C49" s="671">
        <v>37986</v>
      </c>
      <c r="D49" s="671">
        <v>31590</v>
      </c>
    </row>
    <row r="50" spans="1:11" x14ac:dyDescent="0.2">
      <c r="A50" s="258" t="s">
        <v>345</v>
      </c>
      <c r="B50" s="378">
        <v>10</v>
      </c>
      <c r="C50" s="657">
        <v>62556</v>
      </c>
      <c r="D50" s="668" t="s">
        <v>633</v>
      </c>
    </row>
    <row r="51" spans="1:11" x14ac:dyDescent="0.2">
      <c r="A51" s="258" t="s">
        <v>355</v>
      </c>
      <c r="B51" s="378">
        <v>14</v>
      </c>
      <c r="C51" s="657">
        <v>28605</v>
      </c>
      <c r="D51" s="657">
        <v>32153</v>
      </c>
      <c r="K51" s="645"/>
    </row>
    <row r="52" spans="1:11" x14ac:dyDescent="0.2">
      <c r="A52" s="258" t="s">
        <v>348</v>
      </c>
      <c r="B52" s="378">
        <v>13</v>
      </c>
      <c r="C52" s="671">
        <v>7035</v>
      </c>
      <c r="D52" s="657">
        <v>5415</v>
      </c>
      <c r="K52" s="645"/>
    </row>
    <row r="53" spans="1:11" x14ac:dyDescent="0.2">
      <c r="A53" s="338" t="s">
        <v>356</v>
      </c>
      <c r="B53" s="376"/>
      <c r="C53" s="652">
        <f>SUM(C47:C52)</f>
        <v>168937</v>
      </c>
      <c r="D53" s="652">
        <f>SUM(D47:D52)</f>
        <v>117579</v>
      </c>
      <c r="K53" s="645"/>
    </row>
    <row r="54" spans="1:11" x14ac:dyDescent="0.2">
      <c r="A54" s="265"/>
      <c r="B54" s="266"/>
      <c r="C54" s="669"/>
      <c r="D54" s="672"/>
      <c r="K54" s="645"/>
    </row>
    <row r="55" spans="1:11" x14ac:dyDescent="0.2">
      <c r="A55" s="338" t="s">
        <v>357</v>
      </c>
      <c r="B55" s="376"/>
      <c r="C55" s="652">
        <f>C53+C45</f>
        <v>375909</v>
      </c>
      <c r="D55" s="652">
        <f>D53+D45</f>
        <v>318424</v>
      </c>
    </row>
    <row r="56" spans="1:11" x14ac:dyDescent="0.2">
      <c r="A56" s="363" t="s">
        <v>358</v>
      </c>
      <c r="B56" s="266"/>
      <c r="C56" s="669"/>
      <c r="D56" s="673"/>
    </row>
    <row r="57" spans="1:11" x14ac:dyDescent="0.2">
      <c r="A57" s="363" t="s">
        <v>359</v>
      </c>
      <c r="B57" s="256"/>
      <c r="C57" s="669"/>
      <c r="D57" s="674"/>
    </row>
    <row r="58" spans="1:11" x14ac:dyDescent="0.2">
      <c r="A58" s="258" t="s">
        <v>360</v>
      </c>
      <c r="B58" s="378">
        <v>15</v>
      </c>
      <c r="C58" s="657">
        <v>37123</v>
      </c>
      <c r="D58" s="657">
        <v>47290</v>
      </c>
      <c r="G58" s="1319"/>
      <c r="H58" s="1319"/>
      <c r="I58" s="1319"/>
      <c r="J58" s="644"/>
    </row>
    <row r="59" spans="1:11" x14ac:dyDescent="0.2">
      <c r="A59" s="258" t="s">
        <v>361</v>
      </c>
      <c r="B59" s="378">
        <v>17</v>
      </c>
      <c r="C59" s="657">
        <v>20548</v>
      </c>
      <c r="D59" s="657">
        <v>12261</v>
      </c>
      <c r="G59" s="1319"/>
      <c r="H59" s="1319"/>
      <c r="I59" s="1319"/>
      <c r="J59" s="644"/>
    </row>
    <row r="60" spans="1:11" x14ac:dyDescent="0.2">
      <c r="A60" s="258" t="s">
        <v>362</v>
      </c>
      <c r="B60" s="378">
        <v>16</v>
      </c>
      <c r="C60" s="657">
        <v>144148</v>
      </c>
      <c r="D60" s="657">
        <v>147558</v>
      </c>
      <c r="G60" s="1319"/>
      <c r="H60" s="1319"/>
      <c r="I60" s="1319"/>
      <c r="J60" s="644"/>
    </row>
    <row r="61" spans="1:11" x14ac:dyDescent="0.2">
      <c r="A61" s="258" t="s">
        <v>363</v>
      </c>
      <c r="B61" s="378">
        <v>19</v>
      </c>
      <c r="C61" s="668">
        <v>2148</v>
      </c>
      <c r="D61" s="668">
        <v>5</v>
      </c>
      <c r="G61" s="1319"/>
      <c r="H61" s="1319"/>
      <c r="I61" s="1319"/>
      <c r="J61" s="644"/>
      <c r="K61" s="644"/>
    </row>
    <row r="62" spans="1:11" x14ac:dyDescent="0.2">
      <c r="A62" s="338" t="s">
        <v>364</v>
      </c>
      <c r="B62" s="376"/>
      <c r="C62" s="675">
        <f>SUM(C58:C61)</f>
        <v>203967</v>
      </c>
      <c r="D62" s="676">
        <f>SUM(D58:D61)</f>
        <v>207114</v>
      </c>
      <c r="K62" s="644"/>
    </row>
    <row r="63" spans="1:11" x14ac:dyDescent="0.2">
      <c r="A63" s="363" t="s">
        <v>365</v>
      </c>
      <c r="B63" s="266"/>
      <c r="C63" s="669"/>
      <c r="D63" s="672"/>
      <c r="K63" s="644"/>
    </row>
    <row r="64" spans="1:11" x14ac:dyDescent="0.2">
      <c r="A64" s="258" t="s">
        <v>361</v>
      </c>
      <c r="B64" s="378">
        <v>19</v>
      </c>
      <c r="C64" s="657">
        <v>2430</v>
      </c>
      <c r="D64" s="677">
        <v>3616</v>
      </c>
      <c r="K64" s="644"/>
    </row>
    <row r="65" spans="1:15" x14ac:dyDescent="0.2">
      <c r="A65" s="258" t="s">
        <v>366</v>
      </c>
      <c r="B65" s="378">
        <v>20</v>
      </c>
      <c r="C65" s="657">
        <v>147</v>
      </c>
      <c r="D65" s="677">
        <v>837</v>
      </c>
      <c r="K65" s="644"/>
    </row>
    <row r="66" spans="1:15" x14ac:dyDescent="0.2">
      <c r="A66" t="s">
        <v>592</v>
      </c>
      <c r="B66" s="378">
        <v>19</v>
      </c>
      <c r="C66" s="681">
        <v>27197</v>
      </c>
      <c r="D66" s="678">
        <v>0</v>
      </c>
      <c r="G66" s="1318"/>
      <c r="H66" s="1318"/>
      <c r="I66" s="1319"/>
      <c r="J66" s="1319"/>
      <c r="K66" s="1319"/>
    </row>
    <row r="67" spans="1:15" x14ac:dyDescent="0.2">
      <c r="A67" s="338" t="s">
        <v>367</v>
      </c>
      <c r="B67" s="376"/>
      <c r="C67" s="652">
        <f>SUM(C64:C66)</f>
        <v>29774</v>
      </c>
      <c r="D67" s="676">
        <f>SUM(D64:D66)</f>
        <v>4453</v>
      </c>
    </row>
    <row r="68" spans="1:15" x14ac:dyDescent="0.2">
      <c r="A68" s="265"/>
      <c r="B68" s="266"/>
      <c r="C68" s="681"/>
      <c r="D68" s="672"/>
    </row>
    <row r="69" spans="1:15" x14ac:dyDescent="0.2">
      <c r="A69" s="338" t="s">
        <v>368</v>
      </c>
      <c r="B69" s="376"/>
      <c r="C69" s="652">
        <f>SUM(C67,C62)</f>
        <v>233741</v>
      </c>
      <c r="D69" s="652">
        <f>SUM(D67,D62)</f>
        <v>211567</v>
      </c>
    </row>
    <row r="70" spans="1:15" x14ac:dyDescent="0.2">
      <c r="A70" s="338" t="s">
        <v>369</v>
      </c>
      <c r="B70" s="376"/>
      <c r="C70" s="652">
        <f>C55-C69</f>
        <v>142168</v>
      </c>
      <c r="D70" s="652">
        <f>D55-D69</f>
        <v>106857</v>
      </c>
    </row>
    <row r="71" spans="1:15" x14ac:dyDescent="0.2">
      <c r="A71" s="363" t="s">
        <v>370</v>
      </c>
      <c r="B71" s="256"/>
      <c r="C71" s="402"/>
      <c r="D71" s="679"/>
    </row>
    <row r="72" spans="1:15" x14ac:dyDescent="0.2">
      <c r="A72" s="258" t="s">
        <v>371</v>
      </c>
      <c r="B72" s="378">
        <v>22</v>
      </c>
      <c r="C72" s="354">
        <v>40551</v>
      </c>
      <c r="D72" s="646">
        <v>35302</v>
      </c>
    </row>
    <row r="73" spans="1:15" x14ac:dyDescent="0.2">
      <c r="A73" s="258" t="s">
        <v>372</v>
      </c>
      <c r="B73" s="378">
        <v>23</v>
      </c>
      <c r="C73" s="354">
        <v>63524</v>
      </c>
      <c r="D73" s="646">
        <v>55477</v>
      </c>
    </row>
    <row r="74" spans="1:15" x14ac:dyDescent="0.2">
      <c r="A74" s="258" t="s">
        <v>373</v>
      </c>
      <c r="B74" s="256"/>
      <c r="C74" s="354">
        <v>38093</v>
      </c>
      <c r="D74" s="646">
        <v>16078</v>
      </c>
    </row>
    <row r="75" spans="1:15" ht="13.5" thickBot="1" x14ac:dyDescent="0.25">
      <c r="A75" s="368" t="s">
        <v>374</v>
      </c>
      <c r="B75" s="383"/>
      <c r="C75" s="371">
        <f>SUM(C72:C74)</f>
        <v>142168</v>
      </c>
      <c r="D75" s="680">
        <v>106857</v>
      </c>
    </row>
    <row r="76" spans="1:15" ht="44.25" x14ac:dyDescent="0.2">
      <c r="A76" s="384" t="s">
        <v>836</v>
      </c>
      <c r="B76" s="385"/>
      <c r="D76" s="360"/>
    </row>
    <row r="77" spans="1:15" x14ac:dyDescent="0.2">
      <c r="A77" s="265"/>
      <c r="B77" s="266"/>
      <c r="D77" s="360"/>
    </row>
    <row r="78" spans="1:15" x14ac:dyDescent="0.2">
      <c r="A78" s="160"/>
      <c r="B78" s="334"/>
      <c r="C78" s="333">
        <v>2020</v>
      </c>
      <c r="D78" s="333">
        <v>2019</v>
      </c>
    </row>
    <row r="79" spans="1:15" ht="12.75" customHeight="1" x14ac:dyDescent="0.2">
      <c r="A79" s="265"/>
      <c r="B79" s="332" t="s">
        <v>308</v>
      </c>
      <c r="C79" s="336" t="s">
        <v>310</v>
      </c>
      <c r="D79" s="336" t="s">
        <v>310</v>
      </c>
      <c r="N79" t="s">
        <v>309</v>
      </c>
      <c r="O79" t="s">
        <v>309</v>
      </c>
    </row>
    <row r="80" spans="1:15" ht="12.75" customHeight="1" x14ac:dyDescent="0.2">
      <c r="A80" s="363" t="s">
        <v>376</v>
      </c>
      <c r="B80" s="37"/>
      <c r="C80" s="333"/>
      <c r="D80" s="320"/>
    </row>
    <row r="81" spans="1:6" ht="12.75" customHeight="1" x14ac:dyDescent="0.2">
      <c r="A81" s="258" t="s">
        <v>377</v>
      </c>
      <c r="B81" s="37"/>
      <c r="C81" s="354">
        <v>340405</v>
      </c>
      <c r="D81" s="354">
        <v>310883</v>
      </c>
    </row>
    <row r="82" spans="1:6" ht="12.75" customHeight="1" x14ac:dyDescent="0.2">
      <c r="A82" s="258" t="s">
        <v>378</v>
      </c>
      <c r="B82" s="37"/>
      <c r="C82" s="683" t="s">
        <v>633</v>
      </c>
      <c r="D82" s="346">
        <v>-1957</v>
      </c>
      <c r="E82" s="682"/>
      <c r="F82" s="682"/>
    </row>
    <row r="83" spans="1:6" ht="18.75" customHeight="1" x14ac:dyDescent="0.2">
      <c r="A83" s="258" t="s">
        <v>379</v>
      </c>
      <c r="B83" s="37"/>
      <c r="C83" s="346">
        <v>-222036</v>
      </c>
      <c r="D83" s="346">
        <v>-221167</v>
      </c>
    </row>
    <row r="84" spans="1:6" ht="12.75" customHeight="1" x14ac:dyDescent="0.2">
      <c r="A84" s="258" t="s">
        <v>380</v>
      </c>
      <c r="B84" s="37"/>
      <c r="C84" s="346">
        <v>353</v>
      </c>
      <c r="D84" s="380">
        <v>634</v>
      </c>
    </row>
    <row r="85" spans="1:6" ht="12.75" customHeight="1" x14ac:dyDescent="0.2">
      <c r="A85" s="258" t="s">
        <v>381</v>
      </c>
      <c r="B85" s="37"/>
      <c r="C85" s="380">
        <v>-13716</v>
      </c>
      <c r="D85" s="346">
        <v>-11534</v>
      </c>
    </row>
    <row r="86" spans="1:6" ht="12.75" customHeight="1" x14ac:dyDescent="0.2">
      <c r="A86" s="258" t="s">
        <v>382</v>
      </c>
      <c r="B86" s="684">
        <v>19</v>
      </c>
      <c r="C86" s="346">
        <v>-1495</v>
      </c>
      <c r="D86" s="352">
        <v>-24</v>
      </c>
    </row>
    <row r="87" spans="1:6" ht="18" customHeight="1" x14ac:dyDescent="0.2">
      <c r="A87" s="338" t="s">
        <v>383</v>
      </c>
      <c r="B87" s="339">
        <v>29</v>
      </c>
      <c r="C87" s="341">
        <f>SUM(C81:C86)</f>
        <v>103511</v>
      </c>
      <c r="D87" s="341">
        <f>SUM(D81:D86)</f>
        <v>76835</v>
      </c>
    </row>
    <row r="88" spans="1:6" ht="12.75" customHeight="1" x14ac:dyDescent="0.2">
      <c r="A88" s="363" t="s">
        <v>384</v>
      </c>
      <c r="B88" s="37"/>
      <c r="C88" s="402"/>
      <c r="D88" s="320"/>
    </row>
    <row r="89" spans="1:6" ht="12.75" customHeight="1" x14ac:dyDescent="0.2">
      <c r="A89" s="258" t="s">
        <v>385</v>
      </c>
      <c r="B89" s="37"/>
      <c r="C89" s="346">
        <v>-223</v>
      </c>
      <c r="D89" s="346">
        <v>-4059</v>
      </c>
    </row>
    <row r="90" spans="1:6" ht="12.75" customHeight="1" x14ac:dyDescent="0.2">
      <c r="A90" s="258" t="s">
        <v>386</v>
      </c>
      <c r="B90" s="37"/>
      <c r="C90" s="346">
        <v>-1979</v>
      </c>
      <c r="D90" s="346">
        <v>-2350</v>
      </c>
    </row>
    <row r="91" spans="1:6" x14ac:dyDescent="0.2">
      <c r="A91" s="258" t="s">
        <v>387</v>
      </c>
      <c r="B91" s="37"/>
      <c r="C91" s="346">
        <v>-42859</v>
      </c>
      <c r="D91" s="346">
        <v>-35927</v>
      </c>
    </row>
    <row r="92" spans="1:6" ht="12.75" customHeight="1" x14ac:dyDescent="0.2">
      <c r="A92" s="258" t="s">
        <v>388</v>
      </c>
      <c r="B92" s="37"/>
      <c r="C92" s="380" t="s">
        <v>354</v>
      </c>
      <c r="D92" s="380" t="s">
        <v>354</v>
      </c>
    </row>
    <row r="93" spans="1:6" ht="18" x14ac:dyDescent="0.2">
      <c r="A93" s="338" t="s">
        <v>389</v>
      </c>
      <c r="B93" s="347"/>
      <c r="C93" s="349">
        <f>SUM(C89:C92)</f>
        <v>-45061</v>
      </c>
      <c r="D93" s="349">
        <f>SUM(D89:D92)</f>
        <v>-42336</v>
      </c>
    </row>
    <row r="94" spans="1:6" ht="12.75" customHeight="1" x14ac:dyDescent="0.15">
      <c r="A94" s="389" t="s">
        <v>390</v>
      </c>
      <c r="B94" s="29"/>
      <c r="D94" s="360"/>
    </row>
    <row r="95" spans="1:6" ht="12.75" customHeight="1" x14ac:dyDescent="0.2">
      <c r="A95" s="258" t="s">
        <v>391</v>
      </c>
      <c r="B95" s="37"/>
      <c r="C95" s="393">
        <v>5248</v>
      </c>
      <c r="D95" s="402">
        <v>2075</v>
      </c>
    </row>
    <row r="96" spans="1:6" ht="12.75" customHeight="1" x14ac:dyDescent="0.2">
      <c r="A96" s="258" t="s">
        <v>392</v>
      </c>
      <c r="B96" s="350">
        <v>19</v>
      </c>
      <c r="C96" s="393">
        <v>-4512</v>
      </c>
      <c r="D96" s="402" t="s">
        <v>354</v>
      </c>
    </row>
    <row r="97" spans="1:17 16384:16384" ht="12.75" customHeight="1" x14ac:dyDescent="0.2">
      <c r="A97" s="258" t="s">
        <v>393</v>
      </c>
      <c r="B97" s="350">
        <v>23</v>
      </c>
      <c r="C97" s="393">
        <v>-38988</v>
      </c>
      <c r="D97" s="402">
        <v>-35850</v>
      </c>
    </row>
    <row r="98" spans="1:17 16384:16384" ht="18" customHeight="1" x14ac:dyDescent="0.2">
      <c r="A98" s="338" t="s">
        <v>394</v>
      </c>
      <c r="B98" s="347"/>
      <c r="C98" s="349">
        <f>SUM(C95:C97)</f>
        <v>-38252</v>
      </c>
      <c r="D98" s="349">
        <f>SUM(D95:D97)</f>
        <v>-33775</v>
      </c>
    </row>
    <row r="99" spans="1:17 16384:16384" ht="18" customHeight="1" x14ac:dyDescent="0.15">
      <c r="A99" s="389" t="s">
        <v>395</v>
      </c>
      <c r="B99" s="29"/>
      <c r="C99" s="391">
        <v>20198</v>
      </c>
      <c r="D99" s="391">
        <v>724</v>
      </c>
    </row>
    <row r="100" spans="1:17 16384:16384" ht="18" customHeight="1" x14ac:dyDescent="0.2">
      <c r="A100" s="258" t="s">
        <v>396</v>
      </c>
      <c r="B100" s="37"/>
      <c r="C100" s="354">
        <v>105046</v>
      </c>
      <c r="D100" s="354">
        <v>104322</v>
      </c>
    </row>
    <row r="101" spans="1:17 16384:16384" ht="13.5" customHeight="1" thickBot="1" x14ac:dyDescent="0.25">
      <c r="A101" s="368" t="s">
        <v>397</v>
      </c>
      <c r="B101" s="392">
        <v>8</v>
      </c>
      <c r="C101" s="371">
        <f>SUM(C99:C100)</f>
        <v>125244</v>
      </c>
      <c r="D101" s="371">
        <f>SUM(D99:D100)</f>
        <v>105046</v>
      </c>
    </row>
    <row r="102" spans="1:17 16384:16384" ht="12.75" customHeight="1" x14ac:dyDescent="0.2">
      <c r="A102" s="1"/>
      <c r="B102" s="1"/>
      <c r="C102" s="29"/>
      <c r="D102" s="29"/>
    </row>
    <row r="105" spans="1:17 16384:16384" ht="36.75" customHeight="1" thickBot="1" x14ac:dyDescent="0.25">
      <c r="Q105" s="690"/>
    </row>
    <row r="106" spans="1:17 16384:16384" ht="27.75" thickBot="1" x14ac:dyDescent="0.2">
      <c r="A106" s="54" t="s">
        <v>817</v>
      </c>
      <c r="B106" s="55" t="s">
        <v>83</v>
      </c>
      <c r="C106" s="297" t="s">
        <v>84</v>
      </c>
      <c r="D106" s="56" t="s">
        <v>85</v>
      </c>
      <c r="E106" s="56" t="s">
        <v>86</v>
      </c>
      <c r="F106" s="56" t="s">
        <v>87</v>
      </c>
      <c r="G106" s="56" t="s">
        <v>88</v>
      </c>
      <c r="H106" s="57" t="s">
        <v>89</v>
      </c>
    </row>
    <row r="107" spans="1:17 16384:16384" x14ac:dyDescent="0.2">
      <c r="A107" s="64" t="s">
        <v>818</v>
      </c>
      <c r="B107" s="59"/>
      <c r="C107" s="318">
        <v>35302</v>
      </c>
      <c r="D107" s="318">
        <v>16078</v>
      </c>
      <c r="E107" s="318">
        <v>27905</v>
      </c>
      <c r="F107" s="319">
        <v>1850</v>
      </c>
      <c r="G107" s="318">
        <v>25722</v>
      </c>
      <c r="H107" s="308">
        <v>106857</v>
      </c>
    </row>
    <row r="108" spans="1:17 16384:16384" x14ac:dyDescent="0.2">
      <c r="A108" s="64" t="s">
        <v>819</v>
      </c>
      <c r="B108" s="59" t="s">
        <v>820</v>
      </c>
      <c r="C108" s="692" t="s">
        <v>633</v>
      </c>
      <c r="D108" s="687">
        <v>199</v>
      </c>
      <c r="E108" s="692" t="s">
        <v>633</v>
      </c>
      <c r="F108" s="692" t="s">
        <v>633</v>
      </c>
      <c r="G108" s="692" t="s">
        <v>633</v>
      </c>
      <c r="H108" s="308">
        <v>199</v>
      </c>
    </row>
    <row r="109" spans="1:17 16384:16384" x14ac:dyDescent="0.2">
      <c r="A109" s="693" t="s">
        <v>821</v>
      </c>
      <c r="B109" s="59"/>
      <c r="C109" s="688">
        <v>35302</v>
      </c>
      <c r="D109" s="688">
        <v>16277</v>
      </c>
      <c r="E109" s="688">
        <v>27905</v>
      </c>
      <c r="F109" s="688">
        <v>1850</v>
      </c>
      <c r="G109" s="688">
        <v>25722</v>
      </c>
      <c r="H109" s="308">
        <f>SUM(C109:G109)</f>
        <v>107056</v>
      </c>
      <c r="XFD109" s="691"/>
    </row>
    <row r="110" spans="1:17 16384:16384" ht="18" customHeight="1" x14ac:dyDescent="0.2">
      <c r="A110" s="693" t="s">
        <v>822</v>
      </c>
      <c r="B110" s="59"/>
      <c r="C110" s="688" t="s">
        <v>633</v>
      </c>
      <c r="D110" s="688" t="s">
        <v>633</v>
      </c>
      <c r="E110" s="688" t="s">
        <v>633</v>
      </c>
      <c r="F110" s="688">
        <v>286</v>
      </c>
      <c r="G110" s="688" t="s">
        <v>633</v>
      </c>
      <c r="H110" s="308">
        <f>SUM(C110:G110)</f>
        <v>286</v>
      </c>
      <c r="XFD110" s="691"/>
    </row>
    <row r="111" spans="1:17 16384:16384" x14ac:dyDescent="0.2">
      <c r="A111" s="693" t="s">
        <v>825</v>
      </c>
      <c r="B111" s="59"/>
      <c r="C111" s="688" t="s">
        <v>633</v>
      </c>
      <c r="D111" s="688">
        <v>62945</v>
      </c>
      <c r="E111" s="688" t="s">
        <v>633</v>
      </c>
      <c r="F111" s="688" t="s">
        <v>633</v>
      </c>
      <c r="G111" s="688" t="s">
        <v>633</v>
      </c>
      <c r="H111" s="308">
        <f t="shared" ref="H111:H117" si="0">SUM(C111:G111)</f>
        <v>62945</v>
      </c>
    </row>
    <row r="112" spans="1:17 16384:16384" x14ac:dyDescent="0.2">
      <c r="A112" s="693" t="s">
        <v>823</v>
      </c>
      <c r="B112" s="59"/>
      <c r="C112" s="688" t="s">
        <v>633</v>
      </c>
      <c r="D112" s="688">
        <v>62945</v>
      </c>
      <c r="E112" s="688" t="s">
        <v>633</v>
      </c>
      <c r="F112" s="688">
        <v>286</v>
      </c>
      <c r="G112" s="688" t="s">
        <v>633</v>
      </c>
      <c r="H112" s="308">
        <f t="shared" si="0"/>
        <v>63231</v>
      </c>
    </row>
    <row r="113" spans="1:8" x14ac:dyDescent="0.2">
      <c r="A113" s="694" t="s">
        <v>399</v>
      </c>
      <c r="B113" s="59"/>
      <c r="C113" s="688" t="s">
        <v>633</v>
      </c>
      <c r="D113" s="688">
        <v>-41129</v>
      </c>
      <c r="E113" s="688">
        <v>41129</v>
      </c>
      <c r="F113" s="688" t="s">
        <v>633</v>
      </c>
      <c r="G113" s="688" t="s">
        <v>633</v>
      </c>
      <c r="H113" s="308">
        <f t="shared" si="0"/>
        <v>0</v>
      </c>
    </row>
    <row r="114" spans="1:8" x14ac:dyDescent="0.2">
      <c r="A114" s="693" t="s">
        <v>826</v>
      </c>
      <c r="B114" s="59">
        <v>23</v>
      </c>
      <c r="C114" s="688" t="s">
        <v>633</v>
      </c>
      <c r="D114" s="688" t="s">
        <v>633</v>
      </c>
      <c r="E114" s="688">
        <v>-38988</v>
      </c>
      <c r="F114" s="688" t="s">
        <v>633</v>
      </c>
      <c r="G114" s="688" t="s">
        <v>633</v>
      </c>
      <c r="H114" s="308">
        <f t="shared" si="0"/>
        <v>-38988</v>
      </c>
    </row>
    <row r="115" spans="1:8" x14ac:dyDescent="0.2">
      <c r="A115" s="693" t="s">
        <v>827</v>
      </c>
      <c r="B115" s="59">
        <v>21</v>
      </c>
      <c r="C115" s="688">
        <v>5249</v>
      </c>
      <c r="D115" s="688" t="s">
        <v>633</v>
      </c>
      <c r="E115" s="688" t="s">
        <v>633</v>
      </c>
      <c r="F115" s="688" t="s">
        <v>633</v>
      </c>
      <c r="G115" s="688" t="s">
        <v>633</v>
      </c>
      <c r="H115" s="308">
        <f t="shared" si="0"/>
        <v>5249</v>
      </c>
    </row>
    <row r="116" spans="1:8" x14ac:dyDescent="0.2">
      <c r="A116" s="693" t="s">
        <v>828</v>
      </c>
      <c r="B116" s="59">
        <v>31</v>
      </c>
      <c r="C116" s="688" t="s">
        <v>633</v>
      </c>
      <c r="D116" s="688" t="s">
        <v>633</v>
      </c>
      <c r="E116" s="688" t="s">
        <v>633</v>
      </c>
      <c r="F116" s="688" t="s">
        <v>633</v>
      </c>
      <c r="G116" s="688">
        <v>3305</v>
      </c>
      <c r="H116" s="308">
        <f t="shared" si="0"/>
        <v>3305</v>
      </c>
    </row>
    <row r="117" spans="1:8" x14ac:dyDescent="0.2">
      <c r="A117" s="693" t="s">
        <v>829</v>
      </c>
      <c r="B117" s="59"/>
      <c r="C117" s="688" t="s">
        <v>633</v>
      </c>
      <c r="D117" s="688" t="s">
        <v>633</v>
      </c>
      <c r="E117" s="688" t="s">
        <v>633</v>
      </c>
      <c r="F117" s="688" t="s">
        <v>633</v>
      </c>
      <c r="G117" s="688">
        <v>2315</v>
      </c>
      <c r="H117" s="308">
        <f t="shared" si="0"/>
        <v>2315</v>
      </c>
    </row>
    <row r="118" spans="1:8" x14ac:dyDescent="0.2">
      <c r="A118" s="693"/>
      <c r="B118" s="59"/>
      <c r="C118" s="688">
        <f t="shared" ref="C118:H118" si="1">SUM(C113:C117)</f>
        <v>5249</v>
      </c>
      <c r="D118" s="688">
        <f t="shared" si="1"/>
        <v>-41129</v>
      </c>
      <c r="E118" s="688">
        <f t="shared" si="1"/>
        <v>2141</v>
      </c>
      <c r="F118" s="688">
        <f t="shared" si="1"/>
        <v>0</v>
      </c>
      <c r="G118" s="688">
        <f t="shared" si="1"/>
        <v>5620</v>
      </c>
      <c r="H118" s="308">
        <f t="shared" si="1"/>
        <v>-28119</v>
      </c>
    </row>
    <row r="119" spans="1:8" x14ac:dyDescent="0.2">
      <c r="A119" s="64" t="s">
        <v>824</v>
      </c>
      <c r="B119" s="59"/>
      <c r="C119" s="318">
        <f>SUM(C107,C118)</f>
        <v>40551</v>
      </c>
      <c r="D119" s="318">
        <f>SUM(D107,D118,D112)</f>
        <v>37894</v>
      </c>
      <c r="E119" s="318">
        <f>SUM(E107,E118)</f>
        <v>30046</v>
      </c>
      <c r="F119" s="318">
        <f>SUM(F107,F112)</f>
        <v>2136</v>
      </c>
      <c r="G119" s="318">
        <f>SUM(G107,G118)</f>
        <v>31342</v>
      </c>
      <c r="H119" s="308">
        <f>SUM(H107,H118,H112)</f>
        <v>141969</v>
      </c>
    </row>
    <row r="120" spans="1:8" x14ac:dyDescent="0.2">
      <c r="C120"/>
      <c r="E120" s="393"/>
      <c r="F120" s="393"/>
      <c r="G120" s="393"/>
      <c r="H120" s="308"/>
    </row>
    <row r="121" spans="1:8" x14ac:dyDescent="0.2">
      <c r="A121" s="64" t="s">
        <v>398</v>
      </c>
      <c r="B121" s="59"/>
      <c r="C121" s="318">
        <v>33171</v>
      </c>
      <c r="D121" s="318">
        <v>12758</v>
      </c>
      <c r="E121" s="318">
        <v>8616</v>
      </c>
      <c r="F121" s="318">
        <v>651</v>
      </c>
      <c r="G121" s="318">
        <v>22294</v>
      </c>
      <c r="H121" s="308">
        <f>SUM(C121:G121)</f>
        <v>77490</v>
      </c>
    </row>
    <row r="122" spans="1:8" ht="18" x14ac:dyDescent="0.2">
      <c r="A122" s="685" t="s">
        <v>822</v>
      </c>
      <c r="B122" s="686"/>
      <c r="C122" s="687" t="s">
        <v>633</v>
      </c>
      <c r="D122" s="687" t="s">
        <v>633</v>
      </c>
      <c r="E122" s="687" t="s">
        <v>633</v>
      </c>
      <c r="F122" s="687">
        <v>1199</v>
      </c>
      <c r="G122" s="687" t="s">
        <v>633</v>
      </c>
      <c r="H122" s="308">
        <f>SUM(C122:G122)</f>
        <v>1199</v>
      </c>
    </row>
    <row r="123" spans="1:8" x14ac:dyDescent="0.2">
      <c r="A123" s="298" t="s">
        <v>92</v>
      </c>
      <c r="B123" s="318"/>
      <c r="C123" s="318" t="s">
        <v>633</v>
      </c>
      <c r="D123" s="318">
        <v>12758</v>
      </c>
      <c r="E123" s="318" t="s">
        <v>633</v>
      </c>
      <c r="F123" s="318" t="s">
        <v>633</v>
      </c>
      <c r="G123" s="318" t="s">
        <v>633</v>
      </c>
      <c r="H123" s="308">
        <f>SUM(C123:G123)</f>
        <v>12758</v>
      </c>
    </row>
    <row r="124" spans="1:8" x14ac:dyDescent="0.2">
      <c r="A124" s="58" t="s">
        <v>93</v>
      </c>
      <c r="B124" s="59"/>
      <c r="C124" s="687" t="s">
        <v>633</v>
      </c>
      <c r="D124" s="687">
        <v>58459</v>
      </c>
      <c r="E124" s="687" t="s">
        <v>633</v>
      </c>
      <c r="F124" s="687">
        <v>1199</v>
      </c>
      <c r="G124" s="687" t="s">
        <v>633</v>
      </c>
      <c r="H124" s="308">
        <f>SUM(C124:G124)</f>
        <v>59658</v>
      </c>
    </row>
    <row r="125" spans="1:8" x14ac:dyDescent="0.2">
      <c r="B125" s="59"/>
      <c r="C125" s="394"/>
      <c r="D125" s="314"/>
      <c r="E125" s="395"/>
      <c r="F125" s="395"/>
      <c r="G125" s="395"/>
      <c r="H125" s="308"/>
    </row>
    <row r="126" spans="1:8" x14ac:dyDescent="0.2">
      <c r="A126" s="58"/>
      <c r="B126" s="59"/>
      <c r="C126"/>
      <c r="D126"/>
      <c r="H126" s="403"/>
    </row>
    <row r="127" spans="1:8" x14ac:dyDescent="0.2">
      <c r="A127" s="60" t="s">
        <v>96</v>
      </c>
      <c r="B127" s="59"/>
      <c r="C127" s="688" t="s">
        <v>633</v>
      </c>
      <c r="D127" s="688">
        <v>-55139</v>
      </c>
      <c r="E127" s="688">
        <v>55139</v>
      </c>
      <c r="F127" s="688" t="s">
        <v>633</v>
      </c>
      <c r="G127" s="688" t="s">
        <v>633</v>
      </c>
      <c r="H127" s="403">
        <f>SUM(C127:G127)</f>
        <v>0</v>
      </c>
    </row>
    <row r="128" spans="1:8" x14ac:dyDescent="0.15">
      <c r="A128" s="61" t="s">
        <v>95</v>
      </c>
      <c r="B128" s="59">
        <v>23</v>
      </c>
      <c r="C128" s="688" t="s">
        <v>633</v>
      </c>
      <c r="D128" s="688" t="s">
        <v>633</v>
      </c>
      <c r="E128" s="688">
        <v>-35850</v>
      </c>
      <c r="F128" s="688" t="s">
        <v>633</v>
      </c>
      <c r="G128" s="688" t="s">
        <v>633</v>
      </c>
      <c r="H128" s="403">
        <f>SUM(C128:G128)</f>
        <v>-35850</v>
      </c>
    </row>
    <row r="129" spans="1:11" x14ac:dyDescent="0.2">
      <c r="A129" s="60" t="s">
        <v>97</v>
      </c>
      <c r="B129" s="59">
        <v>21</v>
      </c>
      <c r="C129" s="688">
        <v>2131</v>
      </c>
      <c r="D129" s="688" t="s">
        <v>633</v>
      </c>
      <c r="E129" s="688" t="s">
        <v>633</v>
      </c>
      <c r="F129" s="688" t="s">
        <v>633</v>
      </c>
      <c r="G129" s="688" t="s">
        <v>633</v>
      </c>
      <c r="H129" s="403">
        <f>SUM(C129:G129)</f>
        <v>2131</v>
      </c>
    </row>
    <row r="130" spans="1:11" x14ac:dyDescent="0.2">
      <c r="A130" s="60" t="s">
        <v>100</v>
      </c>
      <c r="B130" s="59">
        <v>31</v>
      </c>
      <c r="C130" s="688" t="s">
        <v>633</v>
      </c>
      <c r="D130" s="688" t="s">
        <v>633</v>
      </c>
      <c r="E130" s="688" t="s">
        <v>633</v>
      </c>
      <c r="F130" s="688" t="s">
        <v>633</v>
      </c>
      <c r="G130" s="688">
        <v>1947</v>
      </c>
      <c r="H130" s="403">
        <f>SUM(C130:G130)</f>
        <v>1947</v>
      </c>
    </row>
    <row r="131" spans="1:11" x14ac:dyDescent="0.2">
      <c r="A131" s="60" t="s">
        <v>99</v>
      </c>
      <c r="B131" s="59"/>
      <c r="C131" s="688" t="s">
        <v>633</v>
      </c>
      <c r="D131" s="688" t="s">
        <v>633</v>
      </c>
      <c r="E131" s="688" t="s">
        <v>633</v>
      </c>
      <c r="F131" s="688" t="s">
        <v>633</v>
      </c>
      <c r="G131" s="688">
        <v>1481</v>
      </c>
      <c r="H131" s="403">
        <f>SUM(C131:G131)</f>
        <v>1481</v>
      </c>
    </row>
    <row r="132" spans="1:11" x14ac:dyDescent="0.2">
      <c r="A132" s="62"/>
      <c r="B132" s="59"/>
      <c r="C132" s="688">
        <f t="shared" ref="C132:H132" si="2">SUM(C127:C131)</f>
        <v>2131</v>
      </c>
      <c r="D132" s="688">
        <f t="shared" si="2"/>
        <v>-55139</v>
      </c>
      <c r="E132" s="688">
        <f t="shared" si="2"/>
        <v>19289</v>
      </c>
      <c r="F132" s="688">
        <f t="shared" si="2"/>
        <v>0</v>
      </c>
      <c r="G132" s="688">
        <f t="shared" si="2"/>
        <v>3428</v>
      </c>
      <c r="H132" s="403">
        <f t="shared" si="2"/>
        <v>-30291</v>
      </c>
    </row>
    <row r="133" spans="1:11" ht="13.5" thickBot="1" x14ac:dyDescent="0.25">
      <c r="A133" s="65" t="s">
        <v>824</v>
      </c>
      <c r="B133" s="63"/>
      <c r="C133" s="323">
        <f>SUM(C132,C121)</f>
        <v>35302</v>
      </c>
      <c r="D133" s="323">
        <f>SUM(D132,D121)</f>
        <v>-42381</v>
      </c>
      <c r="E133" s="323">
        <f>SUM(E132,E121)</f>
        <v>27905</v>
      </c>
      <c r="F133" s="323">
        <f>SUM(F132,F121)</f>
        <v>651</v>
      </c>
      <c r="G133" s="323">
        <f>SUM(G132,G121)</f>
        <v>25722</v>
      </c>
      <c r="H133" s="325">
        <f>SUM(H132,H124,H121)</f>
        <v>106857</v>
      </c>
      <c r="J133" s="395"/>
      <c r="K133" s="395"/>
    </row>
    <row r="134" spans="1:11" x14ac:dyDescent="0.2">
      <c r="A134" s="60"/>
      <c r="B134" s="686"/>
      <c r="C134" s="695"/>
      <c r="D134" s="395"/>
      <c r="E134" s="395"/>
      <c r="J134" s="395"/>
      <c r="K134" s="314"/>
    </row>
    <row r="135" spans="1:11" x14ac:dyDescent="0.2">
      <c r="A135" s="60"/>
      <c r="B135" s="686"/>
      <c r="C135" s="395"/>
      <c r="D135" s="395"/>
      <c r="E135" s="395"/>
      <c r="J135" s="395"/>
      <c r="K135" s="314"/>
    </row>
    <row r="136" spans="1:11" x14ac:dyDescent="0.2">
      <c r="A136" t="s">
        <v>404</v>
      </c>
      <c r="B136" s="686"/>
      <c r="C136" s="316"/>
      <c r="D136" s="316"/>
      <c r="E136" s="316"/>
      <c r="J136" s="395"/>
      <c r="K136" s="314"/>
    </row>
    <row r="137" spans="1:11" x14ac:dyDescent="0.2">
      <c r="A137" t="s">
        <v>405</v>
      </c>
      <c r="B137" s="686"/>
      <c r="C137" s="687"/>
      <c r="D137" s="687"/>
      <c r="E137" s="689"/>
      <c r="J137" s="689"/>
      <c r="K137" s="689"/>
    </row>
  </sheetData>
  <mergeCells count="6">
    <mergeCell ref="G66:H66"/>
    <mergeCell ref="I66:K66"/>
    <mergeCell ref="G58:I58"/>
    <mergeCell ref="G59:I59"/>
    <mergeCell ref="G60:I60"/>
    <mergeCell ref="G61:I6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FD137"/>
  <sheetViews>
    <sheetView topLeftCell="A111" workbookViewId="0">
      <selection activeCell="E142" sqref="E142"/>
    </sheetView>
  </sheetViews>
  <sheetFormatPr defaultRowHeight="12.75" x14ac:dyDescent="0.2"/>
  <cols>
    <col min="1" max="1" width="43.33203125" customWidth="1"/>
    <col min="2" max="2" width="9.33203125" customWidth="1"/>
    <col min="3" max="4" width="13.33203125" style="393" customWidth="1"/>
    <col min="5" max="5" width="26.33203125" bestFit="1" customWidth="1"/>
    <col min="6" max="9" width="16.5" customWidth="1"/>
    <col min="10" max="10" width="24.83203125" bestFit="1" customWidth="1"/>
    <col min="11" max="11" width="30.5" customWidth="1"/>
    <col min="18" max="18" width="18.5" customWidth="1"/>
    <col min="19" max="19" width="16.83203125" customWidth="1"/>
    <col min="20" max="20" width="18.5" customWidth="1"/>
    <col min="21" max="21" width="23.1640625" customWidth="1"/>
    <col min="22" max="22" width="15.6640625" customWidth="1"/>
    <col min="24" max="24" width="9.83203125" bestFit="1" customWidth="1"/>
  </cols>
  <sheetData>
    <row r="1" spans="1:11" ht="38.25" x14ac:dyDescent="0.2">
      <c r="A1" s="592" t="s">
        <v>306</v>
      </c>
      <c r="B1" s="329"/>
      <c r="C1" s="697"/>
      <c r="D1" s="717" t="s">
        <v>813</v>
      </c>
      <c r="E1" s="266"/>
      <c r="H1" t="s">
        <v>839</v>
      </c>
      <c r="J1" s="266"/>
      <c r="K1" s="266"/>
    </row>
    <row r="2" spans="1:11" x14ac:dyDescent="0.2">
      <c r="A2" s="160"/>
      <c r="B2" s="331" t="s">
        <v>308</v>
      </c>
      <c r="C2" s="698">
        <v>2020</v>
      </c>
      <c r="D2" s="718" t="s">
        <v>830</v>
      </c>
      <c r="E2" s="334"/>
      <c r="H2" t="s">
        <v>802</v>
      </c>
      <c r="J2" s="334"/>
      <c r="K2" s="334"/>
    </row>
    <row r="3" spans="1:11" x14ac:dyDescent="0.2">
      <c r="A3" s="265"/>
      <c r="B3" s="266"/>
      <c r="C3" s="699" t="s">
        <v>309</v>
      </c>
      <c r="D3" s="719" t="s">
        <v>814</v>
      </c>
      <c r="E3" s="337"/>
      <c r="H3" t="s">
        <v>803</v>
      </c>
    </row>
    <row r="4" spans="1:11" x14ac:dyDescent="0.2">
      <c r="A4" s="338" t="s">
        <v>311</v>
      </c>
      <c r="B4" s="339">
        <v>5</v>
      </c>
      <c r="C4" s="675">
        <v>298267</v>
      </c>
      <c r="D4" s="676">
        <v>144300</v>
      </c>
      <c r="E4" s="675" t="s">
        <v>833</v>
      </c>
      <c r="F4" s="640"/>
      <c r="H4" t="s">
        <v>804</v>
      </c>
    </row>
    <row r="5" spans="1:11" x14ac:dyDescent="0.2">
      <c r="A5" s="342" t="s">
        <v>312</v>
      </c>
      <c r="B5" s="29"/>
      <c r="C5" s="700">
        <v>-19130</v>
      </c>
      <c r="D5" s="720"/>
      <c r="H5" t="s">
        <v>805</v>
      </c>
    </row>
    <row r="6" spans="1:11" x14ac:dyDescent="0.2">
      <c r="A6" s="258" t="s">
        <v>313</v>
      </c>
      <c r="B6" s="37"/>
      <c r="C6" s="701">
        <v>-19479</v>
      </c>
      <c r="D6" s="721"/>
      <c r="H6" t="s">
        <v>806</v>
      </c>
    </row>
    <row r="7" spans="1:11" x14ac:dyDescent="0.2">
      <c r="A7" s="338" t="s">
        <v>314</v>
      </c>
      <c r="B7" s="347"/>
      <c r="C7" s="702">
        <v>-38609</v>
      </c>
      <c r="D7" s="722"/>
      <c r="H7" t="s">
        <v>807</v>
      </c>
    </row>
    <row r="8" spans="1:11" x14ac:dyDescent="0.2">
      <c r="A8" s="342" t="s">
        <v>315</v>
      </c>
      <c r="B8" s="29"/>
      <c r="C8" s="700">
        <v>-3259</v>
      </c>
      <c r="D8" s="720"/>
      <c r="H8" t="s">
        <v>808</v>
      </c>
    </row>
    <row r="9" spans="1:11" x14ac:dyDescent="0.2">
      <c r="A9" s="258" t="s">
        <v>316</v>
      </c>
      <c r="B9" s="37"/>
      <c r="C9" s="701">
        <v>-18312</v>
      </c>
      <c r="D9" s="721"/>
      <c r="H9" t="s">
        <v>809</v>
      </c>
    </row>
    <row r="10" spans="1:11" x14ac:dyDescent="0.2">
      <c r="A10" s="258" t="s">
        <v>317</v>
      </c>
      <c r="B10" s="350">
        <v>6</v>
      </c>
      <c r="C10" s="701">
        <v>-18638</v>
      </c>
      <c r="D10" s="721"/>
      <c r="H10" t="s">
        <v>810</v>
      </c>
      <c r="K10" s="640"/>
    </row>
    <row r="11" spans="1:11" x14ac:dyDescent="0.2">
      <c r="A11" s="258" t="s">
        <v>318</v>
      </c>
      <c r="B11" s="37"/>
      <c r="C11" s="701">
        <v>-8019</v>
      </c>
      <c r="D11" s="721"/>
    </row>
    <row r="12" spans="1:11" x14ac:dyDescent="0.2">
      <c r="A12" s="258" t="s">
        <v>319</v>
      </c>
      <c r="B12" s="37"/>
      <c r="C12" s="701">
        <v>-5296</v>
      </c>
      <c r="D12" s="721"/>
      <c r="H12" s="640"/>
      <c r="I12" s="640"/>
    </row>
    <row r="13" spans="1:11" x14ac:dyDescent="0.2">
      <c r="A13" s="258" t="s">
        <v>320</v>
      </c>
      <c r="B13" s="37"/>
      <c r="C13" s="701">
        <v>-119615</v>
      </c>
      <c r="D13" s="721"/>
      <c r="J13" s="640"/>
      <c r="K13" s="640"/>
    </row>
    <row r="14" spans="1:11" x14ac:dyDescent="0.2">
      <c r="A14" s="258" t="s">
        <v>321</v>
      </c>
      <c r="B14" s="37"/>
      <c r="C14" s="701">
        <v>-3305</v>
      </c>
      <c r="D14" s="721"/>
      <c r="I14" s="640"/>
      <c r="J14" s="640"/>
    </row>
    <row r="15" spans="1:11" x14ac:dyDescent="0.2">
      <c r="A15" s="258" t="s">
        <v>322</v>
      </c>
      <c r="B15" s="37"/>
      <c r="C15" s="703">
        <v>-1495</v>
      </c>
      <c r="D15" s="723"/>
      <c r="I15" s="640"/>
      <c r="J15" s="640"/>
    </row>
    <row r="16" spans="1:11" x14ac:dyDescent="0.2">
      <c r="A16" s="338" t="s">
        <v>323</v>
      </c>
      <c r="B16" s="347"/>
      <c r="C16" s="702">
        <f>SUM(C8:C15)</f>
        <v>-177939</v>
      </c>
      <c r="D16" s="722">
        <v>107400</v>
      </c>
      <c r="E16" s="675" t="s">
        <v>834</v>
      </c>
      <c r="F16" s="640"/>
      <c r="H16" s="640"/>
      <c r="I16" s="640"/>
    </row>
    <row r="17" spans="1:11" x14ac:dyDescent="0.2">
      <c r="A17" s="258" t="s">
        <v>324</v>
      </c>
      <c r="B17" s="301" t="s">
        <v>325</v>
      </c>
      <c r="C17" s="704">
        <v>751</v>
      </c>
      <c r="D17" s="677"/>
      <c r="J17" s="640"/>
      <c r="K17" s="640"/>
    </row>
    <row r="18" spans="1:11" x14ac:dyDescent="0.2">
      <c r="A18" s="338" t="s">
        <v>326</v>
      </c>
      <c r="B18" s="339">
        <v>7</v>
      </c>
      <c r="C18" s="675">
        <v>82470</v>
      </c>
      <c r="D18" s="676">
        <v>37300</v>
      </c>
      <c r="E18" s="675" t="s">
        <v>832</v>
      </c>
      <c r="F18" s="642"/>
      <c r="J18" s="640"/>
      <c r="K18" s="640"/>
    </row>
    <row r="19" spans="1:11" x14ac:dyDescent="0.2">
      <c r="A19" s="258" t="s">
        <v>327</v>
      </c>
      <c r="B19" s="350">
        <v>7</v>
      </c>
      <c r="C19" s="701">
        <v>-19525</v>
      </c>
      <c r="D19" s="721"/>
      <c r="F19" s="643" t="s">
        <v>812</v>
      </c>
      <c r="H19" s="640"/>
      <c r="I19" s="640"/>
    </row>
    <row r="20" spans="1:11" x14ac:dyDescent="0.2">
      <c r="A20" s="338" t="s">
        <v>328</v>
      </c>
      <c r="B20" s="347"/>
      <c r="C20" s="675">
        <v>62945</v>
      </c>
      <c r="D20" s="676">
        <v>28200</v>
      </c>
      <c r="E20" s="675" t="s">
        <v>831</v>
      </c>
      <c r="H20" s="640"/>
      <c r="I20" s="640"/>
    </row>
    <row r="21" spans="1:11" x14ac:dyDescent="0.2">
      <c r="A21" s="355"/>
      <c r="B21" s="29"/>
      <c r="C21" s="705" t="s">
        <v>815</v>
      </c>
      <c r="D21" s="724" t="s">
        <v>75</v>
      </c>
      <c r="I21" s="640"/>
      <c r="J21" s="640"/>
    </row>
    <row r="22" spans="1:11" x14ac:dyDescent="0.2">
      <c r="A22" s="258" t="s">
        <v>330</v>
      </c>
      <c r="B22" s="350">
        <v>33</v>
      </c>
      <c r="C22" s="706">
        <v>19.75</v>
      </c>
      <c r="D22" s="725">
        <v>18.43</v>
      </c>
      <c r="I22" s="640"/>
    </row>
    <row r="23" spans="1:11" x14ac:dyDescent="0.2">
      <c r="A23" s="258" t="s">
        <v>331</v>
      </c>
      <c r="B23" s="350">
        <v>33</v>
      </c>
      <c r="C23" s="706">
        <v>19.61</v>
      </c>
      <c r="D23" s="725">
        <v>18.3</v>
      </c>
      <c r="I23" s="640"/>
      <c r="J23" s="640"/>
    </row>
    <row r="24" spans="1:11" ht="22.5" x14ac:dyDescent="0.2">
      <c r="A24" s="641" t="s">
        <v>811</v>
      </c>
      <c r="B24" s="256"/>
      <c r="C24" s="665" t="s">
        <v>816</v>
      </c>
      <c r="D24" s="718" t="s">
        <v>830</v>
      </c>
      <c r="J24" s="640"/>
    </row>
    <row r="25" spans="1:11" x14ac:dyDescent="0.2">
      <c r="A25" s="338" t="s">
        <v>328</v>
      </c>
      <c r="B25" s="361"/>
      <c r="C25" s="675">
        <v>62945</v>
      </c>
      <c r="D25" s="676">
        <v>58459</v>
      </c>
      <c r="J25" s="640"/>
      <c r="K25" s="640"/>
    </row>
    <row r="26" spans="1:11" x14ac:dyDescent="0.2">
      <c r="A26" s="363" t="s">
        <v>335</v>
      </c>
      <c r="B26" s="331"/>
      <c r="C26" s="699"/>
      <c r="D26" s="719"/>
      <c r="J26" s="640"/>
      <c r="K26" s="640"/>
    </row>
    <row r="27" spans="1:11" ht="18" x14ac:dyDescent="0.2">
      <c r="A27" s="355" t="s">
        <v>336</v>
      </c>
      <c r="B27" s="253"/>
      <c r="C27" s="707"/>
      <c r="D27" s="726"/>
      <c r="J27" s="640"/>
      <c r="K27" s="640"/>
    </row>
    <row r="28" spans="1:11" ht="18" x14ac:dyDescent="0.2">
      <c r="A28" s="363" t="s">
        <v>337</v>
      </c>
      <c r="B28" s="331"/>
      <c r="C28" s="708">
        <v>286</v>
      </c>
      <c r="D28" s="727">
        <v>1199</v>
      </c>
      <c r="E28" s="640"/>
    </row>
    <row r="29" spans="1:11" ht="13.5" thickBot="1" x14ac:dyDescent="0.25">
      <c r="A29" s="368" t="s">
        <v>338</v>
      </c>
      <c r="B29" s="369"/>
      <c r="C29" s="709">
        <f>C25+C28</f>
        <v>63231</v>
      </c>
      <c r="D29" s="728">
        <f>D25+D28</f>
        <v>59658</v>
      </c>
    </row>
    <row r="30" spans="1:11" x14ac:dyDescent="0.2">
      <c r="A30" s="256"/>
      <c r="B30" s="256"/>
      <c r="C30" s="664"/>
      <c r="D30" s="729"/>
    </row>
    <row r="31" spans="1:11" x14ac:dyDescent="0.2">
      <c r="A31" s="372"/>
      <c r="B31" s="372"/>
      <c r="C31" s="648"/>
      <c r="D31" s="730"/>
    </row>
    <row r="32" spans="1:11" ht="13.5" thickBot="1" x14ac:dyDescent="0.25">
      <c r="B32" s="1"/>
      <c r="C32" s="665"/>
      <c r="D32" s="731"/>
    </row>
    <row r="33" spans="1:5" ht="15" x14ac:dyDescent="0.2">
      <c r="A33" s="374" t="s">
        <v>840</v>
      </c>
      <c r="B33" s="329"/>
      <c r="C33" s="710"/>
      <c r="D33" s="732"/>
    </row>
    <row r="34" spans="1:5" x14ac:dyDescent="0.2">
      <c r="A34" s="160"/>
      <c r="B34" s="334"/>
      <c r="C34" s="698">
        <v>2020</v>
      </c>
      <c r="D34" s="718" t="s">
        <v>830</v>
      </c>
    </row>
    <row r="35" spans="1:5" x14ac:dyDescent="0.2">
      <c r="A35" s="265"/>
      <c r="B35" s="331" t="s">
        <v>308</v>
      </c>
      <c r="C35" s="699" t="s">
        <v>814</v>
      </c>
      <c r="D35" s="719" t="s">
        <v>814</v>
      </c>
    </row>
    <row r="36" spans="1:5" x14ac:dyDescent="0.2">
      <c r="A36" s="338" t="s">
        <v>340</v>
      </c>
      <c r="B36" s="376"/>
      <c r="C36" s="711"/>
      <c r="D36" s="733"/>
    </row>
    <row r="37" spans="1:5" x14ac:dyDescent="0.2">
      <c r="A37" s="363" t="s">
        <v>341</v>
      </c>
      <c r="B37" s="256"/>
      <c r="C37" s="704"/>
      <c r="D37" s="677"/>
    </row>
    <row r="38" spans="1:5" x14ac:dyDescent="0.2">
      <c r="A38" s="258" t="s">
        <v>342</v>
      </c>
      <c r="B38" s="378">
        <v>8</v>
      </c>
      <c r="C38" s="704">
        <v>125244</v>
      </c>
      <c r="D38" s="677">
        <v>100132</v>
      </c>
      <c r="E38" s="675" t="s">
        <v>835</v>
      </c>
    </row>
    <row r="39" spans="1:5" x14ac:dyDescent="0.2">
      <c r="A39" s="258" t="s">
        <v>343</v>
      </c>
      <c r="B39" s="256"/>
      <c r="C39" s="704">
        <v>10851</v>
      </c>
      <c r="D39" s="677">
        <v>11691</v>
      </c>
    </row>
    <row r="40" spans="1:5" x14ac:dyDescent="0.2">
      <c r="A40" s="258" t="s">
        <v>344</v>
      </c>
      <c r="B40" s="378">
        <v>9</v>
      </c>
      <c r="C40" s="704">
        <v>37396</v>
      </c>
      <c r="D40" s="677">
        <v>28983</v>
      </c>
    </row>
    <row r="41" spans="1:5" x14ac:dyDescent="0.2">
      <c r="A41" s="258" t="s">
        <v>345</v>
      </c>
      <c r="B41" s="378">
        <v>10</v>
      </c>
      <c r="C41" s="704">
        <v>22051</v>
      </c>
      <c r="D41" s="677">
        <v>25394</v>
      </c>
    </row>
    <row r="42" spans="1:5" x14ac:dyDescent="0.2">
      <c r="A42" s="258" t="s">
        <v>346</v>
      </c>
      <c r="B42" s="378">
        <v>11</v>
      </c>
      <c r="C42" s="712">
        <v>397</v>
      </c>
      <c r="D42" s="670">
        <v>1557</v>
      </c>
    </row>
    <row r="43" spans="1:5" x14ac:dyDescent="0.2">
      <c r="A43" s="258" t="s">
        <v>347</v>
      </c>
      <c r="B43" s="256"/>
      <c r="C43" s="704">
        <v>8077</v>
      </c>
      <c r="D43" s="677">
        <v>11452</v>
      </c>
    </row>
    <row r="44" spans="1:5" x14ac:dyDescent="0.2">
      <c r="A44" s="258" t="s">
        <v>348</v>
      </c>
      <c r="B44" s="381">
        <v>13</v>
      </c>
      <c r="C44" s="704">
        <v>2956</v>
      </c>
      <c r="D44" s="677">
        <v>3247</v>
      </c>
    </row>
    <row r="45" spans="1:5" x14ac:dyDescent="0.2">
      <c r="A45" s="338" t="s">
        <v>349</v>
      </c>
      <c r="B45" s="376"/>
      <c r="C45" s="675">
        <f>SUM(C38:C44)</f>
        <v>206972</v>
      </c>
      <c r="D45" s="676">
        <f>SUM(D38:D44)</f>
        <v>182456</v>
      </c>
    </row>
    <row r="46" spans="1:5" x14ac:dyDescent="0.2">
      <c r="A46" s="363" t="s">
        <v>350</v>
      </c>
      <c r="B46" s="256"/>
      <c r="C46" s="669"/>
      <c r="D46" s="670"/>
    </row>
    <row r="47" spans="1:5" x14ac:dyDescent="0.2">
      <c r="A47" s="258" t="s">
        <v>351</v>
      </c>
      <c r="B47" s="378">
        <v>12</v>
      </c>
      <c r="C47" s="704">
        <v>8969</v>
      </c>
      <c r="D47" s="677">
        <v>7675</v>
      </c>
    </row>
    <row r="48" spans="1:5" x14ac:dyDescent="0.2">
      <c r="A48" s="258" t="s">
        <v>352</v>
      </c>
      <c r="B48" s="378">
        <v>13</v>
      </c>
      <c r="C48" s="704">
        <v>23786</v>
      </c>
      <c r="D48" s="734">
        <v>38589</v>
      </c>
    </row>
    <row r="49" spans="1:11" x14ac:dyDescent="0.2">
      <c r="A49" s="258" t="s">
        <v>353</v>
      </c>
      <c r="B49" s="378">
        <v>13</v>
      </c>
      <c r="C49" s="648">
        <v>37986</v>
      </c>
      <c r="D49" s="670">
        <v>75374</v>
      </c>
    </row>
    <row r="50" spans="1:11" x14ac:dyDescent="0.2">
      <c r="A50" s="258" t="s">
        <v>345</v>
      </c>
      <c r="B50" s="378">
        <v>10</v>
      </c>
      <c r="C50" s="704">
        <v>62556</v>
      </c>
      <c r="D50" s="677">
        <v>21110</v>
      </c>
    </row>
    <row r="51" spans="1:11" x14ac:dyDescent="0.2">
      <c r="A51" s="258" t="s">
        <v>355</v>
      </c>
      <c r="B51" s="378">
        <v>14</v>
      </c>
      <c r="C51" s="704">
        <v>28605</v>
      </c>
      <c r="D51" s="670">
        <v>24392</v>
      </c>
      <c r="K51" s="645"/>
    </row>
    <row r="52" spans="1:11" x14ac:dyDescent="0.2">
      <c r="A52" s="258" t="s">
        <v>348</v>
      </c>
      <c r="B52" s="378">
        <v>13</v>
      </c>
      <c r="C52" s="648">
        <v>7035</v>
      </c>
      <c r="D52" s="677">
        <v>6990</v>
      </c>
      <c r="K52" s="645"/>
    </row>
    <row r="53" spans="1:11" x14ac:dyDescent="0.2">
      <c r="A53" s="338" t="s">
        <v>356</v>
      </c>
      <c r="B53" s="376"/>
      <c r="C53" s="675">
        <f>SUM(C47:C52)</f>
        <v>168937</v>
      </c>
      <c r="D53" s="676">
        <v>174130</v>
      </c>
      <c r="K53" s="645"/>
    </row>
    <row r="54" spans="1:11" x14ac:dyDescent="0.2">
      <c r="A54" s="265"/>
      <c r="B54" s="266"/>
      <c r="C54" s="669"/>
      <c r="D54" s="672"/>
      <c r="K54" s="645"/>
    </row>
    <row r="55" spans="1:11" x14ac:dyDescent="0.2">
      <c r="A55" s="338" t="s">
        <v>357</v>
      </c>
      <c r="B55" s="376"/>
      <c r="C55" s="675">
        <f>C53+C45</f>
        <v>375909</v>
      </c>
      <c r="D55" s="676">
        <v>356586</v>
      </c>
    </row>
    <row r="56" spans="1:11" x14ac:dyDescent="0.2">
      <c r="A56" s="363" t="s">
        <v>358</v>
      </c>
      <c r="B56" s="266"/>
      <c r="C56" s="669"/>
      <c r="D56" s="672"/>
    </row>
    <row r="57" spans="1:11" x14ac:dyDescent="0.2">
      <c r="A57" s="363" t="s">
        <v>359</v>
      </c>
      <c r="B57" s="256"/>
      <c r="C57" s="669"/>
      <c r="D57" s="729"/>
    </row>
    <row r="58" spans="1:11" x14ac:dyDescent="0.2">
      <c r="A58" s="258" t="s">
        <v>360</v>
      </c>
      <c r="B58" s="378">
        <v>15</v>
      </c>
      <c r="C58" s="704">
        <v>37123</v>
      </c>
      <c r="D58" s="677">
        <v>33358</v>
      </c>
      <c r="G58" s="1319"/>
      <c r="H58" s="1319"/>
      <c r="I58" s="1319"/>
      <c r="J58" s="644"/>
    </row>
    <row r="59" spans="1:11" x14ac:dyDescent="0.2">
      <c r="A59" s="258" t="s">
        <v>361</v>
      </c>
      <c r="B59" s="378">
        <v>17</v>
      </c>
      <c r="C59" s="704">
        <v>20548</v>
      </c>
      <c r="D59" s="677">
        <v>14957</v>
      </c>
      <c r="G59" s="1319"/>
      <c r="H59" s="1319"/>
      <c r="I59" s="1319"/>
      <c r="J59" s="644"/>
    </row>
    <row r="60" spans="1:11" x14ac:dyDescent="0.2">
      <c r="A60" s="258" t="s">
        <v>362</v>
      </c>
      <c r="B60" s="378">
        <v>16</v>
      </c>
      <c r="C60" s="704">
        <v>144148</v>
      </c>
      <c r="D60" s="677">
        <v>124033</v>
      </c>
      <c r="G60" s="1319"/>
      <c r="H60" s="1319"/>
      <c r="I60" s="1319"/>
      <c r="J60" s="644"/>
    </row>
    <row r="61" spans="1:11" x14ac:dyDescent="0.2">
      <c r="A61" s="258" t="s">
        <v>363</v>
      </c>
      <c r="B61" s="378">
        <v>19</v>
      </c>
      <c r="C61" s="712">
        <v>2148</v>
      </c>
      <c r="D61" s="670">
        <v>1729</v>
      </c>
      <c r="G61" s="1319"/>
      <c r="H61" s="1319"/>
      <c r="I61" s="1319"/>
      <c r="J61" s="644"/>
      <c r="K61" s="644"/>
    </row>
    <row r="62" spans="1:11" x14ac:dyDescent="0.2">
      <c r="A62" s="338" t="s">
        <v>364</v>
      </c>
      <c r="B62" s="376"/>
      <c r="C62" s="675">
        <f>SUM(C58:C61)</f>
        <v>203967</v>
      </c>
      <c r="D62" s="676">
        <f>SUM(D58:D61)</f>
        <v>174077</v>
      </c>
      <c r="K62" s="644"/>
    </row>
    <row r="63" spans="1:11" x14ac:dyDescent="0.2">
      <c r="A63" s="363" t="s">
        <v>365</v>
      </c>
      <c r="B63" s="266"/>
      <c r="C63" s="669"/>
      <c r="D63" s="672"/>
      <c r="K63" s="644"/>
    </row>
    <row r="64" spans="1:11" x14ac:dyDescent="0.2">
      <c r="A64" s="258" t="s">
        <v>361</v>
      </c>
      <c r="B64" s="378">
        <v>19</v>
      </c>
      <c r="C64" s="704">
        <v>2430</v>
      </c>
      <c r="D64" s="677">
        <v>1994</v>
      </c>
      <c r="K64" s="644"/>
    </row>
    <row r="65" spans="1:15" x14ac:dyDescent="0.2">
      <c r="A65" s="258" t="s">
        <v>366</v>
      </c>
      <c r="B65" s="378">
        <v>20</v>
      </c>
      <c r="C65" s="704">
        <v>147</v>
      </c>
      <c r="D65" s="677">
        <v>131</v>
      </c>
      <c r="K65" s="644"/>
    </row>
    <row r="66" spans="1:15" x14ac:dyDescent="0.2">
      <c r="A66" t="s">
        <v>592</v>
      </c>
      <c r="B66" s="378">
        <v>19</v>
      </c>
      <c r="C66" s="669">
        <v>27197</v>
      </c>
      <c r="D66" s="696">
        <v>26757</v>
      </c>
      <c r="G66" s="1318"/>
      <c r="H66" s="1318"/>
      <c r="I66" s="1319"/>
      <c r="J66" s="1319"/>
      <c r="K66" s="1319"/>
    </row>
    <row r="67" spans="1:15" x14ac:dyDescent="0.2">
      <c r="A67" s="338" t="s">
        <v>367</v>
      </c>
      <c r="B67" s="376"/>
      <c r="C67" s="675">
        <f>SUM(C64:C66)</f>
        <v>29774</v>
      </c>
      <c r="D67" s="676">
        <v>28882</v>
      </c>
    </row>
    <row r="68" spans="1:15" x14ac:dyDescent="0.2">
      <c r="A68" s="265"/>
      <c r="B68" s="266"/>
      <c r="C68" s="669"/>
      <c r="D68" s="672"/>
    </row>
    <row r="69" spans="1:15" x14ac:dyDescent="0.2">
      <c r="A69" s="338" t="s">
        <v>368</v>
      </c>
      <c r="B69" s="376"/>
      <c r="C69" s="675">
        <f>SUM(C67,C62)</f>
        <v>233741</v>
      </c>
      <c r="D69" s="676">
        <f>SUM(D67,D62)</f>
        <v>202959</v>
      </c>
    </row>
    <row r="70" spans="1:15" x14ac:dyDescent="0.2">
      <c r="A70" s="338" t="s">
        <v>369</v>
      </c>
      <c r="B70" s="376"/>
      <c r="C70" s="675">
        <f>C55-C69</f>
        <v>142168</v>
      </c>
      <c r="D70" s="676">
        <f>D55-D69</f>
        <v>153627</v>
      </c>
    </row>
    <row r="71" spans="1:15" x14ac:dyDescent="0.2">
      <c r="A71" s="363" t="s">
        <v>370</v>
      </c>
      <c r="B71" s="256"/>
      <c r="D71" s="679"/>
    </row>
    <row r="72" spans="1:15" x14ac:dyDescent="0.2">
      <c r="A72" s="258" t="s">
        <v>371</v>
      </c>
      <c r="B72" s="378">
        <v>22</v>
      </c>
      <c r="C72" s="713">
        <v>40551</v>
      </c>
      <c r="D72" s="646">
        <v>50512</v>
      </c>
    </row>
    <row r="73" spans="1:15" x14ac:dyDescent="0.2">
      <c r="A73" s="258" t="s">
        <v>372</v>
      </c>
      <c r="B73" s="378">
        <v>23</v>
      </c>
      <c r="C73" s="713">
        <v>63524</v>
      </c>
      <c r="D73" s="646">
        <v>49284</v>
      </c>
    </row>
    <row r="74" spans="1:15" x14ac:dyDescent="0.2">
      <c r="A74" s="258" t="s">
        <v>373</v>
      </c>
      <c r="B74" s="256"/>
      <c r="C74" s="713">
        <v>38093</v>
      </c>
      <c r="D74" s="646">
        <v>53831</v>
      </c>
    </row>
    <row r="75" spans="1:15" ht="13.5" thickBot="1" x14ac:dyDescent="0.25">
      <c r="A75" s="368" t="s">
        <v>374</v>
      </c>
      <c r="B75" s="383"/>
      <c r="C75" s="714">
        <f>SUM(C72:C74)</f>
        <v>142168</v>
      </c>
      <c r="D75" s="680">
        <f>SUM(D72:D74)</f>
        <v>153627</v>
      </c>
    </row>
    <row r="76" spans="1:15" ht="33" x14ac:dyDescent="0.2">
      <c r="A76" s="384" t="s">
        <v>841</v>
      </c>
      <c r="B76" s="385"/>
      <c r="D76" s="735"/>
    </row>
    <row r="77" spans="1:15" x14ac:dyDescent="0.2">
      <c r="A77" s="265"/>
      <c r="B77" s="266"/>
      <c r="D77" s="735"/>
    </row>
    <row r="78" spans="1:15" x14ac:dyDescent="0.2">
      <c r="A78" s="160"/>
      <c r="B78" s="334"/>
      <c r="C78" s="684">
        <v>2020</v>
      </c>
      <c r="D78" s="736" t="s">
        <v>830</v>
      </c>
    </row>
    <row r="79" spans="1:15" ht="12.75" customHeight="1" x14ac:dyDescent="0.2">
      <c r="A79" s="265"/>
      <c r="B79" s="332" t="s">
        <v>308</v>
      </c>
      <c r="C79" s="332" t="s">
        <v>310</v>
      </c>
      <c r="D79" s="737" t="s">
        <v>310</v>
      </c>
      <c r="N79" t="s">
        <v>309</v>
      </c>
      <c r="O79" t="s">
        <v>309</v>
      </c>
    </row>
    <row r="80" spans="1:15" ht="12.75" customHeight="1" x14ac:dyDescent="0.2">
      <c r="A80" s="363" t="s">
        <v>376</v>
      </c>
      <c r="B80" s="37"/>
      <c r="C80" s="684"/>
      <c r="D80" s="679"/>
    </row>
    <row r="81" spans="1:6" ht="12.75" customHeight="1" x14ac:dyDescent="0.2">
      <c r="A81" s="258" t="s">
        <v>377</v>
      </c>
      <c r="B81" s="37"/>
      <c r="C81" s="713">
        <v>340405</v>
      </c>
      <c r="D81" s="646"/>
    </row>
    <row r="82" spans="1:6" ht="12.75" customHeight="1" x14ac:dyDescent="0.2">
      <c r="A82" s="258" t="s">
        <v>378</v>
      </c>
      <c r="B82" s="37"/>
      <c r="C82" s="715" t="s">
        <v>633</v>
      </c>
      <c r="D82" s="738"/>
      <c r="E82" s="682"/>
      <c r="F82" s="682"/>
    </row>
    <row r="83" spans="1:6" ht="18.75" customHeight="1" x14ac:dyDescent="0.2">
      <c r="A83" s="258" t="s">
        <v>379</v>
      </c>
      <c r="B83" s="37"/>
      <c r="C83" s="345">
        <v>-222036</v>
      </c>
      <c r="D83" s="738"/>
    </row>
    <row r="84" spans="1:6" ht="12.75" customHeight="1" x14ac:dyDescent="0.2">
      <c r="A84" s="258" t="s">
        <v>380</v>
      </c>
      <c r="B84" s="37"/>
      <c r="C84" s="345">
        <v>353</v>
      </c>
      <c r="D84" s="739"/>
    </row>
    <row r="85" spans="1:6" ht="12.75" customHeight="1" x14ac:dyDescent="0.2">
      <c r="A85" s="258" t="s">
        <v>381</v>
      </c>
      <c r="B85" s="37"/>
      <c r="C85" s="350">
        <v>-13716</v>
      </c>
      <c r="D85" s="738"/>
    </row>
    <row r="86" spans="1:6" ht="12.75" customHeight="1" x14ac:dyDescent="0.2">
      <c r="A86" s="258" t="s">
        <v>382</v>
      </c>
      <c r="B86" s="684">
        <v>19</v>
      </c>
      <c r="C86" s="345">
        <v>-1495</v>
      </c>
      <c r="D86" s="740"/>
    </row>
    <row r="87" spans="1:6" ht="18" customHeight="1" x14ac:dyDescent="0.2">
      <c r="A87" s="338" t="s">
        <v>383</v>
      </c>
      <c r="B87" s="339">
        <v>29</v>
      </c>
      <c r="C87" s="340">
        <f>SUM(C81:C86)</f>
        <v>103511</v>
      </c>
      <c r="D87" s="741">
        <v>18573</v>
      </c>
    </row>
    <row r="88" spans="1:6" ht="12.75" customHeight="1" x14ac:dyDescent="0.2">
      <c r="A88" s="363" t="s">
        <v>384</v>
      </c>
      <c r="B88" s="37"/>
      <c r="D88" s="679"/>
    </row>
    <row r="89" spans="1:6" ht="12.75" customHeight="1" x14ac:dyDescent="0.2">
      <c r="A89" s="258" t="s">
        <v>385</v>
      </c>
      <c r="B89" s="37"/>
      <c r="C89" s="345">
        <v>-223</v>
      </c>
      <c r="D89" s="738">
        <v>-4059</v>
      </c>
    </row>
    <row r="90" spans="1:6" ht="12.75" customHeight="1" x14ac:dyDescent="0.2">
      <c r="A90" s="258" t="s">
        <v>386</v>
      </c>
      <c r="B90" s="37"/>
      <c r="C90" s="345">
        <v>-1979</v>
      </c>
      <c r="D90" s="738">
        <v>-2350</v>
      </c>
    </row>
    <row r="91" spans="1:6" x14ac:dyDescent="0.2">
      <c r="A91" s="258" t="s">
        <v>387</v>
      </c>
      <c r="B91" s="37"/>
      <c r="C91" s="345">
        <v>-42859</v>
      </c>
      <c r="D91" s="738">
        <v>-35927</v>
      </c>
    </row>
    <row r="92" spans="1:6" ht="12.75" customHeight="1" x14ac:dyDescent="0.2">
      <c r="A92" s="258" t="s">
        <v>388</v>
      </c>
      <c r="B92" s="37"/>
      <c r="C92" s="350" t="s">
        <v>354</v>
      </c>
      <c r="D92" s="739" t="s">
        <v>354</v>
      </c>
    </row>
    <row r="93" spans="1:6" ht="18" x14ac:dyDescent="0.2">
      <c r="A93" s="338" t="s">
        <v>389</v>
      </c>
      <c r="B93" s="347"/>
      <c r="C93" s="348">
        <f>SUM(C89:C92)</f>
        <v>-45061</v>
      </c>
      <c r="D93" s="742">
        <f>SUM(D89:D92)</f>
        <v>-42336</v>
      </c>
    </row>
    <row r="94" spans="1:6" ht="12.75" customHeight="1" x14ac:dyDescent="0.15">
      <c r="A94" s="389" t="s">
        <v>390</v>
      </c>
      <c r="B94" s="29"/>
      <c r="D94" s="735"/>
    </row>
    <row r="95" spans="1:6" ht="12.75" customHeight="1" x14ac:dyDescent="0.2">
      <c r="A95" s="258" t="s">
        <v>391</v>
      </c>
      <c r="B95" s="37"/>
      <c r="C95" s="393">
        <v>5248</v>
      </c>
      <c r="D95" s="743">
        <v>2075</v>
      </c>
    </row>
    <row r="96" spans="1:6" ht="12.75" customHeight="1" x14ac:dyDescent="0.2">
      <c r="A96" s="258" t="s">
        <v>392</v>
      </c>
      <c r="B96" s="350">
        <v>19</v>
      </c>
      <c r="C96" s="393">
        <v>-4512</v>
      </c>
      <c r="D96" s="743" t="s">
        <v>354</v>
      </c>
    </row>
    <row r="97" spans="1:17 16384:16384" ht="12.75" customHeight="1" x14ac:dyDescent="0.2">
      <c r="A97" s="258" t="s">
        <v>393</v>
      </c>
      <c r="B97" s="350">
        <v>23</v>
      </c>
      <c r="C97" s="393">
        <v>-38988</v>
      </c>
      <c r="D97" s="743">
        <v>-35850</v>
      </c>
    </row>
    <row r="98" spans="1:17 16384:16384" ht="18" customHeight="1" x14ac:dyDescent="0.2">
      <c r="A98" s="338" t="s">
        <v>394</v>
      </c>
      <c r="B98" s="347"/>
      <c r="C98" s="348">
        <f>SUM(C95:C97)</f>
        <v>-38252</v>
      </c>
      <c r="D98" s="742">
        <f>SUM(D95:D97)</f>
        <v>-33775</v>
      </c>
    </row>
    <row r="99" spans="1:17 16384:16384" ht="18" customHeight="1" x14ac:dyDescent="0.15">
      <c r="A99" s="389" t="s">
        <v>395</v>
      </c>
      <c r="B99" s="29"/>
      <c r="C99" s="716">
        <v>20198</v>
      </c>
      <c r="D99" s="744">
        <v>724</v>
      </c>
    </row>
    <row r="100" spans="1:17 16384:16384" ht="18" customHeight="1" x14ac:dyDescent="0.2">
      <c r="A100" s="258" t="s">
        <v>396</v>
      </c>
      <c r="B100" s="37"/>
      <c r="C100" s="713">
        <v>105046</v>
      </c>
      <c r="D100" s="646">
        <v>104322</v>
      </c>
    </row>
    <row r="101" spans="1:17 16384:16384" ht="13.5" customHeight="1" thickBot="1" x14ac:dyDescent="0.25">
      <c r="A101" s="368" t="s">
        <v>397</v>
      </c>
      <c r="B101" s="392">
        <v>8</v>
      </c>
      <c r="C101" s="714">
        <f>SUM(C99:C100)</f>
        <v>125244</v>
      </c>
      <c r="D101" s="680">
        <f>SUM(D99:D100)</f>
        <v>105046</v>
      </c>
    </row>
    <row r="102" spans="1:17 16384:16384" ht="12.75" customHeight="1" x14ac:dyDescent="0.2">
      <c r="A102" s="1"/>
      <c r="B102" s="1"/>
      <c r="C102" s="29"/>
      <c r="D102" s="752"/>
    </row>
    <row r="105" spans="1:17 16384:16384" ht="36.75" customHeight="1" thickBot="1" x14ac:dyDescent="0.25">
      <c r="D105" s="753"/>
      <c r="Q105" s="690"/>
    </row>
    <row r="106" spans="1:17 16384:16384" ht="27.75" thickBot="1" x14ac:dyDescent="0.2">
      <c r="A106" s="54" t="s">
        <v>817</v>
      </c>
      <c r="B106" s="55" t="s">
        <v>83</v>
      </c>
      <c r="C106" s="297" t="s">
        <v>84</v>
      </c>
      <c r="D106" s="745" t="s">
        <v>85</v>
      </c>
      <c r="E106" s="56" t="s">
        <v>86</v>
      </c>
      <c r="F106" s="56" t="s">
        <v>87</v>
      </c>
      <c r="G106" s="56" t="s">
        <v>88</v>
      </c>
      <c r="H106" s="57" t="s">
        <v>89</v>
      </c>
    </row>
    <row r="107" spans="1:17 16384:16384" x14ac:dyDescent="0.2">
      <c r="A107" s="64" t="s">
        <v>818</v>
      </c>
      <c r="B107" s="59"/>
      <c r="C107" s="318">
        <v>35302</v>
      </c>
      <c r="D107" s="746">
        <v>16078</v>
      </c>
      <c r="E107" s="318">
        <v>27905</v>
      </c>
      <c r="F107" s="319">
        <v>1850</v>
      </c>
      <c r="G107" s="318">
        <v>25722</v>
      </c>
      <c r="H107" s="308">
        <v>106857</v>
      </c>
    </row>
    <row r="108" spans="1:17 16384:16384" x14ac:dyDescent="0.2">
      <c r="A108" s="64" t="s">
        <v>819</v>
      </c>
      <c r="B108" s="59" t="s">
        <v>820</v>
      </c>
      <c r="C108" s="692" t="s">
        <v>633</v>
      </c>
      <c r="D108" s="747">
        <v>199</v>
      </c>
      <c r="E108" s="692" t="s">
        <v>633</v>
      </c>
      <c r="F108" s="692" t="s">
        <v>633</v>
      </c>
      <c r="G108" s="692" t="s">
        <v>633</v>
      </c>
      <c r="H108" s="308">
        <v>199</v>
      </c>
    </row>
    <row r="109" spans="1:17 16384:16384" x14ac:dyDescent="0.2">
      <c r="A109" s="693" t="s">
        <v>821</v>
      </c>
      <c r="B109" s="59"/>
      <c r="C109" s="688">
        <v>35302</v>
      </c>
      <c r="D109" s="748">
        <v>16277</v>
      </c>
      <c r="E109" s="688">
        <v>27905</v>
      </c>
      <c r="F109" s="688">
        <v>1850</v>
      </c>
      <c r="G109" s="688">
        <v>25722</v>
      </c>
      <c r="H109" s="308">
        <f>SUM(C109:G109)</f>
        <v>107056</v>
      </c>
      <c r="XFD109" s="691">
        <f>SUM(F109:XFC109)</f>
        <v>134628</v>
      </c>
    </row>
    <row r="110" spans="1:17 16384:16384" ht="18" customHeight="1" x14ac:dyDescent="0.2">
      <c r="A110" s="693" t="s">
        <v>822</v>
      </c>
      <c r="B110" s="59"/>
      <c r="C110" s="688" t="s">
        <v>633</v>
      </c>
      <c r="D110" s="748" t="s">
        <v>633</v>
      </c>
      <c r="E110" s="688" t="s">
        <v>633</v>
      </c>
      <c r="F110" s="688">
        <v>286</v>
      </c>
      <c r="G110" s="688" t="s">
        <v>633</v>
      </c>
      <c r="H110" s="308">
        <f>SUM(C110:G110)</f>
        <v>286</v>
      </c>
      <c r="XFD110" s="691"/>
    </row>
    <row r="111" spans="1:17 16384:16384" x14ac:dyDescent="0.2">
      <c r="A111" s="693" t="s">
        <v>825</v>
      </c>
      <c r="B111" s="59"/>
      <c r="C111" s="688" t="s">
        <v>633</v>
      </c>
      <c r="D111" s="748">
        <v>62945</v>
      </c>
      <c r="E111" s="688" t="s">
        <v>633</v>
      </c>
      <c r="F111" s="688" t="s">
        <v>633</v>
      </c>
      <c r="G111" s="688" t="s">
        <v>633</v>
      </c>
      <c r="H111" s="308">
        <f t="shared" ref="H111:H117" si="0">SUM(C111:G111)</f>
        <v>62945</v>
      </c>
    </row>
    <row r="112" spans="1:17 16384:16384" x14ac:dyDescent="0.2">
      <c r="A112" s="693" t="s">
        <v>823</v>
      </c>
      <c r="B112" s="59"/>
      <c r="C112" s="688" t="s">
        <v>633</v>
      </c>
      <c r="D112" s="748">
        <v>62945</v>
      </c>
      <c r="E112" s="688" t="s">
        <v>633</v>
      </c>
      <c r="F112" s="688">
        <v>286</v>
      </c>
      <c r="G112" s="688" t="s">
        <v>633</v>
      </c>
      <c r="H112" s="308">
        <f t="shared" si="0"/>
        <v>63231</v>
      </c>
    </row>
    <row r="113" spans="1:8" x14ac:dyDescent="0.2">
      <c r="A113" s="694" t="s">
        <v>399</v>
      </c>
      <c r="B113" s="59"/>
      <c r="C113" s="688" t="s">
        <v>633</v>
      </c>
      <c r="D113" s="748">
        <v>-41129</v>
      </c>
      <c r="E113" s="688">
        <v>41129</v>
      </c>
      <c r="F113" s="688" t="s">
        <v>633</v>
      </c>
      <c r="G113" s="688" t="s">
        <v>633</v>
      </c>
      <c r="H113" s="308">
        <f t="shared" si="0"/>
        <v>0</v>
      </c>
    </row>
    <row r="114" spans="1:8" x14ac:dyDescent="0.2">
      <c r="A114" s="693" t="s">
        <v>826</v>
      </c>
      <c r="B114" s="59">
        <v>23</v>
      </c>
      <c r="C114" s="688" t="s">
        <v>633</v>
      </c>
      <c r="D114" s="748" t="s">
        <v>633</v>
      </c>
      <c r="E114" s="688">
        <v>-38988</v>
      </c>
      <c r="F114" s="688" t="s">
        <v>633</v>
      </c>
      <c r="G114" s="688" t="s">
        <v>633</v>
      </c>
      <c r="H114" s="308">
        <f t="shared" si="0"/>
        <v>-38988</v>
      </c>
    </row>
    <row r="115" spans="1:8" x14ac:dyDescent="0.2">
      <c r="A115" s="693" t="s">
        <v>827</v>
      </c>
      <c r="B115" s="59">
        <v>21</v>
      </c>
      <c r="C115" s="688">
        <v>5249</v>
      </c>
      <c r="D115" s="748" t="s">
        <v>633</v>
      </c>
      <c r="E115" s="688" t="s">
        <v>633</v>
      </c>
      <c r="F115" s="688" t="s">
        <v>633</v>
      </c>
      <c r="G115" s="688" t="s">
        <v>633</v>
      </c>
      <c r="H115" s="308">
        <f t="shared" si="0"/>
        <v>5249</v>
      </c>
    </row>
    <row r="116" spans="1:8" x14ac:dyDescent="0.2">
      <c r="A116" s="693" t="s">
        <v>828</v>
      </c>
      <c r="B116" s="59">
        <v>31</v>
      </c>
      <c r="C116" s="688" t="s">
        <v>633</v>
      </c>
      <c r="D116" s="748" t="s">
        <v>633</v>
      </c>
      <c r="E116" s="688" t="s">
        <v>633</v>
      </c>
      <c r="F116" s="688" t="s">
        <v>633</v>
      </c>
      <c r="G116" s="688">
        <v>3305</v>
      </c>
      <c r="H116" s="308">
        <f t="shared" si="0"/>
        <v>3305</v>
      </c>
    </row>
    <row r="117" spans="1:8" x14ac:dyDescent="0.2">
      <c r="A117" s="693" t="s">
        <v>829</v>
      </c>
      <c r="B117" s="59"/>
      <c r="C117" s="688" t="s">
        <v>633</v>
      </c>
      <c r="D117" s="748" t="s">
        <v>633</v>
      </c>
      <c r="E117" s="688" t="s">
        <v>633</v>
      </c>
      <c r="F117" s="688" t="s">
        <v>633</v>
      </c>
      <c r="G117" s="688">
        <v>2315</v>
      </c>
      <c r="H117" s="308">
        <f t="shared" si="0"/>
        <v>2315</v>
      </c>
    </row>
    <row r="118" spans="1:8" x14ac:dyDescent="0.2">
      <c r="A118" s="62"/>
      <c r="B118" s="59"/>
      <c r="C118" s="688">
        <f t="shared" ref="C118:H118" si="1">SUM(C113:C117)</f>
        <v>5249</v>
      </c>
      <c r="D118" s="748">
        <f t="shared" si="1"/>
        <v>-41129</v>
      </c>
      <c r="E118" s="688">
        <f t="shared" si="1"/>
        <v>2141</v>
      </c>
      <c r="F118" s="688">
        <f t="shared" si="1"/>
        <v>0</v>
      </c>
      <c r="G118" s="688">
        <f t="shared" si="1"/>
        <v>5620</v>
      </c>
      <c r="H118" s="308">
        <f t="shared" si="1"/>
        <v>-28119</v>
      </c>
    </row>
    <row r="119" spans="1:8" x14ac:dyDescent="0.2">
      <c r="A119" s="64" t="s">
        <v>824</v>
      </c>
      <c r="B119" s="59"/>
      <c r="C119" s="318">
        <f>SUM(C107,C118)</f>
        <v>40551</v>
      </c>
      <c r="D119" s="746">
        <f>SUM(D107,D118,D112)</f>
        <v>37894</v>
      </c>
      <c r="E119" s="318">
        <f>SUM(E107,E118)</f>
        <v>30046</v>
      </c>
      <c r="F119" s="318">
        <f>SUM(F107,F112)</f>
        <v>2136</v>
      </c>
      <c r="G119" s="318">
        <f>SUM(G107,G118)</f>
        <v>31342</v>
      </c>
      <c r="H119" s="308">
        <f>SUM(H107,H118,H112)</f>
        <v>141969</v>
      </c>
    </row>
    <row r="120" spans="1:8" x14ac:dyDescent="0.2">
      <c r="B120" s="59"/>
      <c r="C120"/>
      <c r="D120" s="743"/>
      <c r="E120" s="393"/>
      <c r="F120" s="393"/>
      <c r="G120" s="393"/>
      <c r="H120" s="308"/>
    </row>
    <row r="121" spans="1:8" x14ac:dyDescent="0.2">
      <c r="A121" s="64" t="s">
        <v>398</v>
      </c>
      <c r="B121" s="59"/>
      <c r="C121" s="318">
        <v>33171</v>
      </c>
      <c r="D121" s="746">
        <v>12758</v>
      </c>
      <c r="E121" s="318">
        <v>8616</v>
      </c>
      <c r="F121" s="318">
        <v>651</v>
      </c>
      <c r="G121" s="318">
        <v>22294</v>
      </c>
      <c r="H121" s="308">
        <f>SUM(C121:G121)</f>
        <v>77490</v>
      </c>
    </row>
    <row r="122" spans="1:8" ht="18" x14ac:dyDescent="0.2">
      <c r="A122" s="685" t="s">
        <v>822</v>
      </c>
      <c r="B122" s="59"/>
      <c r="C122" s="687" t="s">
        <v>633</v>
      </c>
      <c r="D122" s="747" t="s">
        <v>633</v>
      </c>
      <c r="E122" s="687" t="s">
        <v>633</v>
      </c>
      <c r="F122" s="687">
        <v>1199</v>
      </c>
      <c r="G122" s="687" t="s">
        <v>633</v>
      </c>
      <c r="H122" s="308">
        <f>SUM(C122:G122)</f>
        <v>1199</v>
      </c>
    </row>
    <row r="123" spans="1:8" x14ac:dyDescent="0.2">
      <c r="A123" s="298" t="s">
        <v>92</v>
      </c>
      <c r="B123" s="59"/>
      <c r="C123" s="318" t="s">
        <v>633</v>
      </c>
      <c r="D123" s="746">
        <v>12758</v>
      </c>
      <c r="E123" s="318" t="s">
        <v>633</v>
      </c>
      <c r="F123" s="318" t="s">
        <v>633</v>
      </c>
      <c r="G123" s="318" t="s">
        <v>633</v>
      </c>
      <c r="H123" s="308">
        <f>SUM(C123:G123)</f>
        <v>12758</v>
      </c>
    </row>
    <row r="124" spans="1:8" x14ac:dyDescent="0.2">
      <c r="A124" s="58" t="s">
        <v>93</v>
      </c>
      <c r="B124" s="59"/>
      <c r="C124" s="687" t="s">
        <v>633</v>
      </c>
      <c r="D124" s="747">
        <v>58459</v>
      </c>
      <c r="E124" s="687" t="s">
        <v>633</v>
      </c>
      <c r="F124" s="687">
        <v>1199</v>
      </c>
      <c r="G124" s="687" t="s">
        <v>633</v>
      </c>
      <c r="H124" s="308">
        <f>SUM(C124:G124)</f>
        <v>59658</v>
      </c>
    </row>
    <row r="125" spans="1:8" x14ac:dyDescent="0.2">
      <c r="B125" s="59"/>
      <c r="C125" s="394"/>
      <c r="D125" s="749"/>
      <c r="E125" s="395"/>
      <c r="F125" s="395"/>
      <c r="G125" s="395"/>
      <c r="H125" s="308"/>
    </row>
    <row r="126" spans="1:8" x14ac:dyDescent="0.2">
      <c r="A126" s="58"/>
      <c r="B126" s="59"/>
      <c r="C126"/>
      <c r="D126" s="750"/>
      <c r="H126" s="308"/>
    </row>
    <row r="127" spans="1:8" x14ac:dyDescent="0.2">
      <c r="A127" s="60" t="s">
        <v>96</v>
      </c>
      <c r="B127" s="59"/>
      <c r="C127" s="688" t="s">
        <v>633</v>
      </c>
      <c r="D127" s="748">
        <v>-55139</v>
      </c>
      <c r="E127" s="688">
        <v>55139</v>
      </c>
      <c r="F127" s="688" t="s">
        <v>633</v>
      </c>
      <c r="G127" s="688" t="s">
        <v>633</v>
      </c>
      <c r="H127" s="308">
        <f>SUM(C127:G127)</f>
        <v>0</v>
      </c>
    </row>
    <row r="128" spans="1:8" x14ac:dyDescent="0.15">
      <c r="A128" s="61" t="s">
        <v>95</v>
      </c>
      <c r="B128" s="59">
        <v>23</v>
      </c>
      <c r="C128" s="688" t="s">
        <v>633</v>
      </c>
      <c r="D128" s="748" t="s">
        <v>633</v>
      </c>
      <c r="E128" s="688">
        <v>-35850</v>
      </c>
      <c r="F128" s="688" t="s">
        <v>633</v>
      </c>
      <c r="G128" s="688" t="s">
        <v>633</v>
      </c>
      <c r="H128" s="308">
        <f>SUM(C128:G128)</f>
        <v>-35850</v>
      </c>
    </row>
    <row r="129" spans="1:11" x14ac:dyDescent="0.2">
      <c r="A129" s="60" t="s">
        <v>97</v>
      </c>
      <c r="B129" s="59">
        <v>21</v>
      </c>
      <c r="C129" s="688">
        <v>2131</v>
      </c>
      <c r="D129" s="748" t="s">
        <v>633</v>
      </c>
      <c r="E129" s="688" t="s">
        <v>633</v>
      </c>
      <c r="F129" s="688" t="s">
        <v>633</v>
      </c>
      <c r="G129" s="688" t="s">
        <v>633</v>
      </c>
      <c r="H129" s="308">
        <f>SUM(C129:G129)</f>
        <v>2131</v>
      </c>
    </row>
    <row r="130" spans="1:11" x14ac:dyDescent="0.2">
      <c r="A130" s="60" t="s">
        <v>100</v>
      </c>
      <c r="B130" s="59">
        <v>31</v>
      </c>
      <c r="C130" s="688" t="s">
        <v>633</v>
      </c>
      <c r="D130" s="748" t="s">
        <v>633</v>
      </c>
      <c r="E130" s="688" t="s">
        <v>633</v>
      </c>
      <c r="F130" s="688" t="s">
        <v>633</v>
      </c>
      <c r="G130" s="688">
        <v>1947</v>
      </c>
      <c r="H130" s="308">
        <f>SUM(C130:G130)</f>
        <v>1947</v>
      </c>
    </row>
    <row r="131" spans="1:11" x14ac:dyDescent="0.2">
      <c r="A131" s="60" t="s">
        <v>99</v>
      </c>
      <c r="B131" s="59"/>
      <c r="C131" s="688" t="s">
        <v>633</v>
      </c>
      <c r="D131" s="748" t="s">
        <v>633</v>
      </c>
      <c r="E131" s="688" t="s">
        <v>633</v>
      </c>
      <c r="F131" s="688" t="s">
        <v>633</v>
      </c>
      <c r="G131" s="688">
        <v>1481</v>
      </c>
      <c r="H131" s="308">
        <f>SUM(C131:G131)</f>
        <v>1481</v>
      </c>
    </row>
    <row r="132" spans="1:11" x14ac:dyDescent="0.2">
      <c r="A132" s="62"/>
      <c r="B132" s="59"/>
      <c r="C132" s="688">
        <f t="shared" ref="C132:H132" si="2">SUM(C127:C131)</f>
        <v>2131</v>
      </c>
      <c r="D132" s="748">
        <f t="shared" si="2"/>
        <v>-55139</v>
      </c>
      <c r="E132" s="688">
        <f t="shared" si="2"/>
        <v>19289</v>
      </c>
      <c r="F132" s="688">
        <f t="shared" si="2"/>
        <v>0</v>
      </c>
      <c r="G132" s="688">
        <f t="shared" si="2"/>
        <v>3428</v>
      </c>
      <c r="H132" s="308">
        <f t="shared" si="2"/>
        <v>-30291</v>
      </c>
    </row>
    <row r="133" spans="1:11" ht="13.5" thickBot="1" x14ac:dyDescent="0.25">
      <c r="A133" s="65" t="s">
        <v>824</v>
      </c>
      <c r="B133" s="63"/>
      <c r="C133" s="323">
        <f>SUM(C132,C121)</f>
        <v>35302</v>
      </c>
      <c r="D133" s="751">
        <f>SUM(D132,D121)</f>
        <v>-42381</v>
      </c>
      <c r="E133" s="323">
        <f>SUM(E132,E121)</f>
        <v>27905</v>
      </c>
      <c r="F133" s="323">
        <f>SUM(F132,F121)</f>
        <v>651</v>
      </c>
      <c r="G133" s="323">
        <f>SUM(G132,G121)</f>
        <v>25722</v>
      </c>
      <c r="H133" s="325">
        <f>SUM(H132,H124,H121)</f>
        <v>106857</v>
      </c>
      <c r="J133" s="395"/>
      <c r="K133" s="395"/>
    </row>
    <row r="134" spans="1:11" x14ac:dyDescent="0.2">
      <c r="A134" s="60"/>
      <c r="B134" s="686"/>
      <c r="C134" s="695"/>
      <c r="D134" s="1216"/>
      <c r="E134" s="395"/>
      <c r="J134" s="395"/>
      <c r="K134" s="314"/>
    </row>
    <row r="135" spans="1:11" x14ac:dyDescent="0.2">
      <c r="A135" s="60"/>
      <c r="B135" s="686"/>
      <c r="C135" s="395"/>
      <c r="D135" s="395"/>
      <c r="E135" s="395"/>
      <c r="J135" s="395"/>
      <c r="K135" s="314"/>
    </row>
    <row r="136" spans="1:11" x14ac:dyDescent="0.2">
      <c r="A136" t="s">
        <v>404</v>
      </c>
      <c r="B136" s="686"/>
      <c r="C136" s="316"/>
      <c r="D136" s="316"/>
      <c r="E136" s="316"/>
      <c r="J136" s="395"/>
      <c r="K136" s="314"/>
    </row>
    <row r="137" spans="1:11" x14ac:dyDescent="0.2">
      <c r="A137" t="s">
        <v>405</v>
      </c>
      <c r="B137" s="686"/>
      <c r="C137" s="687"/>
      <c r="D137" s="747"/>
      <c r="E137" s="689"/>
      <c r="J137" s="689"/>
      <c r="K137" s="689"/>
    </row>
  </sheetData>
  <mergeCells count="6">
    <mergeCell ref="G58:I58"/>
    <mergeCell ref="G59:I59"/>
    <mergeCell ref="G60:I60"/>
    <mergeCell ref="G61:I61"/>
    <mergeCell ref="G66:H66"/>
    <mergeCell ref="I66:K6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 </vt:lpstr>
      <vt:lpstr>3 way Model - TNE </vt:lpstr>
      <vt:lpstr>Scenario Analysis</vt:lpstr>
      <vt:lpstr>WACC Analysis</vt:lpstr>
      <vt:lpstr>Comps Output</vt:lpstr>
      <vt:lpstr>Comps Input</vt:lpstr>
      <vt:lpstr>2015-2016 Annual Report Data</vt:lpstr>
      <vt:lpstr>2017 Annual Report Data</vt:lpstr>
      <vt:lpstr>2018 Annual Report Data</vt:lpstr>
      <vt:lpstr>2019 Annual Report Data</vt:lpstr>
      <vt:lpstr>2020 Annual Report Data</vt:lpstr>
      <vt:lpstr>H1 FY21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Adams</dc:creator>
  <cp:lastModifiedBy>Eli Adams</cp:lastModifiedBy>
  <dcterms:created xsi:type="dcterms:W3CDTF">2020-05-29T13:38:11Z</dcterms:created>
  <dcterms:modified xsi:type="dcterms:W3CDTF">2024-05-02T22:52:31Z</dcterms:modified>
</cp:coreProperties>
</file>