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li\OneDrive\Escritorio\Estudio Felix\"/>
    </mc:Choice>
  </mc:AlternateContent>
  <xr:revisionPtr revIDLastSave="0" documentId="13_ncr:1_{0A2A16A8-2FD6-4359-97E8-1C2342FB3D2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easurement data" sheetId="1" r:id="rId1"/>
    <sheet name="% increase" sheetId="8" r:id="rId2"/>
    <sheet name="Other uni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4" l="1"/>
  <c r="O75" i="4"/>
  <c r="O76" i="4"/>
  <c r="O77" i="4"/>
  <c r="O78" i="4"/>
  <c r="O79" i="4"/>
  <c r="O80" i="4"/>
  <c r="O85" i="4"/>
  <c r="O86" i="4"/>
  <c r="P86" i="4" s="1"/>
  <c r="O87" i="4"/>
  <c r="O88" i="4"/>
  <c r="O89" i="4"/>
  <c r="P89" i="4" s="1"/>
  <c r="O90" i="4"/>
  <c r="P90" i="4" s="1"/>
  <c r="O91" i="4"/>
  <c r="O96" i="4"/>
  <c r="O97" i="4"/>
  <c r="O98" i="4"/>
  <c r="O99" i="4"/>
  <c r="P99" i="4" s="1"/>
  <c r="O100" i="4"/>
  <c r="O101" i="4"/>
  <c r="O102" i="4"/>
  <c r="P102" i="4" s="1"/>
  <c r="O74" i="4"/>
  <c r="P74" i="4" s="1"/>
  <c r="M74" i="4"/>
  <c r="M85" i="4"/>
  <c r="P97" i="4"/>
  <c r="P98" i="4"/>
  <c r="P100" i="4"/>
  <c r="P101" i="4"/>
  <c r="P96" i="4"/>
  <c r="Q97" i="4"/>
  <c r="Q98" i="4"/>
  <c r="Q99" i="4"/>
  <c r="Q100" i="4"/>
  <c r="Q101" i="4"/>
  <c r="Q102" i="4"/>
  <c r="Q96" i="4"/>
  <c r="Q75" i="4"/>
  <c r="Q76" i="4"/>
  <c r="Q77" i="4"/>
  <c r="Q78" i="4"/>
  <c r="Q79" i="4"/>
  <c r="Q80" i="4"/>
  <c r="Q85" i="4"/>
  <c r="P75" i="4"/>
  <c r="P76" i="4"/>
  <c r="P77" i="4"/>
  <c r="P78" i="4"/>
  <c r="P79" i="4"/>
  <c r="P80" i="4"/>
  <c r="P85" i="4"/>
  <c r="Q86" i="4"/>
  <c r="Q87" i="4"/>
  <c r="Q88" i="4"/>
  <c r="Q89" i="4"/>
  <c r="Q90" i="4"/>
  <c r="Q91" i="4"/>
  <c r="P91" i="4"/>
  <c r="P87" i="4"/>
  <c r="P88" i="4"/>
  <c r="N86" i="4"/>
  <c r="N74" i="4"/>
  <c r="C78" i="4"/>
  <c r="H37" i="8"/>
  <c r="G37" i="8"/>
  <c r="H80" i="4"/>
  <c r="H102" i="4"/>
  <c r="C66" i="4"/>
  <c r="C74" i="4"/>
  <c r="Q74" i="4" l="1"/>
  <c r="E6" i="1"/>
  <c r="E7" i="1"/>
  <c r="E8" i="1"/>
  <c r="E9" i="1"/>
  <c r="E10" i="1"/>
  <c r="E5" i="1"/>
  <c r="C7" i="1" l="1"/>
  <c r="H8" i="8" l="1"/>
  <c r="H9" i="8"/>
  <c r="H10" i="8"/>
  <c r="H11" i="8"/>
  <c r="H12" i="8"/>
  <c r="G8" i="8"/>
  <c r="G9" i="8"/>
  <c r="G10" i="8"/>
  <c r="G11" i="8"/>
  <c r="G12" i="8"/>
  <c r="G7" i="8"/>
  <c r="H7" i="8"/>
  <c r="D11" i="1"/>
  <c r="B11" i="1"/>
  <c r="F10" i="1"/>
  <c r="F6" i="1"/>
  <c r="F7" i="1"/>
  <c r="F8" i="1"/>
  <c r="F9" i="1"/>
  <c r="C6" i="1"/>
  <c r="C8" i="1"/>
  <c r="C9" i="1"/>
  <c r="C10" i="1"/>
  <c r="C5" i="1"/>
  <c r="C11" i="1" l="1"/>
  <c r="E11" i="1"/>
  <c r="F5" i="1" l="1"/>
  <c r="F11" i="1" s="1"/>
  <c r="C21" i="1" l="1"/>
  <c r="B21" i="1"/>
  <c r="J11" i="1"/>
  <c r="I11" i="1"/>
  <c r="I21" i="1"/>
  <c r="J21" i="1"/>
  <c r="R35" i="8" l="1"/>
  <c r="S35" i="8"/>
  <c r="R36" i="8"/>
  <c r="S36" i="8"/>
  <c r="R37" i="8"/>
  <c r="S37" i="8"/>
  <c r="R38" i="8"/>
  <c r="S38" i="8"/>
  <c r="R39" i="8"/>
  <c r="S39" i="8"/>
  <c r="R40" i="8"/>
  <c r="S40" i="8"/>
  <c r="R22" i="8"/>
  <c r="S22" i="8"/>
  <c r="R23" i="8"/>
  <c r="S23" i="8"/>
  <c r="S27" i="8" s="1"/>
  <c r="R24" i="8"/>
  <c r="S24" i="8"/>
  <c r="R25" i="8"/>
  <c r="S25" i="8"/>
  <c r="R26" i="8"/>
  <c r="S26" i="8"/>
  <c r="S21" i="8"/>
  <c r="R21" i="8"/>
  <c r="R27" i="8" s="1"/>
  <c r="G21" i="8"/>
  <c r="G40" i="8"/>
  <c r="H35" i="8"/>
  <c r="H36" i="8"/>
  <c r="H38" i="8"/>
  <c r="H39" i="8"/>
  <c r="H40" i="8"/>
  <c r="G36" i="8"/>
  <c r="G38" i="8"/>
  <c r="G39" i="8"/>
  <c r="G35" i="8"/>
  <c r="H21" i="8"/>
  <c r="H22" i="8"/>
  <c r="H23" i="8"/>
  <c r="H24" i="8"/>
  <c r="H25" i="8"/>
  <c r="H26" i="8"/>
  <c r="G22" i="8"/>
  <c r="G23" i="8"/>
  <c r="G24" i="8"/>
  <c r="G25" i="8"/>
  <c r="G26" i="8"/>
  <c r="S12" i="8"/>
  <c r="S7" i="8"/>
  <c r="S8" i="8"/>
  <c r="S9" i="8"/>
  <c r="S10" i="8"/>
  <c r="S11" i="8"/>
  <c r="R8" i="8"/>
  <c r="R9" i="8"/>
  <c r="R10" i="8"/>
  <c r="R11" i="8"/>
  <c r="R12" i="8"/>
  <c r="R7" i="8"/>
  <c r="J55" i="8"/>
  <c r="I55" i="8"/>
  <c r="H55" i="8"/>
  <c r="G55" i="8"/>
  <c r="F55" i="8"/>
  <c r="E55" i="8"/>
  <c r="Q41" i="8"/>
  <c r="S42" i="8" s="1"/>
  <c r="P41" i="8"/>
  <c r="O41" i="8"/>
  <c r="N41" i="8"/>
  <c r="F41" i="8"/>
  <c r="H42" i="8" s="1"/>
  <c r="E41" i="8"/>
  <c r="G42" i="8" s="1"/>
  <c r="H28" i="8"/>
  <c r="Q27" i="8"/>
  <c r="P27" i="8"/>
  <c r="O27" i="8"/>
  <c r="S28" i="8" s="1"/>
  <c r="N27" i="8"/>
  <c r="F27" i="8"/>
  <c r="E27" i="8"/>
  <c r="D27" i="8"/>
  <c r="C27" i="8"/>
  <c r="G28" i="8" s="1"/>
  <c r="Q13" i="8"/>
  <c r="P13" i="8"/>
  <c r="R14" i="8"/>
  <c r="F13" i="8"/>
  <c r="H13" i="8" s="1"/>
  <c r="H14" i="8" s="1"/>
  <c r="E13" i="8"/>
  <c r="G13" i="8" s="1"/>
  <c r="G14" i="8" s="1"/>
  <c r="H27" i="8" l="1"/>
  <c r="G27" i="8"/>
  <c r="R28" i="8"/>
  <c r="S13" i="8"/>
  <c r="G41" i="8"/>
  <c r="H41" i="8"/>
  <c r="R13" i="8"/>
  <c r="R41" i="8"/>
  <c r="S41" i="8"/>
  <c r="R42" i="8"/>
  <c r="S14" i="8"/>
  <c r="G60" i="4"/>
  <c r="G74" i="4" s="1"/>
  <c r="D60" i="4"/>
  <c r="D74" i="4" s="1"/>
  <c r="H74" i="4" s="1"/>
  <c r="D61" i="4"/>
  <c r="D62" i="4"/>
  <c r="D63" i="4"/>
  <c r="D64" i="4"/>
  <c r="D65" i="4"/>
  <c r="D101" i="4" s="1"/>
  <c r="D66" i="4"/>
  <c r="D80" i="4" s="1"/>
  <c r="C80" i="4"/>
  <c r="I80" i="4" s="1"/>
  <c r="J80" i="4" s="1"/>
  <c r="K80" i="4" l="1"/>
  <c r="L80" i="4" s="1"/>
  <c r="M80" i="4"/>
  <c r="N80" i="4" s="1"/>
  <c r="D102" i="4"/>
  <c r="C102" i="4"/>
  <c r="C76" i="4"/>
  <c r="K74" i="4" l="1"/>
  <c r="L74" i="4" s="1"/>
  <c r="I74" i="4"/>
  <c r="M76" i="4"/>
  <c r="N76" i="4" s="1"/>
  <c r="K76" i="4"/>
  <c r="L76" i="4" s="1"/>
  <c r="I76" i="4"/>
  <c r="J76" i="4" s="1"/>
  <c r="K102" i="4"/>
  <c r="L102" i="4" s="1"/>
  <c r="M102" i="4"/>
  <c r="N102" i="4" s="1"/>
  <c r="I102" i="4"/>
  <c r="J102" i="4" s="1"/>
  <c r="C96" i="4" l="1"/>
  <c r="C97" i="4"/>
  <c r="D97" i="4"/>
  <c r="G97" i="4"/>
  <c r="C98" i="4"/>
  <c r="D98" i="4"/>
  <c r="C99" i="4"/>
  <c r="D99" i="4"/>
  <c r="H99" i="4" s="1"/>
  <c r="C100" i="4"/>
  <c r="D100" i="4"/>
  <c r="H100" i="4" s="1"/>
  <c r="E100" i="4"/>
  <c r="C101" i="4"/>
  <c r="D96" i="4"/>
  <c r="G96" i="4"/>
  <c r="C86" i="4"/>
  <c r="D86" i="4"/>
  <c r="H86" i="4" s="1"/>
  <c r="C87" i="4"/>
  <c r="D87" i="4"/>
  <c r="C88" i="4"/>
  <c r="D88" i="4"/>
  <c r="F88" i="4"/>
  <c r="C89" i="4"/>
  <c r="D89" i="4"/>
  <c r="E89" i="4"/>
  <c r="C90" i="4"/>
  <c r="D90" i="4"/>
  <c r="H90" i="4" s="1"/>
  <c r="E90" i="4"/>
  <c r="C91" i="4"/>
  <c r="D91" i="4"/>
  <c r="H91" i="4" s="1"/>
  <c r="D85" i="4"/>
  <c r="G85" i="4"/>
  <c r="C85" i="4"/>
  <c r="C75" i="4"/>
  <c r="C77" i="4"/>
  <c r="C79" i="4"/>
  <c r="D75" i="4"/>
  <c r="D76" i="4"/>
  <c r="D77" i="4"/>
  <c r="D78" i="4"/>
  <c r="H78" i="4" s="1"/>
  <c r="D79" i="4"/>
  <c r="F76" i="4"/>
  <c r="F77" i="4"/>
  <c r="F78" i="4"/>
  <c r="G61" i="4"/>
  <c r="G75" i="4" s="1"/>
  <c r="G62" i="4"/>
  <c r="G87" i="4" s="1"/>
  <c r="G63" i="4"/>
  <c r="G99" i="4" s="1"/>
  <c r="G64" i="4"/>
  <c r="G89" i="4" s="1"/>
  <c r="G65" i="4"/>
  <c r="G101" i="4" s="1"/>
  <c r="G66" i="4"/>
  <c r="G102" i="4" s="1"/>
  <c r="F61" i="4"/>
  <c r="F75" i="4" s="1"/>
  <c r="F62" i="4"/>
  <c r="F87" i="4" s="1"/>
  <c r="F63" i="4"/>
  <c r="F99" i="4" s="1"/>
  <c r="F64" i="4"/>
  <c r="F100" i="4" s="1"/>
  <c r="F65" i="4"/>
  <c r="F101" i="4" s="1"/>
  <c r="F66" i="4"/>
  <c r="F80" i="4" s="1"/>
  <c r="F60" i="4"/>
  <c r="F74" i="4" s="1"/>
  <c r="E61" i="4"/>
  <c r="E86" i="4" s="1"/>
  <c r="E62" i="4"/>
  <c r="E87" i="4" s="1"/>
  <c r="E63" i="4"/>
  <c r="E88" i="4" s="1"/>
  <c r="E64" i="4"/>
  <c r="E78" i="4" s="1"/>
  <c r="E65" i="4"/>
  <c r="E79" i="4" s="1"/>
  <c r="E66" i="4"/>
  <c r="E102" i="4" s="1"/>
  <c r="E60" i="4"/>
  <c r="E85" i="4" s="1"/>
  <c r="B52" i="4"/>
  <c r="B53" i="4" s="1"/>
  <c r="B46" i="4"/>
  <c r="B42" i="4"/>
  <c r="E29" i="4"/>
  <c r="E31" i="4"/>
  <c r="D31" i="4"/>
  <c r="D33" i="4"/>
  <c r="E22" i="4"/>
  <c r="F22" i="4" s="1"/>
  <c r="I18" i="4"/>
  <c r="I19" i="4"/>
  <c r="J19" i="4" s="1"/>
  <c r="F30" i="4" s="1"/>
  <c r="I20" i="4"/>
  <c r="J20" i="4" s="1"/>
  <c r="F31" i="4" s="1"/>
  <c r="I21" i="4"/>
  <c r="J21" i="4" s="1"/>
  <c r="F32" i="4" s="1"/>
  <c r="I22" i="4"/>
  <c r="J22" i="4" s="1"/>
  <c r="F33" i="4" s="1"/>
  <c r="I17" i="4"/>
  <c r="J17" i="4" s="1"/>
  <c r="F28" i="4" s="1"/>
  <c r="G18" i="4"/>
  <c r="H18" i="4" s="1"/>
  <c r="G19" i="4"/>
  <c r="H19" i="4" s="1"/>
  <c r="E30" i="4" s="1"/>
  <c r="G20" i="4"/>
  <c r="H20" i="4" s="1"/>
  <c r="G21" i="4"/>
  <c r="H21" i="4" s="1"/>
  <c r="E32" i="4" s="1"/>
  <c r="G22" i="4"/>
  <c r="H22" i="4" s="1"/>
  <c r="E33" i="4" s="1"/>
  <c r="G17" i="4"/>
  <c r="H17" i="4" s="1"/>
  <c r="E28" i="4" s="1"/>
  <c r="E18" i="4"/>
  <c r="E19" i="4"/>
  <c r="F19" i="4" s="1"/>
  <c r="D30" i="4" s="1"/>
  <c r="E20" i="4"/>
  <c r="F20" i="4" s="1"/>
  <c r="E21" i="4"/>
  <c r="F21" i="4" s="1"/>
  <c r="D32" i="4" s="1"/>
  <c r="E17" i="4"/>
  <c r="F17" i="4" s="1"/>
  <c r="D28" i="4" s="1"/>
  <c r="C20" i="4"/>
  <c r="D20" i="4" s="1"/>
  <c r="C31" i="4" s="1"/>
  <c r="C18" i="4"/>
  <c r="D18" i="4" s="1"/>
  <c r="C29" i="4" s="1"/>
  <c r="C19" i="4"/>
  <c r="D19" i="4" s="1"/>
  <c r="C30" i="4" s="1"/>
  <c r="C21" i="4"/>
  <c r="D21" i="4" s="1"/>
  <c r="C32" i="4" s="1"/>
  <c r="C22" i="4"/>
  <c r="D22" i="4" s="1"/>
  <c r="C33" i="4" s="1"/>
  <c r="C17" i="4"/>
  <c r="D17" i="4" s="1"/>
  <c r="C28" i="4" s="1"/>
  <c r="M16" i="1"/>
  <c r="F17" i="1"/>
  <c r="F18" i="1"/>
  <c r="F19" i="1"/>
  <c r="K16" i="1"/>
  <c r="L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15" i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5" i="1"/>
  <c r="D16" i="1"/>
  <c r="E16" i="1" s="1"/>
  <c r="F16" i="1" s="1"/>
  <c r="D17" i="1"/>
  <c r="E17" i="1" s="1"/>
  <c r="D18" i="1"/>
  <c r="E18" i="1" s="1"/>
  <c r="D19" i="1"/>
  <c r="E19" i="1" s="1"/>
  <c r="D20" i="1"/>
  <c r="E20" i="1" s="1"/>
  <c r="F20" i="1" s="1"/>
  <c r="D15" i="1"/>
  <c r="F98" i="4" l="1"/>
  <c r="E77" i="4"/>
  <c r="G88" i="4"/>
  <c r="F96" i="4"/>
  <c r="E96" i="4"/>
  <c r="E99" i="4"/>
  <c r="F89" i="4"/>
  <c r="E101" i="4"/>
  <c r="E74" i="4"/>
  <c r="F79" i="4"/>
  <c r="G98" i="4"/>
  <c r="F102" i="4"/>
  <c r="G32" i="4"/>
  <c r="E23" i="4"/>
  <c r="M79" i="4"/>
  <c r="N79" i="4" s="1"/>
  <c r="K79" i="4"/>
  <c r="L79" i="4" s="1"/>
  <c r="I79" i="4"/>
  <c r="J79" i="4" s="1"/>
  <c r="M98" i="4"/>
  <c r="N98" i="4" s="1"/>
  <c r="K98" i="4"/>
  <c r="L98" i="4" s="1"/>
  <c r="I98" i="4"/>
  <c r="J98" i="4" s="1"/>
  <c r="G80" i="4"/>
  <c r="E76" i="4"/>
  <c r="K78" i="4"/>
  <c r="L78" i="4" s="1"/>
  <c r="M78" i="4"/>
  <c r="N78" i="4" s="1"/>
  <c r="I78" i="4"/>
  <c r="J78" i="4" s="1"/>
  <c r="G91" i="4"/>
  <c r="M87" i="4"/>
  <c r="N87" i="4" s="1"/>
  <c r="K87" i="4"/>
  <c r="L87" i="4" s="1"/>
  <c r="I87" i="4"/>
  <c r="J87" i="4" s="1"/>
  <c r="K101" i="4"/>
  <c r="L101" i="4" s="1"/>
  <c r="M101" i="4"/>
  <c r="N101" i="4" s="1"/>
  <c r="I101" i="4"/>
  <c r="J101" i="4" s="1"/>
  <c r="G79" i="4"/>
  <c r="E75" i="4"/>
  <c r="K77" i="4"/>
  <c r="L77" i="4" s="1"/>
  <c r="M77" i="4"/>
  <c r="N77" i="4" s="1"/>
  <c r="I77" i="4"/>
  <c r="J77" i="4" s="1"/>
  <c r="F91" i="4"/>
  <c r="K90" i="4"/>
  <c r="L90" i="4" s="1"/>
  <c r="M90" i="4"/>
  <c r="N90" i="4" s="1"/>
  <c r="I90" i="4"/>
  <c r="J90" i="4" s="1"/>
  <c r="G86" i="4"/>
  <c r="G100" i="4"/>
  <c r="F97" i="4"/>
  <c r="L5" i="1"/>
  <c r="K11" i="1"/>
  <c r="G31" i="4"/>
  <c r="G78" i="4"/>
  <c r="M75" i="4"/>
  <c r="N75" i="4" s="1"/>
  <c r="K75" i="4"/>
  <c r="L75" i="4" s="1"/>
  <c r="I75" i="4"/>
  <c r="J75" i="4" s="1"/>
  <c r="E91" i="4"/>
  <c r="F86" i="4"/>
  <c r="M99" i="4"/>
  <c r="N99" i="4" s="1"/>
  <c r="K99" i="4"/>
  <c r="L99" i="4" s="1"/>
  <c r="I99" i="4"/>
  <c r="J99" i="4" s="1"/>
  <c r="E97" i="4"/>
  <c r="G33" i="4"/>
  <c r="G30" i="4"/>
  <c r="G77" i="4"/>
  <c r="K85" i="4"/>
  <c r="L85" i="4" s="1"/>
  <c r="N85" i="4"/>
  <c r="I85" i="4"/>
  <c r="J85" i="4" s="1"/>
  <c r="M88" i="4"/>
  <c r="N88" i="4" s="1"/>
  <c r="K88" i="4"/>
  <c r="L88" i="4" s="1"/>
  <c r="I88" i="4"/>
  <c r="J88" i="4" s="1"/>
  <c r="E15" i="1"/>
  <c r="D21" i="1"/>
  <c r="L15" i="1"/>
  <c r="K21" i="1"/>
  <c r="G76" i="4"/>
  <c r="E80" i="4"/>
  <c r="M91" i="4"/>
  <c r="N91" i="4" s="1"/>
  <c r="K91" i="4"/>
  <c r="L91" i="4" s="1"/>
  <c r="I91" i="4"/>
  <c r="J91" i="4" s="1"/>
  <c r="M97" i="4"/>
  <c r="N97" i="4" s="1"/>
  <c r="K97" i="4"/>
  <c r="L97" i="4" s="1"/>
  <c r="I97" i="4"/>
  <c r="J97" i="4" s="1"/>
  <c r="G28" i="4"/>
  <c r="F85" i="4"/>
  <c r="G90" i="4"/>
  <c r="M86" i="4"/>
  <c r="K86" i="4"/>
  <c r="L86" i="4" s="1"/>
  <c r="I86" i="4"/>
  <c r="J86" i="4" s="1"/>
  <c r="K100" i="4"/>
  <c r="L100" i="4" s="1"/>
  <c r="M100" i="4"/>
  <c r="N100" i="4" s="1"/>
  <c r="I100" i="4"/>
  <c r="J100" i="4" s="1"/>
  <c r="E98" i="4"/>
  <c r="K96" i="4"/>
  <c r="L96" i="4" s="1"/>
  <c r="M96" i="4"/>
  <c r="N96" i="4" s="1"/>
  <c r="I96" i="4"/>
  <c r="J96" i="4" s="1"/>
  <c r="F90" i="4"/>
  <c r="K89" i="4"/>
  <c r="L89" i="4" s="1"/>
  <c r="M89" i="4"/>
  <c r="N89" i="4" s="1"/>
  <c r="I89" i="4"/>
  <c r="J89" i="4" s="1"/>
  <c r="H87" i="4"/>
  <c r="H76" i="4"/>
  <c r="H89" i="4"/>
  <c r="H77" i="4"/>
  <c r="H79" i="4"/>
  <c r="H75" i="4"/>
  <c r="H98" i="4"/>
  <c r="H101" i="4"/>
  <c r="H97" i="4"/>
  <c r="H88" i="4"/>
  <c r="H96" i="4"/>
  <c r="H85" i="4"/>
  <c r="I23" i="4"/>
  <c r="C23" i="4"/>
  <c r="H23" i="4"/>
  <c r="D23" i="4"/>
  <c r="G23" i="4"/>
  <c r="F18" i="4"/>
  <c r="J18" i="4"/>
  <c r="C34" i="4"/>
  <c r="E34" i="4"/>
  <c r="E21" i="1" l="1"/>
  <c r="F15" i="1"/>
  <c r="F21" i="1" s="1"/>
  <c r="F23" i="4"/>
  <c r="D29" i="4"/>
  <c r="D34" i="4" s="1"/>
  <c r="J23" i="4"/>
  <c r="F29" i="4"/>
  <c r="L21" i="1"/>
  <c r="M15" i="1"/>
  <c r="M21" i="1" s="1"/>
  <c r="L11" i="1"/>
  <c r="M5" i="1"/>
  <c r="M11" i="1" s="1"/>
  <c r="F34" i="4" l="1"/>
  <c r="G34" i="4" s="1"/>
  <c r="G29" i="4"/>
</calcChain>
</file>

<file path=xl/sharedStrings.xml><?xml version="1.0" encoding="utf-8"?>
<sst xmlns="http://schemas.openxmlformats.org/spreadsheetml/2006/main" count="432" uniqueCount="116">
  <si>
    <t>Interpreted</t>
  </si>
  <si>
    <t>Time (s)</t>
  </si>
  <si>
    <t>DUT</t>
  </si>
  <si>
    <t>Code</t>
  </si>
  <si>
    <t>binary-trees</t>
  </si>
  <si>
    <t>fannkuch</t>
  </si>
  <si>
    <t>fasta</t>
  </si>
  <si>
    <t>mandelbrot</t>
  </si>
  <si>
    <t>n-body</t>
  </si>
  <si>
    <t>spectral-norm</t>
  </si>
  <si>
    <t>CompiledD</t>
  </si>
  <si>
    <t>InterpretedD</t>
  </si>
  <si>
    <t>Compiled</t>
  </si>
  <si>
    <t>(Scenario 1)</t>
  </si>
  <si>
    <t>(Scenario 2)</t>
  </si>
  <si>
    <t>(Scenario 3)</t>
  </si>
  <si>
    <t>(Scenario4)</t>
  </si>
  <si>
    <t xml:space="preserve">Scenario 1 vs 2 </t>
  </si>
  <si>
    <t>Scenario 1 vs 3</t>
  </si>
  <si>
    <t>Scenario 2 vs 4</t>
  </si>
  <si>
    <t>Scenario 3 vs 4</t>
  </si>
  <si>
    <t>% time</t>
  </si>
  <si>
    <t>% DUT</t>
  </si>
  <si>
    <t>Mean</t>
  </si>
  <si>
    <t>% of Means</t>
  </si>
  <si>
    <t>Scenario 1 vs 4</t>
  </si>
  <si>
    <t>Scenario 2 vs 3</t>
  </si>
  <si>
    <t>Execution 1h</t>
  </si>
  <si>
    <t>Comsuption 1h</t>
  </si>
  <si>
    <t>Kwh</t>
  </si>
  <si>
    <t>Co2</t>
  </si>
  <si>
    <t>kg CO2/kwh</t>
  </si>
  <si>
    <t>Dato obtenido de la REE (ree.es)</t>
  </si>
  <si>
    <t>Hogar medio español</t>
  </si>
  <si>
    <t>Tesla Model 3</t>
  </si>
  <si>
    <t>KWh</t>
  </si>
  <si>
    <t>Diferencia entre 1 y 4</t>
  </si>
  <si>
    <t>SPOTIFY</t>
  </si>
  <si>
    <t>NETFLIX</t>
  </si>
  <si>
    <t>YOUTUBE</t>
  </si>
  <si>
    <t>https://agroambient.gva.es/estatico/areas/educacion/educacion_ambiental/clarity/castellano/download/background-materials-poster09.pdf</t>
  </si>
  <si>
    <t>Hogares en Madrid:1347910</t>
  </si>
  <si>
    <t>DUT (J)</t>
  </si>
  <si>
    <t>Madrid</t>
  </si>
  <si>
    <t>www.madrid.es</t>
  </si>
  <si>
    <t>a+xa=b</t>
  </si>
  <si>
    <t>a=SE3</t>
  </si>
  <si>
    <t>a=SE2</t>
  </si>
  <si>
    <t>a=SE4</t>
  </si>
  <si>
    <t>Holanda</t>
  </si>
  <si>
    <t>Paris</t>
  </si>
  <si>
    <t>Amsterdam</t>
  </si>
  <si>
    <t>https://allcharts.info/the-netherlands/municipality-amsterdam/</t>
  </si>
  <si>
    <t>http://www.worldcitiescultureforum.com/data/number-of-households</t>
  </si>
  <si>
    <t>Francia</t>
  </si>
  <si>
    <t>DUT sLB (J)</t>
  </si>
  <si>
    <t>Power DUT (w)</t>
  </si>
  <si>
    <t>Power DUT sLb (w)</t>
  </si>
  <si>
    <t>DUT sLb (J)</t>
  </si>
  <si>
    <t>Average</t>
  </si>
  <si>
    <t>(*) sLb: no baseline</t>
  </si>
  <si>
    <t>(*) The data used are:</t>
  </si>
  <si>
    <t xml:space="preserve">    The time and consumption of DUT without baseline (blue)</t>
  </si>
  <si>
    <t xml:space="preserve">    </t>
  </si>
  <si>
    <t xml:space="preserve">(*) The first scenario is without baseline, the calculation data is in the excel of the LPs paper. </t>
  </si>
  <si>
    <t>(*) Baseline is 99.8 w</t>
  </si>
  <si>
    <t>Interpreted DTV vs. Interpreted STV</t>
  </si>
  <si>
    <t>Compiled DTV vs Compiled STV</t>
  </si>
  <si>
    <t>Interpreted DTV vs. Compiled DTV</t>
  </si>
  <si>
    <t>Interpreted DTV vs. Compiled STV</t>
  </si>
  <si>
    <t>Compiled DTV vs. Interpreted STV</t>
  </si>
  <si>
    <t>Data comparison</t>
  </si>
  <si>
    <t>Measurement Data</t>
  </si>
  <si>
    <t>Extrapolation to the execution of 1h</t>
  </si>
  <si>
    <t>Comparisons</t>
  </si>
  <si>
    <t>Data obtained from the REE (ree.es)</t>
  </si>
  <si>
    <t>Energy-saving light bulbs</t>
  </si>
  <si>
    <t>Consumption of 7W energy-saving bulbs in 24 hours (kwh)</t>
  </si>
  <si>
    <t>Consumption of 7W energy-saving light bulbs in 1h (kwh)</t>
  </si>
  <si>
    <t>There are different types of energy saving bulbs, in this case we use the 7W bulb.</t>
  </si>
  <si>
    <t>Tonnes per person per year: 5,5</t>
  </si>
  <si>
    <t>Average monthly consumption of a Spanish household (kwh)</t>
  </si>
  <si>
    <t>Average daily consumption of a Spanish household (kwh)</t>
  </si>
  <si>
    <t>Average hourly consumption of a Spanish household (kwh)</t>
  </si>
  <si>
    <t>Hours of an average household achieved with the metering energy</t>
  </si>
  <si>
    <t>Days of an average household achieved with energy from metering</t>
  </si>
  <si>
    <t>Consumption per 100 km (kwh)</t>
  </si>
  <si>
    <t>Data obtained from Tesla website (https://www.tesla.com/en_EU/support/european-union-energy-label)</t>
  </si>
  <si>
    <t>Consumption per km (kwh)</t>
  </si>
  <si>
    <t>Km achieved with the energy of the measurement</t>
  </si>
  <si>
    <t>Different units</t>
  </si>
  <si>
    <t>Difference SE1-SE4</t>
  </si>
  <si>
    <t>Tonnes CO2</t>
  </si>
  <si>
    <t>Bulbs 24h</t>
  </si>
  <si>
    <t>Bulbs 1h</t>
  </si>
  <si>
    <t>Household 1h</t>
  </si>
  <si>
    <t>Hours/year</t>
  </si>
  <si>
    <t>City</t>
  </si>
  <si>
    <t>Households</t>
  </si>
  <si>
    <t>Comparison with apps</t>
  </si>
  <si>
    <t>People/year</t>
  </si>
  <si>
    <t>Interpreted STV vs. Compiled STV</t>
  </si>
  <si>
    <t>Nueva Orleans</t>
  </si>
  <si>
    <t>https://www.point2homes.com/US/Neighborhood/LA/New-Orleans-Demographics.html#:~:text=There%20are%20a%20total%20of,account%20for%20the%20remaining%2054.12%25.</t>
  </si>
  <si>
    <t>Baton Rouge</t>
  </si>
  <si>
    <t>https://www.census.gov/quickfacts/fact/table/batonrougecitylouisiana,neworleanscitylouisiana,US/HSD410221</t>
  </si>
  <si>
    <t>Louisiana</t>
  </si>
  <si>
    <t>Lousiana's Households in a day</t>
  </si>
  <si>
    <t>Spain's households in a day</t>
  </si>
  <si>
    <t>Netherlands' households in a day</t>
  </si>
  <si>
    <t>France's households in a day</t>
  </si>
  <si>
    <t>days of illumination of Madrid's households</t>
  </si>
  <si>
    <t>days of illumination of Amsterdam's households</t>
  </si>
  <si>
    <t>days of illumination of Paris' households</t>
  </si>
  <si>
    <t>days of illumination of Baton Rouge's households</t>
  </si>
  <si>
    <t>days of illumination of New Orleans'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</si>
</sst>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0" fontId="0" fillId="5" borderId="0" xfId="0" applyFill="1"/>
    <xf numFmtId="2" fontId="5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justify" vertical="center" wrapText="1"/>
    </xf>
    <xf numFmtId="2" fontId="4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6" fillId="0" borderId="1" xfId="0" applyFont="1" applyBorder="1"/>
    <xf numFmtId="2" fontId="7" fillId="0" borderId="1" xfId="0" applyNumberFormat="1" applyFont="1" applyBorder="1" applyAlignment="1">
      <alignment horizontal="right" vertical="center" wrapText="1"/>
    </xf>
    <xf numFmtId="0" fontId="2" fillId="4" borderId="1" xfId="0" applyFont="1" applyFill="1" applyBorder="1"/>
    <xf numFmtId="0" fontId="3" fillId="4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2" borderId="1" xfId="0" applyFont="1" applyFill="1" applyBorder="1"/>
    <xf numFmtId="0" fontId="6" fillId="0" borderId="0" xfId="0" applyFont="1"/>
    <xf numFmtId="2" fontId="3" fillId="8" borderId="1" xfId="0" applyNumberFormat="1" applyFont="1" applyFill="1" applyBorder="1"/>
    <xf numFmtId="2" fontId="0" fillId="8" borderId="1" xfId="0" applyNumberFormat="1" applyFill="1" applyBorder="1" applyAlignment="1">
      <alignment horizontal="justify" vertical="center" wrapText="1"/>
    </xf>
    <xf numFmtId="2" fontId="0" fillId="8" borderId="1" xfId="0" applyNumberFormat="1" applyFill="1" applyBorder="1"/>
    <xf numFmtId="2" fontId="7" fillId="8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164" fontId="7" fillId="0" borderId="1" xfId="0" applyNumberFormat="1" applyFont="1" applyBorder="1" applyAlignment="1">
      <alignment horizontal="right" vertical="center" wrapText="1"/>
    </xf>
    <xf numFmtId="164" fontId="7" fillId="8" borderId="1" xfId="0" applyNumberFormat="1" applyFont="1" applyFill="1" applyBorder="1" applyAlignment="1">
      <alignment horizontal="right" vertical="center" wrapText="1"/>
    </xf>
    <xf numFmtId="0" fontId="0" fillId="11" borderId="5" xfId="0" applyFill="1" applyBorder="1"/>
    <xf numFmtId="0" fontId="0" fillId="8" borderId="1" xfId="0" applyFill="1" applyBorder="1"/>
    <xf numFmtId="0" fontId="0" fillId="12" borderId="6" xfId="0" applyFill="1" applyBorder="1"/>
    <xf numFmtId="0" fontId="0" fillId="9" borderId="5" xfId="0" applyFill="1" applyBorder="1"/>
    <xf numFmtId="0" fontId="0" fillId="13" borderId="1" xfId="0" applyFill="1" applyBorder="1"/>
    <xf numFmtId="0" fontId="0" fillId="9" borderId="7" xfId="0" applyFill="1" applyBorder="1"/>
    <xf numFmtId="0" fontId="0" fillId="13" borderId="8" xfId="0" applyFill="1" applyBorder="1"/>
    <xf numFmtId="0" fontId="0" fillId="12" borderId="9" xfId="0" applyFill="1" applyBorder="1"/>
    <xf numFmtId="0" fontId="0" fillId="11" borderId="5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2" borderId="6" xfId="0" applyFill="1" applyBorder="1" applyAlignment="1">
      <alignment horizontal="center" wrapText="1"/>
    </xf>
    <xf numFmtId="164" fontId="0" fillId="0" borderId="1" xfId="0" applyNumberFormat="1" applyBorder="1"/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1" fontId="0" fillId="0" borderId="17" xfId="0" applyNumberFormat="1" applyBorder="1"/>
    <xf numFmtId="0" fontId="0" fillId="0" borderId="18" xfId="0" applyBorder="1"/>
    <xf numFmtId="11" fontId="0" fillId="0" borderId="19" xfId="0" applyNumberFormat="1" applyBorder="1"/>
    <xf numFmtId="164" fontId="0" fillId="0" borderId="0" xfId="0" applyNumberFormat="1"/>
    <xf numFmtId="0" fontId="6" fillId="14" borderId="1" xfId="0" applyFont="1" applyFill="1" applyBorder="1"/>
    <xf numFmtId="0" fontId="0" fillId="15" borderId="1" xfId="0" applyFill="1" applyBorder="1"/>
    <xf numFmtId="0" fontId="0" fillId="11" borderId="1" xfId="0" applyFill="1" applyBorder="1"/>
    <xf numFmtId="4" fontId="0" fillId="0" borderId="1" xfId="0" applyNumberFormat="1" applyBorder="1"/>
    <xf numFmtId="4" fontId="0" fillId="15" borderId="1" xfId="0" applyNumberFormat="1" applyFill="1" applyBorder="1"/>
    <xf numFmtId="4" fontId="0" fillId="11" borderId="1" xfId="0" applyNumberFormat="1" applyFill="1" applyBorder="1"/>
    <xf numFmtId="4" fontId="0" fillId="14" borderId="1" xfId="0" applyNumberFormat="1" applyFill="1" applyBorder="1"/>
    <xf numFmtId="2" fontId="0" fillId="0" borderId="0" xfId="0" applyNumberFormat="1"/>
    <xf numFmtId="164" fontId="0" fillId="0" borderId="20" xfId="0" applyNumberFormat="1" applyBorder="1"/>
    <xf numFmtId="0" fontId="0" fillId="0" borderId="20" xfId="0" applyBorder="1"/>
    <xf numFmtId="11" fontId="0" fillId="0" borderId="0" xfId="0" applyNumberFormat="1"/>
    <xf numFmtId="2" fontId="0" fillId="0" borderId="0" xfId="0" applyNumberFormat="1" applyAlignment="1">
      <alignment horizontal="justify" vertical="center" wrapText="1"/>
    </xf>
    <xf numFmtId="0" fontId="3" fillId="0" borderId="0" xfId="0" applyFont="1"/>
    <xf numFmtId="2" fontId="7" fillId="0" borderId="0" xfId="0" applyNumberFormat="1" applyFont="1" applyAlignment="1">
      <alignment horizontal="left" vertical="center" wrapText="1"/>
    </xf>
    <xf numFmtId="164" fontId="0" fillId="0" borderId="1" xfId="0" applyNumberFormat="1" applyBorder="1" applyAlignment="1">
      <alignment horizontal="justify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164" fontId="7" fillId="0" borderId="10" xfId="0" applyNumberFormat="1" applyFont="1" applyBorder="1" applyAlignment="1">
      <alignment horizontal="left" vertical="center" wrapText="1"/>
    </xf>
    <xf numFmtId="0" fontId="10" fillId="0" borderId="0" xfId="1"/>
    <xf numFmtId="0" fontId="1" fillId="0" borderId="0" xfId="0" applyFont="1"/>
    <xf numFmtId="4" fontId="0" fillId="0" borderId="0" xfId="0" applyNumberFormat="1"/>
    <xf numFmtId="4" fontId="0" fillId="14" borderId="0" xfId="0" applyNumberFormat="1" applyFill="1"/>
    <xf numFmtId="0" fontId="5" fillId="0" borderId="0" xfId="0" applyFont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6" fillId="5" borderId="1" xfId="0" applyFont="1" applyFill="1" applyBorder="1"/>
    <xf numFmtId="164" fontId="2" fillId="2" borderId="0" xfId="0" applyNumberFormat="1" applyFont="1" applyFill="1"/>
    <xf numFmtId="164" fontId="3" fillId="2" borderId="0" xfId="0" applyNumberFormat="1" applyFont="1" applyFill="1"/>
    <xf numFmtId="164" fontId="2" fillId="4" borderId="0" xfId="0" applyNumberFormat="1" applyFont="1" applyFill="1"/>
    <xf numFmtId="164" fontId="3" fillId="4" borderId="0" xfId="0" applyNumberFormat="1" applyFont="1" applyFill="1"/>
    <xf numFmtId="164" fontId="1" fillId="3" borderId="1" xfId="0" applyNumberFormat="1" applyFont="1" applyFill="1" applyBorder="1"/>
    <xf numFmtId="164" fontId="3" fillId="16" borderId="1" xfId="0" applyNumberFormat="1" applyFont="1" applyFill="1" applyBorder="1"/>
    <xf numFmtId="164" fontId="4" fillId="8" borderId="1" xfId="0" applyNumberFormat="1" applyFont="1" applyFill="1" applyBorder="1"/>
    <xf numFmtId="164" fontId="0" fillId="8" borderId="1" xfId="0" applyNumberFormat="1" applyFill="1" applyBorder="1"/>
    <xf numFmtId="164" fontId="3" fillId="8" borderId="1" xfId="0" applyNumberFormat="1" applyFont="1" applyFill="1" applyBorder="1"/>
    <xf numFmtId="164" fontId="0" fillId="16" borderId="1" xfId="0" applyNumberFormat="1" applyFill="1" applyBorder="1"/>
    <xf numFmtId="164" fontId="0" fillId="5" borderId="0" xfId="0" applyNumberFormat="1" applyFill="1"/>
    <xf numFmtId="164" fontId="6" fillId="0" borderId="1" xfId="0" applyNumberFormat="1" applyFont="1" applyBorder="1"/>
    <xf numFmtId="164" fontId="4" fillId="2" borderId="0" xfId="0" applyNumberFormat="1" applyFont="1" applyFill="1"/>
    <xf numFmtId="164" fontId="4" fillId="16" borderId="1" xfId="0" applyNumberFormat="1" applyFont="1" applyFill="1" applyBorder="1"/>
    <xf numFmtId="164" fontId="4" fillId="0" borderId="1" xfId="0" applyNumberFormat="1" applyFont="1" applyBorder="1"/>
    <xf numFmtId="164" fontId="3" fillId="0" borderId="1" xfId="0" applyNumberFormat="1" applyFont="1" applyBorder="1"/>
    <xf numFmtId="164" fontId="0" fillId="7" borderId="0" xfId="0" applyNumberFormat="1" applyFill="1"/>
    <xf numFmtId="164" fontId="2" fillId="2" borderId="1" xfId="0" applyNumberFormat="1" applyFont="1" applyFill="1" applyBorder="1"/>
    <xf numFmtId="164" fontId="3" fillId="2" borderId="1" xfId="0" applyNumberFormat="1" applyFont="1" applyFill="1" applyBorder="1"/>
    <xf numFmtId="164" fontId="2" fillId="4" borderId="1" xfId="0" applyNumberFormat="1" applyFont="1" applyFill="1" applyBorder="1"/>
    <xf numFmtId="164" fontId="3" fillId="4" borderId="1" xfId="0" applyNumberFormat="1" applyFont="1" applyFill="1" applyBorder="1"/>
    <xf numFmtId="164" fontId="3" fillId="6" borderId="1" xfId="0" applyNumberFormat="1" applyFont="1" applyFill="1" applyBorder="1"/>
    <xf numFmtId="164" fontId="3" fillId="6" borderId="10" xfId="0" applyNumberFormat="1" applyFont="1" applyFill="1" applyBorder="1"/>
    <xf numFmtId="164" fontId="3" fillId="0" borderId="0" xfId="0" applyNumberFormat="1" applyFont="1"/>
    <xf numFmtId="164" fontId="4" fillId="2" borderId="1" xfId="0" applyNumberFormat="1" applyFont="1" applyFill="1" applyBorder="1"/>
    <xf numFmtId="164" fontId="3" fillId="0" borderId="10" xfId="0" applyNumberFormat="1" applyFont="1" applyBorder="1"/>
    <xf numFmtId="164" fontId="0" fillId="0" borderId="10" xfId="0" applyNumberFormat="1" applyBorder="1"/>
    <xf numFmtId="164" fontId="0" fillId="0" borderId="0" xfId="0" applyNumberFormat="1" applyAlignment="1">
      <alignment horizontal="justify" vertical="center" wrapText="1"/>
    </xf>
    <xf numFmtId="164" fontId="6" fillId="0" borderId="1" xfId="0" applyNumberFormat="1" applyFont="1" applyBorder="1" applyAlignment="1">
      <alignment horizontal="justify" vertical="center" wrapText="1"/>
    </xf>
    <xf numFmtId="164" fontId="8" fillId="0" borderId="1" xfId="0" applyNumberFormat="1" applyFont="1" applyBorder="1"/>
    <xf numFmtId="164" fontId="6" fillId="0" borderId="0" xfId="0" applyNumberFormat="1" applyFont="1"/>
    <xf numFmtId="164" fontId="7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horizontal="justify" vertical="center" wrapText="1"/>
    </xf>
    <xf numFmtId="164" fontId="8" fillId="0" borderId="0" xfId="0" applyNumberFormat="1" applyFont="1"/>
    <xf numFmtId="164" fontId="0" fillId="0" borderId="10" xfId="0" applyNumberFormat="1" applyBorder="1" applyAlignment="1">
      <alignment horizontal="justify" vertical="center" wrapText="1"/>
    </xf>
    <xf numFmtId="164" fontId="2" fillId="0" borderId="1" xfId="0" applyNumberFormat="1" applyFont="1" applyBorder="1"/>
    <xf numFmtId="164" fontId="6" fillId="0" borderId="10" xfId="0" applyNumberFormat="1" applyFont="1" applyBorder="1" applyAlignment="1">
      <alignment horizontal="justify" vertical="center" wrapText="1"/>
    </xf>
    <xf numFmtId="164" fontId="7" fillId="0" borderId="0" xfId="0" applyNumberFormat="1" applyFont="1" applyAlignment="1">
      <alignment horizontal="left" vertical="center" wrapText="1"/>
    </xf>
    <xf numFmtId="164" fontId="0" fillId="8" borderId="1" xfId="0" applyNumberFormat="1" applyFill="1" applyBorder="1" applyAlignment="1">
      <alignment horizontal="justify" vertical="center" wrapText="1"/>
    </xf>
    <xf numFmtId="164" fontId="2" fillId="0" borderId="0" xfId="0" applyNumberFormat="1" applyFont="1"/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0" fillId="0" borderId="0" xfId="0" applyFill="1"/>
    <xf numFmtId="164" fontId="5" fillId="0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ill="1" applyBorder="1"/>
    <xf numFmtId="164" fontId="6" fillId="0" borderId="1" xfId="0" applyNumberFormat="1" applyFont="1" applyFill="1" applyBorder="1"/>
    <xf numFmtId="164" fontId="0" fillId="0" borderId="1" xfId="0" applyNumberFormat="1" applyFill="1" applyBorder="1" applyAlignment="1">
      <alignment horizontal="justify" vertical="center" wrapText="1"/>
    </xf>
    <xf numFmtId="164" fontId="6" fillId="0" borderId="1" xfId="0" applyNumberFormat="1" applyFont="1" applyFill="1" applyBorder="1" applyAlignment="1">
      <alignment horizontal="justify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164" fontId="3" fillId="0" borderId="13" xfId="0" applyNumberFormat="1" applyFont="1" applyBorder="1"/>
    <xf numFmtId="164" fontId="7" fillId="0" borderId="13" xfId="0" applyNumberFormat="1" applyFont="1" applyBorder="1" applyAlignment="1">
      <alignment horizontal="right" vertical="center" wrapText="1"/>
    </xf>
    <xf numFmtId="164" fontId="7" fillId="0" borderId="1" xfId="0" applyNumberFormat="1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quickfacts/fact/table/batonrougecitylouisiana,neworleanscitylouisiana,US/HSD410221" TargetMode="External"/><Relationship Id="rId2" Type="http://schemas.openxmlformats.org/officeDocument/2006/relationships/hyperlink" Target="https://www.point2homes.com/US/Neighborhood/LA/New-Orleans-Demographics.html" TargetMode="External"/><Relationship Id="rId1" Type="http://schemas.openxmlformats.org/officeDocument/2006/relationships/hyperlink" Target="http://www.madrid.es/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8"/>
  <sheetViews>
    <sheetView topLeftCell="A7" workbookViewId="0">
      <selection activeCell="B5" sqref="B5:F11"/>
    </sheetView>
  </sheetViews>
  <sheetFormatPr baseColWidth="10" defaultRowHeight="14.5" x14ac:dyDescent="0.35"/>
  <cols>
    <col min="2" max="2" width="12.81640625" customWidth="1"/>
    <col min="4" max="4" width="17.1796875" customWidth="1"/>
    <col min="5" max="5" width="13.7265625" customWidth="1"/>
    <col min="11" max="11" width="15.1796875" customWidth="1"/>
    <col min="12" max="12" width="17" customWidth="1"/>
  </cols>
  <sheetData>
    <row r="3" spans="1:17" x14ac:dyDescent="0.35">
      <c r="A3" s="49"/>
      <c r="B3" s="74" t="s">
        <v>0</v>
      </c>
      <c r="C3" s="75" t="s">
        <v>13</v>
      </c>
      <c r="D3" s="49"/>
      <c r="E3" s="49"/>
      <c r="F3" s="49"/>
      <c r="G3" s="49"/>
      <c r="H3" s="49"/>
      <c r="I3" s="76" t="s">
        <v>12</v>
      </c>
      <c r="J3" s="77" t="s">
        <v>14</v>
      </c>
      <c r="K3" s="49"/>
      <c r="L3" s="49"/>
      <c r="M3" s="49"/>
    </row>
    <row r="4" spans="1:17" x14ac:dyDescent="0.35">
      <c r="A4" s="78" t="s">
        <v>3</v>
      </c>
      <c r="B4" s="79" t="s">
        <v>1</v>
      </c>
      <c r="C4" s="80" t="s">
        <v>42</v>
      </c>
      <c r="D4" s="81" t="s">
        <v>56</v>
      </c>
      <c r="E4" s="81" t="s">
        <v>57</v>
      </c>
      <c r="F4" s="79" t="s">
        <v>58</v>
      </c>
      <c r="G4" s="49"/>
      <c r="H4" s="78" t="s">
        <v>3</v>
      </c>
      <c r="I4" s="79" t="s">
        <v>1</v>
      </c>
      <c r="J4" s="82" t="s">
        <v>42</v>
      </c>
      <c r="K4" s="81" t="s">
        <v>56</v>
      </c>
      <c r="L4" s="81" t="s">
        <v>57</v>
      </c>
      <c r="M4" s="83" t="s">
        <v>55</v>
      </c>
      <c r="O4" t="s">
        <v>60</v>
      </c>
    </row>
    <row r="5" spans="1:17" x14ac:dyDescent="0.35">
      <c r="A5" s="37" t="s">
        <v>4</v>
      </c>
      <c r="B5" s="119">
        <v>20.6967</v>
      </c>
      <c r="C5" s="118">
        <f>D5*B5</f>
        <v>5547.9426159556133</v>
      </c>
      <c r="D5" s="119">
        <v>268.05928558444646</v>
      </c>
      <c r="E5" s="119">
        <f>D5-99.364</f>
        <v>168.69528558444645</v>
      </c>
      <c r="F5" s="118">
        <f>E5*B5</f>
        <v>3491.435717155613</v>
      </c>
      <c r="G5" s="49"/>
      <c r="H5" s="37" t="s">
        <v>4</v>
      </c>
      <c r="I5" s="64">
        <v>18.37</v>
      </c>
      <c r="J5" s="64">
        <v>5448.59</v>
      </c>
      <c r="K5" s="37">
        <f>J5/I5</f>
        <v>296.60261295590635</v>
      </c>
      <c r="L5" s="37">
        <f>K5-99.8</f>
        <v>196.80261295590634</v>
      </c>
      <c r="M5" s="37">
        <f>L5*I5</f>
        <v>3615.2639999999997</v>
      </c>
      <c r="O5" t="s">
        <v>61</v>
      </c>
    </row>
    <row r="6" spans="1:17" x14ac:dyDescent="0.35">
      <c r="A6" s="37" t="s">
        <v>5</v>
      </c>
      <c r="B6" s="119">
        <v>120.78308888888888</v>
      </c>
      <c r="C6" s="118">
        <f t="shared" ref="C6:C10" si="0">D6*B6</f>
        <v>33762.842746418428</v>
      </c>
      <c r="D6" s="119">
        <v>279.53286388856668</v>
      </c>
      <c r="E6" s="119">
        <f t="shared" ref="E6:E10" si="1">D6-99.364</f>
        <v>180.16886388856668</v>
      </c>
      <c r="F6" s="118">
        <f t="shared" ref="F6:F10" si="2">E6*B6</f>
        <v>21761.35190206287</v>
      </c>
      <c r="G6" s="49"/>
      <c r="H6" s="37" t="s">
        <v>5</v>
      </c>
      <c r="I6" s="64">
        <v>107.81</v>
      </c>
      <c r="J6" s="64">
        <v>32009.88</v>
      </c>
      <c r="K6" s="37">
        <f t="shared" ref="K6:K10" si="3">J6/I6</f>
        <v>296.91011965494852</v>
      </c>
      <c r="L6" s="37">
        <f t="shared" ref="L6:L10" si="4">K6-99.8</f>
        <v>197.11011965494851</v>
      </c>
      <c r="M6" s="37">
        <f t="shared" ref="M6:M10" si="5">L6*I6</f>
        <v>21250.441999999999</v>
      </c>
      <c r="O6" t="s">
        <v>62</v>
      </c>
    </row>
    <row r="7" spans="1:17" x14ac:dyDescent="0.35">
      <c r="A7" s="37" t="s">
        <v>6</v>
      </c>
      <c r="B7" s="119">
        <v>50.246319999999997</v>
      </c>
      <c r="C7" s="118">
        <f>D7*B7</f>
        <v>10757.861239284381</v>
      </c>
      <c r="D7" s="119">
        <v>214.10247037562911</v>
      </c>
      <c r="E7" s="119">
        <f t="shared" si="1"/>
        <v>114.73847037562911</v>
      </c>
      <c r="F7" s="118">
        <f t="shared" si="2"/>
        <v>5765.1858988043796</v>
      </c>
      <c r="G7" s="49"/>
      <c r="H7" s="37" t="s">
        <v>6</v>
      </c>
      <c r="I7" s="64">
        <v>33.65</v>
      </c>
      <c r="J7" s="64">
        <v>7399.98</v>
      </c>
      <c r="K7" s="37">
        <f t="shared" si="3"/>
        <v>219.91025260029718</v>
      </c>
      <c r="L7" s="37">
        <f t="shared" si="4"/>
        <v>120.11025260029719</v>
      </c>
      <c r="M7" s="37">
        <f t="shared" si="5"/>
        <v>4041.71</v>
      </c>
      <c r="O7" t="s">
        <v>64</v>
      </c>
    </row>
    <row r="8" spans="1:17" x14ac:dyDescent="0.35">
      <c r="A8" s="37" t="s">
        <v>7</v>
      </c>
      <c r="B8" s="119">
        <v>77.353440000000006</v>
      </c>
      <c r="C8" s="118">
        <f t="shared" si="0"/>
        <v>22624.663470687654</v>
      </c>
      <c r="D8" s="119">
        <v>292.48425759329712</v>
      </c>
      <c r="E8" s="119">
        <f t="shared" si="1"/>
        <v>193.12025759329711</v>
      </c>
      <c r="F8" s="118">
        <f t="shared" si="2"/>
        <v>14938.516258527654</v>
      </c>
      <c r="G8" s="49"/>
      <c r="H8" s="37" t="s">
        <v>7</v>
      </c>
      <c r="I8" s="64">
        <v>62.22</v>
      </c>
      <c r="J8" s="64">
        <v>18179.25</v>
      </c>
      <c r="K8" s="37">
        <f t="shared" si="3"/>
        <v>292.17695274831243</v>
      </c>
      <c r="L8" s="37">
        <f t="shared" si="4"/>
        <v>192.37695274831242</v>
      </c>
      <c r="M8" s="37">
        <f t="shared" si="5"/>
        <v>11969.693999999998</v>
      </c>
      <c r="O8" t="s">
        <v>63</v>
      </c>
    </row>
    <row r="9" spans="1:17" x14ac:dyDescent="0.35">
      <c r="A9" s="37" t="s">
        <v>8</v>
      </c>
      <c r="B9" s="119">
        <v>362.18804444444442</v>
      </c>
      <c r="C9" s="118">
        <f t="shared" si="0"/>
        <v>77767.02708672607</v>
      </c>
      <c r="D9" s="119">
        <v>214.71450612350253</v>
      </c>
      <c r="E9" s="119">
        <f t="shared" si="1"/>
        <v>115.35050612350253</v>
      </c>
      <c r="F9" s="118">
        <f t="shared" si="2"/>
        <v>41778.574238548288</v>
      </c>
      <c r="G9" s="49"/>
      <c r="H9" s="37" t="s">
        <v>8</v>
      </c>
      <c r="I9" s="64">
        <v>252.92</v>
      </c>
      <c r="J9" s="64">
        <v>55291.51</v>
      </c>
      <c r="K9" s="37">
        <f t="shared" si="3"/>
        <v>218.61264431440773</v>
      </c>
      <c r="L9" s="37">
        <f t="shared" si="4"/>
        <v>118.81264431440773</v>
      </c>
      <c r="M9" s="37">
        <f t="shared" si="5"/>
        <v>30050.094000000001</v>
      </c>
      <c r="O9" t="s">
        <v>65</v>
      </c>
    </row>
    <row r="10" spans="1:17" x14ac:dyDescent="0.35">
      <c r="A10" s="37" t="s">
        <v>9</v>
      </c>
      <c r="B10" s="119">
        <v>97.322020000000009</v>
      </c>
      <c r="C10" s="118">
        <f t="shared" si="0"/>
        <v>28336.448982746402</v>
      </c>
      <c r="D10" s="119">
        <v>291.16174307465462</v>
      </c>
      <c r="E10" s="119">
        <f t="shared" si="1"/>
        <v>191.79774307465462</v>
      </c>
      <c r="F10" s="118">
        <f t="shared" si="2"/>
        <v>18666.143787466401</v>
      </c>
      <c r="G10" s="49"/>
      <c r="H10" s="37" t="s">
        <v>9</v>
      </c>
      <c r="I10" s="64">
        <v>58.49</v>
      </c>
      <c r="J10" s="64">
        <v>17623.14</v>
      </c>
      <c r="K10" s="37">
        <f t="shared" si="3"/>
        <v>301.3017609847837</v>
      </c>
      <c r="L10" s="37">
        <f t="shared" si="4"/>
        <v>201.50176098478369</v>
      </c>
      <c r="M10" s="37">
        <f t="shared" si="5"/>
        <v>11785.837999999998</v>
      </c>
    </row>
    <row r="11" spans="1:17" x14ac:dyDescent="0.35">
      <c r="A11" s="85" t="s">
        <v>59</v>
      </c>
      <c r="B11" s="120">
        <f>AVERAGE(B5:B10)</f>
        <v>121.43160222222222</v>
      </c>
      <c r="C11" s="120">
        <f t="shared" ref="C11:F11" si="6">AVERAGE(C5:C10)</f>
        <v>29799.464356969755</v>
      </c>
      <c r="D11" s="120">
        <f t="shared" si="6"/>
        <v>260.00918777334942</v>
      </c>
      <c r="E11" s="120">
        <f t="shared" si="6"/>
        <v>160.64518777334942</v>
      </c>
      <c r="F11" s="120">
        <f t="shared" si="6"/>
        <v>17733.534633760868</v>
      </c>
      <c r="G11" s="49"/>
      <c r="H11" s="85" t="s">
        <v>59</v>
      </c>
      <c r="I11" s="85">
        <f>AVERAGE(I5:I10)</f>
        <v>88.910000000000011</v>
      </c>
      <c r="J11" s="85">
        <f t="shared" ref="J11:M11" si="7">AVERAGE(J5:J10)</f>
        <v>22658.724999999995</v>
      </c>
      <c r="K11" s="85">
        <f t="shared" si="7"/>
        <v>270.91905720977599</v>
      </c>
      <c r="L11" s="85">
        <f t="shared" si="7"/>
        <v>171.11905720977597</v>
      </c>
      <c r="M11" s="85">
        <f t="shared" si="7"/>
        <v>13785.507</v>
      </c>
    </row>
    <row r="12" spans="1:17" x14ac:dyDescent="0.3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O12" s="117"/>
      <c r="P12" s="117"/>
      <c r="Q12" s="117"/>
    </row>
    <row r="13" spans="1:17" x14ac:dyDescent="0.35">
      <c r="A13" s="49"/>
      <c r="B13" s="74" t="s">
        <v>11</v>
      </c>
      <c r="C13" s="86" t="s">
        <v>15</v>
      </c>
      <c r="D13" s="49"/>
      <c r="E13" s="49"/>
      <c r="F13" s="49"/>
      <c r="G13" s="49"/>
      <c r="H13" s="49"/>
      <c r="I13" s="76" t="s">
        <v>10</v>
      </c>
      <c r="J13" s="77" t="s">
        <v>16</v>
      </c>
      <c r="K13" s="49"/>
      <c r="L13" s="49"/>
      <c r="M13" s="49"/>
    </row>
    <row r="14" spans="1:17" x14ac:dyDescent="0.35">
      <c r="A14" s="78" t="s">
        <v>3</v>
      </c>
      <c r="B14" s="87" t="s">
        <v>1</v>
      </c>
      <c r="C14" s="80" t="s">
        <v>42</v>
      </c>
      <c r="D14" s="81" t="s">
        <v>56</v>
      </c>
      <c r="E14" s="81" t="s">
        <v>57</v>
      </c>
      <c r="F14" s="83" t="s">
        <v>55</v>
      </c>
      <c r="G14" s="49"/>
      <c r="H14" s="78" t="s">
        <v>3</v>
      </c>
      <c r="I14" s="79" t="s">
        <v>1</v>
      </c>
      <c r="J14" s="82" t="s">
        <v>42</v>
      </c>
      <c r="K14" s="81" t="s">
        <v>56</v>
      </c>
      <c r="L14" s="81" t="s">
        <v>57</v>
      </c>
      <c r="M14" s="83" t="s">
        <v>55</v>
      </c>
    </row>
    <row r="15" spans="1:17" x14ac:dyDescent="0.35">
      <c r="A15" s="37" t="s">
        <v>4</v>
      </c>
      <c r="B15" s="88">
        <v>18.472799999999999</v>
      </c>
      <c r="C15" s="88">
        <v>5463.1669549597</v>
      </c>
      <c r="D15" s="37">
        <f>C15/B15</f>
        <v>295.74114129745897</v>
      </c>
      <c r="E15" s="37">
        <f>D15-99.8</f>
        <v>195.94114129745896</v>
      </c>
      <c r="F15" s="37">
        <f>E15*B15</f>
        <v>3619.5815149596997</v>
      </c>
      <c r="G15" s="49"/>
      <c r="H15" s="37" t="s">
        <v>4</v>
      </c>
      <c r="I15" s="89">
        <v>18.270839999999982</v>
      </c>
      <c r="J15" s="89">
        <v>4820.1920818711797</v>
      </c>
      <c r="K15" s="37">
        <f>J15/I15</f>
        <v>263.81885462689098</v>
      </c>
      <c r="L15" s="37">
        <f>K15-99.8</f>
        <v>164.01885462689097</v>
      </c>
      <c r="M15" s="37">
        <f>L15*I15</f>
        <v>2996.7622498711817</v>
      </c>
    </row>
    <row r="16" spans="1:17" x14ac:dyDescent="0.35">
      <c r="A16" s="37" t="s">
        <v>5</v>
      </c>
      <c r="B16" s="88">
        <v>107.03381999999999</v>
      </c>
      <c r="C16" s="88">
        <v>31286.403432610397</v>
      </c>
      <c r="D16" s="37">
        <f t="shared" ref="D16:D20" si="8">C16/B16</f>
        <v>292.30390387459215</v>
      </c>
      <c r="E16" s="37">
        <f t="shared" ref="E16:E20" si="9">D16-99.8</f>
        <v>192.50390387459214</v>
      </c>
      <c r="F16" s="37">
        <f t="shared" ref="F16:F20" si="10">E16*B16</f>
        <v>20604.428196610395</v>
      </c>
      <c r="G16" s="49"/>
      <c r="H16" s="37" t="s">
        <v>5</v>
      </c>
      <c r="I16" s="89">
        <v>106.6821199999998</v>
      </c>
      <c r="J16" s="89">
        <v>28101.619144301199</v>
      </c>
      <c r="K16" s="37">
        <f t="shared" ref="K16:K20" si="11">J16/I16</f>
        <v>263.41451729963046</v>
      </c>
      <c r="L16" s="37">
        <f t="shared" ref="L16:L20" si="12">K16-99.8</f>
        <v>163.61451729963045</v>
      </c>
      <c r="M16" s="37">
        <f t="shared" ref="M16:M20" si="13">L16*I16</f>
        <v>17454.743568301219</v>
      </c>
    </row>
    <row r="17" spans="1:13" x14ac:dyDescent="0.35">
      <c r="A17" s="37" t="s">
        <v>6</v>
      </c>
      <c r="B17" s="88">
        <v>34.489739999999998</v>
      </c>
      <c r="C17" s="88">
        <v>7432.3183709861405</v>
      </c>
      <c r="D17" s="37">
        <f t="shared" si="8"/>
        <v>215.49360392354774</v>
      </c>
      <c r="E17" s="37">
        <f t="shared" si="9"/>
        <v>115.69360392354774</v>
      </c>
      <c r="F17" s="37">
        <f t="shared" si="10"/>
        <v>3990.2423189861411</v>
      </c>
      <c r="G17" s="49"/>
      <c r="H17" s="37" t="s">
        <v>6</v>
      </c>
      <c r="I17" s="89">
        <v>34.59892</v>
      </c>
      <c r="J17" s="89">
        <v>6660.9112424946597</v>
      </c>
      <c r="K17" s="37">
        <f t="shared" si="11"/>
        <v>192.51789485032074</v>
      </c>
      <c r="L17" s="37">
        <f t="shared" si="12"/>
        <v>92.717894850320747</v>
      </c>
      <c r="M17" s="37">
        <f t="shared" si="13"/>
        <v>3207.9390264946596</v>
      </c>
    </row>
    <row r="18" spans="1:13" x14ac:dyDescent="0.35">
      <c r="A18" s="37" t="s">
        <v>7</v>
      </c>
      <c r="B18" s="88">
        <v>61.730339999999998</v>
      </c>
      <c r="C18" s="88">
        <v>18829.767654274801</v>
      </c>
      <c r="D18" s="37">
        <f t="shared" si="8"/>
        <v>305.0326250313023</v>
      </c>
      <c r="E18" s="37">
        <f t="shared" si="9"/>
        <v>205.23262503130229</v>
      </c>
      <c r="F18" s="37">
        <f t="shared" si="10"/>
        <v>12669.079722274801</v>
      </c>
      <c r="G18" s="49"/>
      <c r="H18" s="37" t="s">
        <v>7</v>
      </c>
      <c r="I18" s="89">
        <v>61.239819999999995</v>
      </c>
      <c r="J18" s="89">
        <v>16956.557369100879</v>
      </c>
      <c r="K18" s="37">
        <f t="shared" si="11"/>
        <v>276.88777284291302</v>
      </c>
      <c r="L18" s="37">
        <f t="shared" si="12"/>
        <v>177.08777284291301</v>
      </c>
      <c r="M18" s="37">
        <f t="shared" si="13"/>
        <v>10844.82333310088</v>
      </c>
    </row>
    <row r="19" spans="1:13" x14ac:dyDescent="0.35">
      <c r="A19" s="37" t="s">
        <v>8</v>
      </c>
      <c r="B19" s="88">
        <v>270.35162857142802</v>
      </c>
      <c r="C19" s="88">
        <v>57997.077442132999</v>
      </c>
      <c r="D19" s="37">
        <f t="shared" si="8"/>
        <v>214.52460911220265</v>
      </c>
      <c r="E19" s="37">
        <f t="shared" si="9"/>
        <v>114.72460911220266</v>
      </c>
      <c r="F19" s="37">
        <f t="shared" si="10"/>
        <v>31015.984910704479</v>
      </c>
      <c r="G19" s="49"/>
      <c r="H19" s="37" t="s">
        <v>8</v>
      </c>
      <c r="I19" s="89">
        <v>268.38490000000002</v>
      </c>
      <c r="J19" s="89">
        <v>53979.574006947398</v>
      </c>
      <c r="K19" s="37">
        <f t="shared" si="11"/>
        <v>201.12746286004688</v>
      </c>
      <c r="L19" s="37">
        <f t="shared" si="12"/>
        <v>101.32746286004688</v>
      </c>
      <c r="M19" s="37">
        <f t="shared" si="13"/>
        <v>27194.760986947396</v>
      </c>
    </row>
    <row r="20" spans="1:13" x14ac:dyDescent="0.35">
      <c r="A20" s="37" t="s">
        <v>9</v>
      </c>
      <c r="B20" s="88">
        <v>63.163980000000002</v>
      </c>
      <c r="C20" s="88">
        <v>18353.08782267262</v>
      </c>
      <c r="D20" s="37">
        <f t="shared" si="8"/>
        <v>290.56256148951695</v>
      </c>
      <c r="E20" s="37">
        <f t="shared" si="9"/>
        <v>190.76256148951694</v>
      </c>
      <c r="F20" s="37">
        <f t="shared" si="10"/>
        <v>12049.322618672619</v>
      </c>
      <c r="G20" s="49"/>
      <c r="H20" s="37" t="s">
        <v>9</v>
      </c>
      <c r="I20" s="89">
        <v>63.298780000000001</v>
      </c>
      <c r="J20" s="89">
        <v>18336.51216322662</v>
      </c>
      <c r="K20" s="37">
        <f t="shared" si="11"/>
        <v>289.6819206187958</v>
      </c>
      <c r="L20" s="37">
        <f t="shared" si="12"/>
        <v>189.88192061879579</v>
      </c>
      <c r="M20" s="37">
        <f t="shared" si="13"/>
        <v>12019.293919226619</v>
      </c>
    </row>
    <row r="21" spans="1:13" x14ac:dyDescent="0.35">
      <c r="A21" s="85" t="s">
        <v>59</v>
      </c>
      <c r="B21" s="85">
        <f>AVERAGE(B15:B20)</f>
        <v>92.540384761904662</v>
      </c>
      <c r="C21" s="85">
        <f t="shared" ref="C21:F21" si="14">AVERAGE(C15:C20)</f>
        <v>23226.970279606106</v>
      </c>
      <c r="D21" s="85">
        <f t="shared" si="14"/>
        <v>268.94307412143684</v>
      </c>
      <c r="E21" s="85">
        <f t="shared" si="14"/>
        <v>169.1430741214368</v>
      </c>
      <c r="F21" s="85">
        <f t="shared" si="14"/>
        <v>13991.439880368023</v>
      </c>
      <c r="G21" s="49"/>
      <c r="H21" s="85" t="s">
        <v>59</v>
      </c>
      <c r="I21" s="85">
        <f>AVERAGE(I15:I20)</f>
        <v>92.079229999999953</v>
      </c>
      <c r="J21" s="85">
        <f t="shared" ref="J21:L21" si="15">AVERAGE(J15:J20)</f>
        <v>21475.89433465699</v>
      </c>
      <c r="K21" s="85">
        <f t="shared" si="15"/>
        <v>247.90807051643299</v>
      </c>
      <c r="L21" s="85">
        <f t="shared" si="15"/>
        <v>148.108070516433</v>
      </c>
      <c r="M21" s="85">
        <f>AVERAGE(M15:M20)</f>
        <v>12286.387180656993</v>
      </c>
    </row>
    <row r="22" spans="1:13" x14ac:dyDescent="0.3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 x14ac:dyDescent="0.35">
      <c r="C23" s="71"/>
    </row>
    <row r="24" spans="1:13" x14ac:dyDescent="0.35">
      <c r="C24" s="71"/>
    </row>
    <row r="25" spans="1:13" x14ac:dyDescent="0.35">
      <c r="C25" s="71"/>
    </row>
    <row r="26" spans="1:13" x14ac:dyDescent="0.35">
      <c r="C26" s="71"/>
    </row>
    <row r="27" spans="1:13" x14ac:dyDescent="0.35">
      <c r="C27" s="71"/>
    </row>
    <row r="28" spans="1:13" x14ac:dyDescent="0.35">
      <c r="C28" s="7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57"/>
  <sheetViews>
    <sheetView workbookViewId="0">
      <selection activeCell="R7" sqref="R7:S14"/>
    </sheetView>
  </sheetViews>
  <sheetFormatPr baseColWidth="10" defaultRowHeight="14.5" x14ac:dyDescent="0.35"/>
  <cols>
    <col min="16" max="16" width="13.453125" customWidth="1"/>
  </cols>
  <sheetData>
    <row r="3" spans="2:22" x14ac:dyDescent="0.35">
      <c r="B3" s="2" t="s">
        <v>68</v>
      </c>
      <c r="C3" s="2"/>
      <c r="D3" s="2"/>
      <c r="E3" s="2"/>
      <c r="F3" s="2"/>
      <c r="G3" s="2"/>
      <c r="H3" s="2"/>
      <c r="M3" s="2" t="s">
        <v>66</v>
      </c>
      <c r="N3" s="2"/>
      <c r="O3" s="2"/>
      <c r="P3" s="2"/>
      <c r="Q3" s="2"/>
    </row>
    <row r="4" spans="2:22" x14ac:dyDescent="0.35">
      <c r="B4" s="49" t="s">
        <v>17</v>
      </c>
      <c r="C4" s="49"/>
      <c r="D4" s="49"/>
      <c r="E4" s="49"/>
      <c r="F4" s="49"/>
      <c r="G4" s="90" t="s">
        <v>45</v>
      </c>
      <c r="H4" s="90" t="s">
        <v>47</v>
      </c>
      <c r="I4" s="49"/>
      <c r="J4" s="49"/>
      <c r="K4" s="49"/>
      <c r="L4" s="49"/>
      <c r="M4" s="49" t="s">
        <v>18</v>
      </c>
      <c r="N4" s="49"/>
      <c r="O4" s="49"/>
      <c r="P4" s="49"/>
      <c r="Q4" s="49"/>
      <c r="R4" s="90" t="s">
        <v>45</v>
      </c>
      <c r="S4" s="90" t="s">
        <v>46</v>
      </c>
    </row>
    <row r="5" spans="2:22" x14ac:dyDescent="0.35">
      <c r="B5" s="37"/>
      <c r="C5" s="91" t="s">
        <v>0</v>
      </c>
      <c r="D5" s="92" t="s">
        <v>13</v>
      </c>
      <c r="E5" s="93" t="s">
        <v>12</v>
      </c>
      <c r="F5" s="94" t="s">
        <v>14</v>
      </c>
      <c r="G5" s="95" t="s">
        <v>21</v>
      </c>
      <c r="H5" s="96" t="s">
        <v>22</v>
      </c>
      <c r="I5" s="97"/>
      <c r="J5" s="97"/>
      <c r="K5" s="49"/>
      <c r="L5" s="49"/>
      <c r="M5" s="37"/>
      <c r="N5" s="91" t="s">
        <v>0</v>
      </c>
      <c r="O5" s="92" t="s">
        <v>13</v>
      </c>
      <c r="P5" s="91" t="s">
        <v>11</v>
      </c>
      <c r="Q5" s="98" t="s">
        <v>15</v>
      </c>
      <c r="R5" s="95" t="s">
        <v>21</v>
      </c>
      <c r="S5" s="96" t="s">
        <v>22</v>
      </c>
      <c r="T5" s="62"/>
      <c r="U5" s="62"/>
    </row>
    <row r="6" spans="2:22" x14ac:dyDescent="0.35">
      <c r="B6" s="78" t="s">
        <v>3</v>
      </c>
      <c r="C6" s="89" t="s">
        <v>1</v>
      </c>
      <c r="D6" s="89" t="s">
        <v>2</v>
      </c>
      <c r="E6" s="89" t="s">
        <v>1</v>
      </c>
      <c r="F6" s="89" t="s">
        <v>2</v>
      </c>
      <c r="G6" s="89"/>
      <c r="H6" s="99"/>
      <c r="I6" s="97"/>
      <c r="J6" s="97"/>
      <c r="K6" s="49"/>
      <c r="L6" s="49"/>
      <c r="M6" s="78" t="s">
        <v>3</v>
      </c>
      <c r="N6" s="89" t="s">
        <v>1</v>
      </c>
      <c r="O6" s="89" t="s">
        <v>2</v>
      </c>
      <c r="P6" s="88" t="s">
        <v>1</v>
      </c>
      <c r="Q6" s="88" t="s">
        <v>2</v>
      </c>
      <c r="R6" s="37"/>
      <c r="S6" s="100"/>
    </row>
    <row r="7" spans="2:22" x14ac:dyDescent="0.35">
      <c r="B7" s="37" t="s">
        <v>4</v>
      </c>
      <c r="C7" s="119">
        <v>20.6967</v>
      </c>
      <c r="D7" s="118">
        <v>3491.435717155613</v>
      </c>
      <c r="E7" s="64">
        <v>18.37</v>
      </c>
      <c r="F7" s="37">
        <v>3615.2639999999997</v>
      </c>
      <c r="G7" s="121">
        <f>(C7-E7)/E7*100</f>
        <v>12.665759390310283</v>
      </c>
      <c r="H7" s="121">
        <f>(D7-F7)/F7*100</f>
        <v>-3.4251518794861635</v>
      </c>
      <c r="I7" s="101"/>
      <c r="J7" s="101"/>
      <c r="K7" s="49"/>
      <c r="L7" s="49"/>
      <c r="M7" s="37" t="s">
        <v>4</v>
      </c>
      <c r="N7" s="119">
        <v>20.6967</v>
      </c>
      <c r="O7" s="118">
        <v>3491.435717155613</v>
      </c>
      <c r="P7" s="88">
        <v>18.472799999999999</v>
      </c>
      <c r="Q7" s="37">
        <v>3619.5815149596997</v>
      </c>
      <c r="R7" s="121">
        <f>(N7-P7)/P7*100</f>
        <v>12.03878134338054</v>
      </c>
      <c r="S7" s="121">
        <f>(O7-Q7)/Q7*100</f>
        <v>-3.5403484428921184</v>
      </c>
      <c r="T7" s="61"/>
      <c r="U7" s="61"/>
      <c r="V7" s="57"/>
    </row>
    <row r="8" spans="2:22" x14ac:dyDescent="0.35">
      <c r="B8" s="37" t="s">
        <v>5</v>
      </c>
      <c r="C8" s="119">
        <v>120.78308888888888</v>
      </c>
      <c r="D8" s="118">
        <v>21761.35190206287</v>
      </c>
      <c r="E8" s="64">
        <v>107.81</v>
      </c>
      <c r="F8" s="37">
        <v>21250.441999999999</v>
      </c>
      <c r="G8" s="121">
        <f t="shared" ref="G8:G13" si="0">(C8-E8)/E8*100</f>
        <v>12.033289016685726</v>
      </c>
      <c r="H8" s="121">
        <f t="shared" ref="H8:H13" si="1">(D8-F8)/F8*100</f>
        <v>2.4042318840373813</v>
      </c>
      <c r="I8" s="101"/>
      <c r="J8" s="101"/>
      <c r="K8" s="49"/>
      <c r="L8" s="49"/>
      <c r="M8" s="37" t="s">
        <v>5</v>
      </c>
      <c r="N8" s="119">
        <v>120.78308888888888</v>
      </c>
      <c r="O8" s="118">
        <v>21761.35190206287</v>
      </c>
      <c r="P8" s="88">
        <v>107.03381999999999</v>
      </c>
      <c r="Q8" s="37">
        <v>20604.428196610395</v>
      </c>
      <c r="R8" s="121">
        <f t="shared" ref="R8:S12" si="2">(N8-P8)/P8*100</f>
        <v>12.845723799158895</v>
      </c>
      <c r="S8" s="121">
        <f t="shared" si="2"/>
        <v>5.6149275020541385</v>
      </c>
      <c r="T8" s="61"/>
      <c r="U8" s="61"/>
      <c r="V8" s="57"/>
    </row>
    <row r="9" spans="2:22" x14ac:dyDescent="0.35">
      <c r="B9" s="37" t="s">
        <v>6</v>
      </c>
      <c r="C9" s="119">
        <v>50.246319999999997</v>
      </c>
      <c r="D9" s="118">
        <v>5765.1858988043796</v>
      </c>
      <c r="E9" s="64">
        <v>33.65</v>
      </c>
      <c r="F9" s="37">
        <v>4041.71</v>
      </c>
      <c r="G9" s="121">
        <f t="shared" si="0"/>
        <v>49.320416047548285</v>
      </c>
      <c r="H9" s="121">
        <f t="shared" si="1"/>
        <v>42.642245455621001</v>
      </c>
      <c r="I9" s="101"/>
      <c r="J9" s="101"/>
      <c r="K9" s="49"/>
      <c r="L9" s="49"/>
      <c r="M9" s="37" t="s">
        <v>6</v>
      </c>
      <c r="N9" s="119">
        <v>50.246319999999997</v>
      </c>
      <c r="O9" s="118">
        <v>5765.1858988043796</v>
      </c>
      <c r="P9" s="88">
        <v>34.489739999999998</v>
      </c>
      <c r="Q9" s="37">
        <v>3990.2423189861411</v>
      </c>
      <c r="R9" s="121">
        <f t="shared" si="2"/>
        <v>45.684832648781928</v>
      </c>
      <c r="S9" s="121">
        <f t="shared" si="2"/>
        <v>44.482100031188686</v>
      </c>
      <c r="T9" s="61"/>
      <c r="U9" s="61"/>
      <c r="V9" s="57"/>
    </row>
    <row r="10" spans="2:22" x14ac:dyDescent="0.35">
      <c r="B10" s="37" t="s">
        <v>7</v>
      </c>
      <c r="C10" s="119">
        <v>77.353440000000006</v>
      </c>
      <c r="D10" s="118">
        <v>14938.516258527654</v>
      </c>
      <c r="E10" s="64">
        <v>62.22</v>
      </c>
      <c r="F10" s="37">
        <v>11969.693999999998</v>
      </c>
      <c r="G10" s="121">
        <f t="shared" si="0"/>
        <v>24.322468659594996</v>
      </c>
      <c r="H10" s="121">
        <f t="shared" si="1"/>
        <v>24.802825022324352</v>
      </c>
      <c r="I10" s="101"/>
      <c r="J10" s="101"/>
      <c r="K10" s="49"/>
      <c r="L10" s="49"/>
      <c r="M10" s="37" t="s">
        <v>7</v>
      </c>
      <c r="N10" s="119">
        <v>77.353440000000006</v>
      </c>
      <c r="O10" s="118">
        <v>14938.516258527654</v>
      </c>
      <c r="P10" s="88">
        <v>61.730339999999998</v>
      </c>
      <c r="Q10" s="37">
        <v>12669.079722274801</v>
      </c>
      <c r="R10" s="121">
        <f t="shared" si="2"/>
        <v>25.308624575856875</v>
      </c>
      <c r="S10" s="121">
        <f t="shared" si="2"/>
        <v>17.913191691916861</v>
      </c>
      <c r="T10" s="61"/>
      <c r="U10" s="61"/>
      <c r="V10" s="57"/>
    </row>
    <row r="11" spans="2:22" x14ac:dyDescent="0.35">
      <c r="B11" s="37" t="s">
        <v>8</v>
      </c>
      <c r="C11" s="119">
        <v>362.18804444444442</v>
      </c>
      <c r="D11" s="118">
        <v>41778.574238548288</v>
      </c>
      <c r="E11" s="64">
        <v>252.92</v>
      </c>
      <c r="F11" s="37">
        <v>30050.094000000001</v>
      </c>
      <c r="G11" s="121">
        <f t="shared" si="0"/>
        <v>43.202611278050149</v>
      </c>
      <c r="H11" s="121">
        <f t="shared" si="1"/>
        <v>39.029762231520095</v>
      </c>
      <c r="I11" s="101"/>
      <c r="J11" s="101"/>
      <c r="K11" s="49"/>
      <c r="L11" s="49"/>
      <c r="M11" s="37" t="s">
        <v>8</v>
      </c>
      <c r="N11" s="119">
        <v>362.18804444444442</v>
      </c>
      <c r="O11" s="118">
        <v>41778.574238548288</v>
      </c>
      <c r="P11" s="88">
        <v>270.35162857142802</v>
      </c>
      <c r="Q11" s="37">
        <v>31015.984910704479</v>
      </c>
      <c r="R11" s="121">
        <f t="shared" si="2"/>
        <v>33.969248255796188</v>
      </c>
      <c r="S11" s="121">
        <f t="shared" si="2"/>
        <v>34.700137231912755</v>
      </c>
      <c r="T11" s="61"/>
      <c r="U11" s="61"/>
      <c r="V11" s="57"/>
    </row>
    <row r="12" spans="2:22" x14ac:dyDescent="0.35">
      <c r="B12" s="37" t="s">
        <v>9</v>
      </c>
      <c r="C12" s="119">
        <v>97.322020000000009</v>
      </c>
      <c r="D12" s="118">
        <v>18666.143787466401</v>
      </c>
      <c r="E12" s="64">
        <v>58.49</v>
      </c>
      <c r="F12" s="37">
        <v>11785.837999999998</v>
      </c>
      <c r="G12" s="121">
        <f t="shared" si="0"/>
        <v>66.390870234228089</v>
      </c>
      <c r="H12" s="121">
        <f t="shared" si="1"/>
        <v>58.377739346717682</v>
      </c>
      <c r="I12" s="101"/>
      <c r="J12" s="101"/>
      <c r="K12" s="49"/>
      <c r="L12" s="49"/>
      <c r="M12" s="37" t="s">
        <v>9</v>
      </c>
      <c r="N12" s="119">
        <v>97.322020000000009</v>
      </c>
      <c r="O12" s="118">
        <v>18666.143787466401</v>
      </c>
      <c r="P12" s="88">
        <v>63.163980000000002</v>
      </c>
      <c r="Q12" s="37">
        <v>12049.322618672619</v>
      </c>
      <c r="R12" s="121">
        <f t="shared" si="2"/>
        <v>54.078352884032967</v>
      </c>
      <c r="S12" s="121">
        <f>(O12-Q12)/Q12*100</f>
        <v>54.914465967902736</v>
      </c>
      <c r="T12" s="61"/>
      <c r="U12" s="61"/>
      <c r="V12" s="57"/>
    </row>
    <row r="13" spans="2:22" x14ac:dyDescent="0.35">
      <c r="B13" s="85" t="s">
        <v>23</v>
      </c>
      <c r="C13" s="120">
        <v>121.43160222222222</v>
      </c>
      <c r="D13" s="120">
        <v>17733.534633760868</v>
      </c>
      <c r="E13" s="24">
        <f t="shared" ref="E13:F13" si="3">AVERAGE(E7:E12)</f>
        <v>88.910000000000011</v>
      </c>
      <c r="F13" s="24">
        <f t="shared" si="3"/>
        <v>13785.507</v>
      </c>
      <c r="G13" s="121">
        <f t="shared" si="0"/>
        <v>36.57811519764055</v>
      </c>
      <c r="H13" s="121">
        <f t="shared" si="1"/>
        <v>28.63897304437819</v>
      </c>
      <c r="I13" s="101"/>
      <c r="J13" s="101"/>
      <c r="K13" s="49"/>
      <c r="L13" s="49"/>
      <c r="M13" s="85" t="s">
        <v>23</v>
      </c>
      <c r="N13" s="120">
        <v>121.43160222222222</v>
      </c>
      <c r="O13" s="120">
        <v>17733.534633760868</v>
      </c>
      <c r="P13" s="24">
        <f t="shared" ref="P13:R13" si="4">AVERAGE(P7:P12)</f>
        <v>92.540384761904662</v>
      </c>
      <c r="Q13" s="24">
        <f t="shared" si="4"/>
        <v>13991.439880368023</v>
      </c>
      <c r="R13" s="126">
        <f t="shared" si="4"/>
        <v>30.654260584501234</v>
      </c>
      <c r="S13" s="123">
        <f>AVERAGE(S7:S12)</f>
        <v>25.680745663680511</v>
      </c>
      <c r="T13" s="63"/>
      <c r="U13" s="63"/>
      <c r="V13" s="57"/>
    </row>
    <row r="14" spans="2:22" x14ac:dyDescent="0.35">
      <c r="B14" s="85" t="s">
        <v>24</v>
      </c>
      <c r="C14" s="24"/>
      <c r="D14" s="24"/>
      <c r="E14" s="102"/>
      <c r="F14" s="85"/>
      <c r="G14" s="122">
        <f>AVERAGE(G7:G13)</f>
        <v>34.930504260579724</v>
      </c>
      <c r="H14" s="122">
        <f>AVERAGE(H7:H13)</f>
        <v>27.495803586444648</v>
      </c>
      <c r="I14" s="101"/>
      <c r="J14" s="101"/>
      <c r="K14" s="49"/>
      <c r="L14" s="49"/>
      <c r="M14" s="85" t="s">
        <v>24</v>
      </c>
      <c r="N14" s="24"/>
      <c r="O14" s="24"/>
      <c r="P14" s="103"/>
      <c r="Q14" s="85"/>
      <c r="R14" s="122">
        <f>(1-P13/N13)*100</f>
        <v>23.792173480051815</v>
      </c>
      <c r="S14" s="122">
        <f>(1-Q13/O13)*100</f>
        <v>21.101798545388096</v>
      </c>
      <c r="V14" s="57"/>
    </row>
    <row r="15" spans="2:22" x14ac:dyDescent="0.35">
      <c r="B15" s="104"/>
      <c r="C15" s="105"/>
      <c r="D15" s="105"/>
      <c r="E15" s="106"/>
      <c r="F15" s="104"/>
      <c r="G15" s="106"/>
      <c r="H15" s="106"/>
      <c r="I15" s="101"/>
      <c r="J15" s="101"/>
      <c r="K15" s="49"/>
      <c r="L15" s="49"/>
      <c r="M15" s="104"/>
      <c r="N15" s="105"/>
      <c r="O15" s="105"/>
      <c r="P15" s="107"/>
      <c r="Q15" s="104"/>
      <c r="R15" s="106"/>
      <c r="S15" s="106"/>
      <c r="V15" s="57"/>
    </row>
    <row r="16" spans="2:22" x14ac:dyDescent="0.35">
      <c r="B16" s="49"/>
      <c r="C16" s="105"/>
      <c r="D16" s="105"/>
      <c r="E16" s="106"/>
      <c r="F16" s="104"/>
      <c r="G16" s="106"/>
      <c r="H16" s="106"/>
      <c r="I16" s="101"/>
      <c r="J16" s="101"/>
      <c r="K16" s="49"/>
      <c r="L16" s="49"/>
      <c r="M16" s="104"/>
      <c r="N16" s="105"/>
      <c r="O16" s="105"/>
      <c r="P16" s="107"/>
      <c r="Q16" s="104"/>
      <c r="R16" s="106"/>
      <c r="S16" s="106"/>
      <c r="V16" s="57"/>
    </row>
    <row r="17" spans="2:22" x14ac:dyDescent="0.35">
      <c r="B17" s="84" t="s">
        <v>101</v>
      </c>
      <c r="C17" s="84"/>
      <c r="D17" s="84"/>
      <c r="E17" s="84"/>
      <c r="F17" s="84"/>
      <c r="G17" s="84"/>
      <c r="H17" s="84"/>
      <c r="I17" s="101"/>
      <c r="J17" s="101"/>
      <c r="K17" s="49"/>
      <c r="L17" s="49"/>
      <c r="M17" s="84" t="s">
        <v>67</v>
      </c>
      <c r="N17" s="84"/>
      <c r="O17" s="84"/>
      <c r="P17" s="84"/>
      <c r="Q17" s="84"/>
      <c r="R17" s="84"/>
      <c r="S17" s="84"/>
      <c r="V17" s="57"/>
    </row>
    <row r="18" spans="2:22" x14ac:dyDescent="0.35">
      <c r="B18" s="49" t="s">
        <v>20</v>
      </c>
      <c r="C18" s="49"/>
      <c r="D18" s="49"/>
      <c r="E18" s="49"/>
      <c r="F18" s="49"/>
      <c r="G18" s="90" t="s">
        <v>45</v>
      </c>
      <c r="H18" s="90" t="s">
        <v>48</v>
      </c>
      <c r="I18" s="101"/>
      <c r="J18" s="101"/>
      <c r="K18" s="49"/>
      <c r="L18" s="49"/>
      <c r="M18" s="49" t="s">
        <v>19</v>
      </c>
      <c r="N18" s="49"/>
      <c r="O18" s="49"/>
      <c r="P18" s="49"/>
      <c r="Q18" s="49"/>
      <c r="R18" s="90" t="s">
        <v>45</v>
      </c>
      <c r="S18" s="90" t="s">
        <v>48</v>
      </c>
      <c r="V18" s="57"/>
    </row>
    <row r="19" spans="2:22" x14ac:dyDescent="0.35">
      <c r="B19" s="37"/>
      <c r="C19" s="91" t="s">
        <v>11</v>
      </c>
      <c r="D19" s="98" t="s">
        <v>15</v>
      </c>
      <c r="E19" s="93" t="s">
        <v>10</v>
      </c>
      <c r="F19" s="94" t="s">
        <v>16</v>
      </c>
      <c r="G19" s="95" t="s">
        <v>21</v>
      </c>
      <c r="H19" s="96" t="s">
        <v>22</v>
      </c>
      <c r="I19" s="101"/>
      <c r="J19" s="101"/>
      <c r="K19" s="49"/>
      <c r="L19" s="49"/>
      <c r="M19" s="37"/>
      <c r="N19" s="93" t="s">
        <v>12</v>
      </c>
      <c r="O19" s="94" t="s">
        <v>14</v>
      </c>
      <c r="P19" s="93" t="s">
        <v>10</v>
      </c>
      <c r="Q19" s="94" t="s">
        <v>16</v>
      </c>
      <c r="R19" s="95" t="s">
        <v>21</v>
      </c>
      <c r="S19" s="96" t="s">
        <v>22</v>
      </c>
      <c r="T19" s="62"/>
      <c r="U19" s="62"/>
      <c r="V19" s="57"/>
    </row>
    <row r="20" spans="2:22" x14ac:dyDescent="0.35">
      <c r="B20" s="78" t="s">
        <v>3</v>
      </c>
      <c r="C20" s="88" t="s">
        <v>1</v>
      </c>
      <c r="D20" s="88" t="s">
        <v>2</v>
      </c>
      <c r="E20" s="89" t="s">
        <v>1</v>
      </c>
      <c r="F20" s="89" t="s">
        <v>2</v>
      </c>
      <c r="G20" s="64"/>
      <c r="H20" s="108"/>
      <c r="I20" s="101"/>
      <c r="J20" s="101"/>
      <c r="K20" s="49"/>
      <c r="L20" s="49"/>
      <c r="M20" s="78" t="s">
        <v>3</v>
      </c>
      <c r="N20" s="89" t="s">
        <v>1</v>
      </c>
      <c r="O20" s="89" t="s">
        <v>2</v>
      </c>
      <c r="P20" s="89" t="s">
        <v>1</v>
      </c>
      <c r="Q20" s="89" t="s">
        <v>2</v>
      </c>
      <c r="R20" s="64"/>
      <c r="S20" s="108"/>
      <c r="V20" s="57"/>
    </row>
    <row r="21" spans="2:22" x14ac:dyDescent="0.35">
      <c r="B21" s="37" t="s">
        <v>4</v>
      </c>
      <c r="C21" s="88">
        <v>18.472799999999999</v>
      </c>
      <c r="D21" s="37">
        <v>3619.5815149596997</v>
      </c>
      <c r="E21" s="89">
        <v>18.270839999999982</v>
      </c>
      <c r="F21" s="37">
        <v>2996.7622498711817</v>
      </c>
      <c r="G21" s="64">
        <f>(C21-E21)/E21*100</f>
        <v>1.1053678976993815</v>
      </c>
      <c r="H21" s="64">
        <f>(D21-F21)/F21*100</f>
        <v>20.783072301290851</v>
      </c>
      <c r="I21" s="101"/>
      <c r="J21" s="101"/>
      <c r="K21" s="49"/>
      <c r="L21" s="49"/>
      <c r="M21" s="37" t="s">
        <v>4</v>
      </c>
      <c r="N21" s="64">
        <v>18.37</v>
      </c>
      <c r="O21" s="37">
        <v>3615.2639999999997</v>
      </c>
      <c r="P21" s="89">
        <v>18.270839999999982</v>
      </c>
      <c r="Q21" s="37">
        <v>2996.7622498711817</v>
      </c>
      <c r="R21" s="64">
        <f>(N21-P21)/P21*100</f>
        <v>0.54272272101347885</v>
      </c>
      <c r="S21" s="64">
        <f>(O21-Q21)/Q21*100</f>
        <v>20.638999645547617</v>
      </c>
      <c r="T21" s="61"/>
      <c r="U21" s="61"/>
      <c r="V21" s="57"/>
    </row>
    <row r="22" spans="2:22" x14ac:dyDescent="0.35">
      <c r="B22" s="37" t="s">
        <v>5</v>
      </c>
      <c r="C22" s="88">
        <v>107.03381999999999</v>
      </c>
      <c r="D22" s="37">
        <v>20604.428196610395</v>
      </c>
      <c r="E22" s="89">
        <v>106.6821199999998</v>
      </c>
      <c r="F22" s="37">
        <v>17454.743568301219</v>
      </c>
      <c r="G22" s="64">
        <f t="shared" ref="G22:H26" si="5">(C22-E22)/E22*100</f>
        <v>0.32967098891566227</v>
      </c>
      <c r="H22" s="64">
        <f t="shared" si="5"/>
        <v>18.044863368999462</v>
      </c>
      <c r="I22" s="101"/>
      <c r="J22" s="101"/>
      <c r="K22" s="49"/>
      <c r="L22" s="49"/>
      <c r="M22" s="37" t="s">
        <v>5</v>
      </c>
      <c r="N22" s="64">
        <v>107.81</v>
      </c>
      <c r="O22" s="37">
        <v>21250.441999999999</v>
      </c>
      <c r="P22" s="89">
        <v>106.6821199999998</v>
      </c>
      <c r="Q22" s="37">
        <v>17454.743568301219</v>
      </c>
      <c r="R22" s="64">
        <f t="shared" ref="R22:R26" si="6">(N22-P22)/P22*100</f>
        <v>1.057234333176174</v>
      </c>
      <c r="S22" s="64">
        <f t="shared" ref="S22:S26" si="7">(O22-Q22)/Q22*100</f>
        <v>21.745942109352889</v>
      </c>
      <c r="T22" s="61"/>
      <c r="U22" s="61"/>
      <c r="V22" s="57"/>
    </row>
    <row r="23" spans="2:22" x14ac:dyDescent="0.35">
      <c r="B23" s="37" t="s">
        <v>6</v>
      </c>
      <c r="C23" s="88">
        <v>34.489739999999998</v>
      </c>
      <c r="D23" s="37">
        <v>3990.2423189861411</v>
      </c>
      <c r="E23" s="89">
        <v>34.59892</v>
      </c>
      <c r="F23" s="37">
        <v>3207.9390264946596</v>
      </c>
      <c r="G23" s="64">
        <f t="shared" si="5"/>
        <v>-0.31555898276594202</v>
      </c>
      <c r="H23" s="64">
        <f t="shared" si="5"/>
        <v>24.386476364742833</v>
      </c>
      <c r="I23" s="101"/>
      <c r="J23" s="101"/>
      <c r="K23" s="49"/>
      <c r="L23" s="49"/>
      <c r="M23" s="37" t="s">
        <v>6</v>
      </c>
      <c r="N23" s="64">
        <v>33.65</v>
      </c>
      <c r="O23" s="37">
        <v>4041.71</v>
      </c>
      <c r="P23" s="89">
        <v>34.59892</v>
      </c>
      <c r="Q23" s="37">
        <v>3207.9390264946596</v>
      </c>
      <c r="R23" s="64">
        <f t="shared" si="6"/>
        <v>-2.7426289606727638</v>
      </c>
      <c r="S23" s="64">
        <f t="shared" si="7"/>
        <v>25.990861005123545</v>
      </c>
      <c r="T23" s="61"/>
      <c r="U23" s="61"/>
      <c r="V23" s="57"/>
    </row>
    <row r="24" spans="2:22" x14ac:dyDescent="0.35">
      <c r="B24" s="37" t="s">
        <v>7</v>
      </c>
      <c r="C24" s="88">
        <v>61.730339999999998</v>
      </c>
      <c r="D24" s="37">
        <v>12669.079722274801</v>
      </c>
      <c r="E24" s="89">
        <v>61.239819999999995</v>
      </c>
      <c r="F24" s="37">
        <v>10844.82333310088</v>
      </c>
      <c r="G24" s="64">
        <f t="shared" si="5"/>
        <v>0.80098210608718912</v>
      </c>
      <c r="H24" s="64">
        <f t="shared" si="5"/>
        <v>16.821448659342135</v>
      </c>
      <c r="I24" s="101"/>
      <c r="J24" s="101"/>
      <c r="K24" s="49"/>
      <c r="L24" s="49"/>
      <c r="M24" s="37" t="s">
        <v>7</v>
      </c>
      <c r="N24" s="64">
        <v>62.22</v>
      </c>
      <c r="O24" s="37">
        <v>11969.693999999998</v>
      </c>
      <c r="P24" s="89">
        <v>61.239819999999995</v>
      </c>
      <c r="Q24" s="37">
        <v>10844.82333310088</v>
      </c>
      <c r="R24" s="64">
        <f t="shared" si="6"/>
        <v>1.6005598971388295</v>
      </c>
      <c r="S24" s="64">
        <f t="shared" si="7"/>
        <v>10.372420392186156</v>
      </c>
      <c r="T24" s="61"/>
      <c r="U24" s="61"/>
      <c r="V24" s="57"/>
    </row>
    <row r="25" spans="2:22" x14ac:dyDescent="0.35">
      <c r="B25" s="37" t="s">
        <v>8</v>
      </c>
      <c r="C25" s="88">
        <v>270.35162857142802</v>
      </c>
      <c r="D25" s="37">
        <v>31015.984910704479</v>
      </c>
      <c r="E25" s="89">
        <v>268.38490000000002</v>
      </c>
      <c r="F25" s="37">
        <v>27194.760986947396</v>
      </c>
      <c r="G25" s="64">
        <f t="shared" si="5"/>
        <v>0.73280149942415052</v>
      </c>
      <c r="H25" s="64">
        <f t="shared" si="5"/>
        <v>14.051323803107321</v>
      </c>
      <c r="I25" s="101"/>
      <c r="J25" s="101"/>
      <c r="K25" s="49"/>
      <c r="L25" s="49"/>
      <c r="M25" s="37" t="s">
        <v>8</v>
      </c>
      <c r="N25" s="64">
        <v>252.92</v>
      </c>
      <c r="O25" s="37">
        <v>30050.094000000001</v>
      </c>
      <c r="P25" s="89">
        <v>268.38490000000002</v>
      </c>
      <c r="Q25" s="37">
        <v>27194.760986947396</v>
      </c>
      <c r="R25" s="64">
        <f t="shared" si="6"/>
        <v>-5.7622094238535881</v>
      </c>
      <c r="S25" s="64">
        <f t="shared" si="7"/>
        <v>10.49957017244267</v>
      </c>
      <c r="T25" s="61"/>
      <c r="U25" s="61"/>
      <c r="V25" s="57"/>
    </row>
    <row r="26" spans="2:22" x14ac:dyDescent="0.35">
      <c r="B26" s="37" t="s">
        <v>9</v>
      </c>
      <c r="C26" s="88">
        <v>63.163980000000002</v>
      </c>
      <c r="D26" s="37">
        <v>12049.322618672619</v>
      </c>
      <c r="E26" s="89">
        <v>63.298780000000001</v>
      </c>
      <c r="F26" s="37">
        <v>12019.293919226619</v>
      </c>
      <c r="G26" s="64">
        <f t="shared" si="5"/>
        <v>-0.21295829082329626</v>
      </c>
      <c r="H26" s="64">
        <f t="shared" si="5"/>
        <v>0.24983746672477117</v>
      </c>
      <c r="I26" s="101"/>
      <c r="J26" s="101"/>
      <c r="K26" s="49"/>
      <c r="L26" s="49"/>
      <c r="M26" s="37" t="s">
        <v>9</v>
      </c>
      <c r="N26" s="64">
        <v>58.49</v>
      </c>
      <c r="O26" s="37">
        <v>11785.837999999998</v>
      </c>
      <c r="P26" s="89">
        <v>63.298780000000001</v>
      </c>
      <c r="Q26" s="37">
        <v>12019.293919226619</v>
      </c>
      <c r="R26" s="64">
        <f t="shared" si="6"/>
        <v>-7.5969552651725651</v>
      </c>
      <c r="S26" s="64">
        <f t="shared" si="7"/>
        <v>-1.94234304274042</v>
      </c>
      <c r="T26" s="61"/>
      <c r="U26" s="61"/>
      <c r="V26" s="57"/>
    </row>
    <row r="27" spans="2:22" x14ac:dyDescent="0.35">
      <c r="B27" s="85" t="s">
        <v>23</v>
      </c>
      <c r="C27" s="24">
        <f>AVERAGE(C21:C26)</f>
        <v>92.540384761904662</v>
      </c>
      <c r="D27" s="24">
        <f t="shared" ref="D27:H27" si="8">AVERAGE(D21:D26)</f>
        <v>13991.439880368023</v>
      </c>
      <c r="E27" s="24">
        <f t="shared" si="8"/>
        <v>92.079229999999953</v>
      </c>
      <c r="F27" s="24">
        <f t="shared" si="8"/>
        <v>12286.387180656993</v>
      </c>
      <c r="G27" s="65">
        <f t="shared" si="8"/>
        <v>0.40671753642285752</v>
      </c>
      <c r="H27" s="66">
        <f t="shared" si="8"/>
        <v>15.722836994034564</v>
      </c>
      <c r="I27" s="101"/>
      <c r="J27" s="101"/>
      <c r="K27" s="49"/>
      <c r="L27" s="49"/>
      <c r="M27" s="85" t="s">
        <v>23</v>
      </c>
      <c r="N27" s="24">
        <f>AVERAGE(N21:N26)</f>
        <v>88.910000000000011</v>
      </c>
      <c r="O27" s="24">
        <f t="shared" ref="O27:S27" si="9">AVERAGE(O21:O26)</f>
        <v>13785.507</v>
      </c>
      <c r="P27" s="24">
        <f t="shared" si="9"/>
        <v>92.079229999999953</v>
      </c>
      <c r="Q27" s="24">
        <f t="shared" si="9"/>
        <v>12286.387180656993</v>
      </c>
      <c r="R27" s="65">
        <f t="shared" si="9"/>
        <v>-2.1502127830617392</v>
      </c>
      <c r="S27" s="66">
        <f t="shared" si="9"/>
        <v>14.550908380318745</v>
      </c>
      <c r="T27" s="63"/>
      <c r="U27" s="63"/>
      <c r="V27" s="57"/>
    </row>
    <row r="28" spans="2:22" x14ac:dyDescent="0.35">
      <c r="B28" s="85" t="s">
        <v>24</v>
      </c>
      <c r="C28" s="103"/>
      <c r="D28" s="103"/>
      <c r="E28" s="109"/>
      <c r="F28" s="109"/>
      <c r="G28" s="102">
        <f>(1-E27/C27)*100</f>
        <v>0.49832812246373148</v>
      </c>
      <c r="H28" s="110">
        <f>(1-F27/D27)*100</f>
        <v>12.186399071788612</v>
      </c>
      <c r="I28" s="101"/>
      <c r="J28" s="101"/>
      <c r="K28" s="49"/>
      <c r="L28" s="49"/>
      <c r="M28" s="85" t="s">
        <v>24</v>
      </c>
      <c r="N28" s="85"/>
      <c r="O28" s="85"/>
      <c r="P28" s="85"/>
      <c r="Q28" s="85"/>
      <c r="R28" s="102">
        <f>(1-P27/N27)*100</f>
        <v>-3.5645371724214892</v>
      </c>
      <c r="S28" s="110">
        <f>(1-Q27/O27)*100</f>
        <v>10.874607798922497</v>
      </c>
      <c r="T28" s="61"/>
      <c r="U28" s="61"/>
      <c r="V28" s="57"/>
    </row>
    <row r="29" spans="2:22" x14ac:dyDescent="0.35">
      <c r="B29" s="49"/>
      <c r="C29" s="49"/>
      <c r="D29" s="49"/>
      <c r="E29" s="49"/>
      <c r="F29" s="49"/>
      <c r="G29" s="49"/>
      <c r="H29" s="49"/>
      <c r="I29" s="101"/>
      <c r="J29" s="101"/>
      <c r="K29" s="49"/>
      <c r="L29" s="49"/>
      <c r="M29" s="49"/>
      <c r="N29" s="49"/>
      <c r="O29" s="49"/>
      <c r="P29" s="49"/>
      <c r="Q29" s="49"/>
      <c r="R29" s="49"/>
      <c r="S29" s="49"/>
      <c r="V29" s="57"/>
    </row>
    <row r="30" spans="2:22" x14ac:dyDescent="0.35">
      <c r="B30" s="49"/>
      <c r="C30" s="49"/>
      <c r="D30" s="49"/>
      <c r="E30" s="49"/>
      <c r="F30" s="49"/>
      <c r="G30" s="49"/>
      <c r="H30" s="49"/>
      <c r="I30" s="101"/>
      <c r="J30" s="101"/>
      <c r="K30" s="49"/>
      <c r="L30" s="49"/>
      <c r="M30" s="49"/>
      <c r="N30" s="49"/>
      <c r="O30" s="49"/>
      <c r="P30" s="49"/>
      <c r="Q30" s="49"/>
      <c r="R30" s="49"/>
      <c r="S30" s="49"/>
      <c r="V30" s="57"/>
    </row>
    <row r="31" spans="2:22" x14ac:dyDescent="0.35">
      <c r="B31" s="84" t="s">
        <v>69</v>
      </c>
      <c r="C31" s="84"/>
      <c r="D31" s="84"/>
      <c r="E31" s="84"/>
      <c r="F31" s="84"/>
      <c r="G31" s="84"/>
      <c r="H31" s="84"/>
      <c r="I31" s="101"/>
      <c r="J31" s="101"/>
      <c r="K31" s="49"/>
      <c r="L31" s="49"/>
      <c r="M31" s="84" t="s">
        <v>70</v>
      </c>
      <c r="N31" s="84"/>
      <c r="O31" s="84"/>
      <c r="P31" s="84"/>
      <c r="Q31" s="84"/>
      <c r="R31" s="84"/>
      <c r="S31" s="84"/>
      <c r="V31" s="57"/>
    </row>
    <row r="32" spans="2:22" x14ac:dyDescent="0.35">
      <c r="B32" s="49" t="s">
        <v>25</v>
      </c>
      <c r="C32" s="49"/>
      <c r="D32" s="49"/>
      <c r="E32" s="49"/>
      <c r="F32" s="49"/>
      <c r="G32" s="90" t="s">
        <v>45</v>
      </c>
      <c r="H32" s="90" t="s">
        <v>48</v>
      </c>
      <c r="I32" s="101"/>
      <c r="J32" s="101"/>
      <c r="K32" s="49"/>
      <c r="L32" s="49"/>
      <c r="M32" s="49" t="s">
        <v>26</v>
      </c>
      <c r="N32" s="49"/>
      <c r="O32" s="49"/>
      <c r="P32" s="49"/>
      <c r="Q32" s="49"/>
      <c r="R32" s="90" t="s">
        <v>45</v>
      </c>
      <c r="S32" s="90" t="s">
        <v>47</v>
      </c>
      <c r="V32" s="57"/>
    </row>
    <row r="33" spans="2:23" x14ac:dyDescent="0.35">
      <c r="B33" s="37"/>
      <c r="C33" s="91" t="s">
        <v>0</v>
      </c>
      <c r="D33" s="92" t="s">
        <v>13</v>
      </c>
      <c r="E33" s="93" t="s">
        <v>10</v>
      </c>
      <c r="F33" s="94" t="s">
        <v>16</v>
      </c>
      <c r="G33" s="95" t="s">
        <v>21</v>
      </c>
      <c r="H33" s="96" t="s">
        <v>22</v>
      </c>
      <c r="I33" s="101"/>
      <c r="J33" s="101"/>
      <c r="K33" s="49"/>
      <c r="L33" s="49"/>
      <c r="M33" s="37"/>
      <c r="N33" s="93" t="s">
        <v>12</v>
      </c>
      <c r="O33" s="94" t="s">
        <v>14</v>
      </c>
      <c r="P33" s="91" t="s">
        <v>11</v>
      </c>
      <c r="Q33" s="98" t="s">
        <v>15</v>
      </c>
      <c r="R33" s="95" t="s">
        <v>21</v>
      </c>
      <c r="S33" s="96" t="s">
        <v>22</v>
      </c>
      <c r="T33" s="62"/>
      <c r="U33" s="62"/>
      <c r="V33" s="57"/>
    </row>
    <row r="34" spans="2:23" x14ac:dyDescent="0.35">
      <c r="B34" s="78" t="s">
        <v>3</v>
      </c>
      <c r="C34" s="89" t="s">
        <v>1</v>
      </c>
      <c r="D34" s="89" t="s">
        <v>2</v>
      </c>
      <c r="E34" s="89" t="s">
        <v>1</v>
      </c>
      <c r="F34" s="89" t="s">
        <v>2</v>
      </c>
      <c r="G34" s="49"/>
      <c r="H34" s="49"/>
      <c r="I34" s="101"/>
      <c r="J34" s="101"/>
      <c r="K34" s="49"/>
      <c r="L34" s="49"/>
      <c r="M34" s="78" t="s">
        <v>3</v>
      </c>
      <c r="N34" s="89" t="s">
        <v>1</v>
      </c>
      <c r="O34" s="89" t="s">
        <v>2</v>
      </c>
      <c r="P34" s="88" t="s">
        <v>1</v>
      </c>
      <c r="Q34" s="88" t="s">
        <v>2</v>
      </c>
      <c r="R34" s="49"/>
      <c r="S34" s="49"/>
      <c r="V34" s="57"/>
    </row>
    <row r="35" spans="2:23" x14ac:dyDescent="0.35">
      <c r="B35" s="37" t="s">
        <v>4</v>
      </c>
      <c r="C35" s="119">
        <v>20.6967</v>
      </c>
      <c r="D35" s="118">
        <v>3491.435717155613</v>
      </c>
      <c r="E35" s="124">
        <v>18.270839999999982</v>
      </c>
      <c r="F35" s="37">
        <v>2996.7622498711817</v>
      </c>
      <c r="G35" s="121">
        <f>(C35-E35)/E35*100</f>
        <v>13.277222065323874</v>
      </c>
      <c r="H35" s="121">
        <f>(D35-F35)/F35*100</f>
        <v>16.506930681794838</v>
      </c>
      <c r="I35" s="101"/>
      <c r="J35" s="101"/>
      <c r="K35" s="49"/>
      <c r="L35" s="49"/>
      <c r="M35" s="37" t="s">
        <v>4</v>
      </c>
      <c r="N35" s="64">
        <v>18.37</v>
      </c>
      <c r="O35" s="37">
        <v>3615.2639999999997</v>
      </c>
      <c r="P35" s="88">
        <v>18.472799999999999</v>
      </c>
      <c r="Q35" s="37">
        <v>3619.5815149596997</v>
      </c>
      <c r="R35" s="64">
        <f>(P35-N35)/N35*100</f>
        <v>0.55960805661403623</v>
      </c>
      <c r="S35" s="64">
        <f>(Q35-O35)/O35*100</f>
        <v>0.11942461075318483</v>
      </c>
      <c r="T35" s="61"/>
      <c r="U35" s="61"/>
      <c r="V35" s="57"/>
      <c r="W35" s="57"/>
    </row>
    <row r="36" spans="2:23" x14ac:dyDescent="0.35">
      <c r="B36" s="37" t="s">
        <v>5</v>
      </c>
      <c r="C36" s="119">
        <v>120.78308888888888</v>
      </c>
      <c r="D36" s="118">
        <v>21761.35190206287</v>
      </c>
      <c r="E36" s="124">
        <v>106.6821199999998</v>
      </c>
      <c r="F36" s="37">
        <v>17454.743568301219</v>
      </c>
      <c r="G36" s="121">
        <f t="shared" ref="G36:H40" si="10">(C36-E36)/E36*100</f>
        <v>13.217743412756619</v>
      </c>
      <c r="H36" s="121">
        <f t="shared" si="10"/>
        <v>24.672996867067646</v>
      </c>
      <c r="I36" s="101"/>
      <c r="J36" s="101"/>
      <c r="K36" s="49"/>
      <c r="L36" s="49"/>
      <c r="M36" s="37" t="s">
        <v>5</v>
      </c>
      <c r="N36" s="64">
        <v>107.81</v>
      </c>
      <c r="O36" s="37">
        <v>21250.441999999999</v>
      </c>
      <c r="P36" s="88">
        <v>107.03381999999999</v>
      </c>
      <c r="Q36" s="37">
        <v>20604.428196610395</v>
      </c>
      <c r="R36" s="64">
        <f t="shared" ref="R36:R40" si="11">(P36-N36)/N36*100</f>
        <v>-0.71995176699750552</v>
      </c>
      <c r="S36" s="64">
        <f t="shared" ref="S36:S40" si="12">(Q36-O36)/O36*100</f>
        <v>-3.0400017250916651</v>
      </c>
      <c r="T36" s="61"/>
      <c r="U36" s="61"/>
      <c r="V36" s="57"/>
      <c r="W36" s="57"/>
    </row>
    <row r="37" spans="2:23" x14ac:dyDescent="0.35">
      <c r="B37" s="37" t="s">
        <v>6</v>
      </c>
      <c r="C37" s="119">
        <v>50.246319999999997</v>
      </c>
      <c r="D37" s="118">
        <v>5765.1858988043796</v>
      </c>
      <c r="E37" s="124">
        <v>34.59892</v>
      </c>
      <c r="F37" s="37">
        <v>3207.9390264946601</v>
      </c>
      <c r="G37" s="121">
        <f>(C37-E37)/E37*100</f>
        <v>45.225111072831169</v>
      </c>
      <c r="H37" s="121">
        <f>(D37-F37)/F37*100</f>
        <v>79.716193206578595</v>
      </c>
      <c r="I37" s="101"/>
      <c r="J37" s="101"/>
      <c r="K37" s="49"/>
      <c r="L37" s="49"/>
      <c r="M37" s="37" t="s">
        <v>6</v>
      </c>
      <c r="N37" s="64">
        <v>33.65</v>
      </c>
      <c r="O37" s="37">
        <v>4041.71</v>
      </c>
      <c r="P37" s="88">
        <v>34.489739999999998</v>
      </c>
      <c r="Q37" s="37">
        <v>3990.2423189861411</v>
      </c>
      <c r="R37" s="64">
        <f t="shared" si="11"/>
        <v>2.495512630014856</v>
      </c>
      <c r="S37" s="64">
        <f t="shared" si="12"/>
        <v>-1.2734135060125285</v>
      </c>
      <c r="T37" s="61"/>
      <c r="U37" s="61"/>
      <c r="V37" s="57"/>
      <c r="W37" s="57"/>
    </row>
    <row r="38" spans="2:23" x14ac:dyDescent="0.35">
      <c r="B38" s="37" t="s">
        <v>7</v>
      </c>
      <c r="C38" s="119">
        <v>77.353440000000006</v>
      </c>
      <c r="D38" s="118">
        <v>14938.516258527654</v>
      </c>
      <c r="E38" s="124">
        <v>61.239819999999995</v>
      </c>
      <c r="F38" s="37">
        <v>10844.82333310088</v>
      </c>
      <c r="G38" s="121">
        <f t="shared" si="10"/>
        <v>26.312324236093467</v>
      </c>
      <c r="H38" s="121">
        <f t="shared" si="10"/>
        <v>37.747898694964334</v>
      </c>
      <c r="I38" s="101"/>
      <c r="J38" s="101"/>
      <c r="K38" s="49"/>
      <c r="L38" s="49"/>
      <c r="M38" s="37" t="s">
        <v>7</v>
      </c>
      <c r="N38" s="64">
        <v>62.22</v>
      </c>
      <c r="O38" s="37">
        <v>11969.693999999998</v>
      </c>
      <c r="P38" s="88">
        <v>61.730339999999998</v>
      </c>
      <c r="Q38" s="37">
        <v>12669.079722274801</v>
      </c>
      <c r="R38" s="64">
        <f t="shared" si="11"/>
        <v>-0.78698167791706952</v>
      </c>
      <c r="S38" s="64">
        <f t="shared" si="12"/>
        <v>5.842970774982243</v>
      </c>
      <c r="T38" s="61"/>
      <c r="U38" s="61"/>
      <c r="V38" s="57"/>
      <c r="W38" s="57"/>
    </row>
    <row r="39" spans="2:23" x14ac:dyDescent="0.35">
      <c r="B39" s="37" t="s">
        <v>8</v>
      </c>
      <c r="C39" s="119">
        <v>362.18804444444442</v>
      </c>
      <c r="D39" s="118">
        <v>41778.574238548288</v>
      </c>
      <c r="E39" s="124">
        <v>268.38490000000002</v>
      </c>
      <c r="F39" s="37">
        <v>27194.760986947396</v>
      </c>
      <c r="G39" s="121">
        <f t="shared" si="10"/>
        <v>34.950976915781922</v>
      </c>
      <c r="H39" s="121">
        <f t="shared" si="10"/>
        <v>53.627289677598746</v>
      </c>
      <c r="I39" s="101"/>
      <c r="J39" s="101"/>
      <c r="K39" s="49"/>
      <c r="L39" s="49"/>
      <c r="M39" s="37" t="s">
        <v>8</v>
      </c>
      <c r="N39" s="64">
        <v>252.92</v>
      </c>
      <c r="O39" s="37">
        <v>30050.094000000001</v>
      </c>
      <c r="P39" s="88">
        <v>270.35162857142802</v>
      </c>
      <c r="Q39" s="37">
        <v>31015.984910704479</v>
      </c>
      <c r="R39" s="64">
        <f t="shared" si="11"/>
        <v>6.892151103680229</v>
      </c>
      <c r="S39" s="64">
        <f t="shared" si="12"/>
        <v>3.2142691823342657</v>
      </c>
      <c r="T39" s="61"/>
      <c r="U39" s="61"/>
      <c r="V39" s="57"/>
      <c r="W39" s="57"/>
    </row>
    <row r="40" spans="2:23" x14ac:dyDescent="0.35">
      <c r="B40" s="37" t="s">
        <v>9</v>
      </c>
      <c r="C40" s="119">
        <v>97.322020000000009</v>
      </c>
      <c r="D40" s="118">
        <v>18666.143787466401</v>
      </c>
      <c r="E40" s="124">
        <v>63.298780000000001</v>
      </c>
      <c r="F40" s="37">
        <v>12019.293919226619</v>
      </c>
      <c r="G40" s="121">
        <f>(C40-E40)/E40*100</f>
        <v>53.750230257202446</v>
      </c>
      <c r="H40" s="121">
        <f t="shared" si="10"/>
        <v>55.301500345267151</v>
      </c>
      <c r="I40" s="101"/>
      <c r="J40" s="101"/>
      <c r="K40" s="49"/>
      <c r="L40" s="49"/>
      <c r="M40" s="37" t="s">
        <v>9</v>
      </c>
      <c r="N40" s="64">
        <v>58.49</v>
      </c>
      <c r="O40" s="37">
        <v>11785.837999999998</v>
      </c>
      <c r="P40" s="88">
        <v>63.163980000000002</v>
      </c>
      <c r="Q40" s="37">
        <v>12049.322618672619</v>
      </c>
      <c r="R40" s="64">
        <f t="shared" si="11"/>
        <v>7.9910753975038471</v>
      </c>
      <c r="S40" s="64">
        <f t="shared" si="12"/>
        <v>2.2356036004620199</v>
      </c>
      <c r="T40" s="61"/>
      <c r="U40" s="61"/>
      <c r="V40" s="57"/>
      <c r="W40" s="57"/>
    </row>
    <row r="41" spans="2:23" x14ac:dyDescent="0.35">
      <c r="B41" s="85" t="s">
        <v>23</v>
      </c>
      <c r="C41" s="120">
        <v>121.43160222222222</v>
      </c>
      <c r="D41" s="120">
        <v>17733.534633760868</v>
      </c>
      <c r="E41" s="125">
        <f t="shared" ref="E41:H41" si="13">AVERAGE(E35:E40)</f>
        <v>92.079229999999953</v>
      </c>
      <c r="F41" s="24">
        <f t="shared" si="13"/>
        <v>12286.387180656993</v>
      </c>
      <c r="G41" s="123">
        <f>AVERAGE(G35:G40)</f>
        <v>31.122267993331587</v>
      </c>
      <c r="H41" s="123">
        <f t="shared" si="13"/>
        <v>44.59546824554522</v>
      </c>
      <c r="I41" s="111"/>
      <c r="J41" s="111"/>
      <c r="K41" s="49"/>
      <c r="L41" s="49"/>
      <c r="M41" s="85" t="s">
        <v>23</v>
      </c>
      <c r="N41" s="24">
        <f>AVERAGE(N35:N40)</f>
        <v>88.910000000000011</v>
      </c>
      <c r="O41" s="24">
        <f t="shared" ref="O41" si="14">AVERAGE(O35:O40)</f>
        <v>13785.507</v>
      </c>
      <c r="P41" s="24">
        <f>AVERAGE(P35:P40)</f>
        <v>92.540384761904662</v>
      </c>
      <c r="Q41" s="24">
        <f t="shared" ref="Q41" si="15">AVERAGE(Q35:Q40)</f>
        <v>13991.439880368023</v>
      </c>
      <c r="R41" s="65">
        <f>AVERAGE(R35:R40)</f>
        <v>2.7385689571497323</v>
      </c>
      <c r="S41" s="66">
        <f t="shared" ref="S41" si="16">AVERAGE(S35:S40)</f>
        <v>1.1831421562379199</v>
      </c>
      <c r="T41" s="63"/>
      <c r="U41" s="63"/>
      <c r="V41" s="57"/>
      <c r="W41" s="57"/>
    </row>
    <row r="42" spans="2:23" x14ac:dyDescent="0.35">
      <c r="B42" s="85" t="s">
        <v>24</v>
      </c>
      <c r="C42" s="24"/>
      <c r="D42" s="24"/>
      <c r="E42" s="49"/>
      <c r="F42" s="49"/>
      <c r="G42" s="122">
        <f>(1-E41/C41)*100</f>
        <v>24.171938511119084</v>
      </c>
      <c r="H42" s="122">
        <f>(1-F41/D41)*100</f>
        <v>30.716648235110821</v>
      </c>
      <c r="I42" s="101"/>
      <c r="J42" s="101"/>
      <c r="K42" s="49"/>
      <c r="L42" s="49"/>
      <c r="M42" s="85" t="s">
        <v>24</v>
      </c>
      <c r="N42" s="85"/>
      <c r="O42" s="85"/>
      <c r="P42" s="103"/>
      <c r="Q42" s="103"/>
      <c r="R42" s="102">
        <f>(1-P41/N41)*100</f>
        <v>-4.0832130940329003</v>
      </c>
      <c r="S42" s="110">
        <f>(1-Q41/O41)*100</f>
        <v>-1.4938361016974211</v>
      </c>
      <c r="T42" s="61"/>
      <c r="U42" s="61"/>
    </row>
    <row r="43" spans="2:23" x14ac:dyDescent="0.3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</row>
    <row r="44" spans="2:23" x14ac:dyDescent="0.3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</row>
    <row r="45" spans="2:23" x14ac:dyDescent="0.35">
      <c r="B45" s="84" t="s">
        <v>71</v>
      </c>
      <c r="C45" s="84"/>
      <c r="D45" s="84"/>
      <c r="E45" s="84"/>
      <c r="F45" s="84"/>
      <c r="G45" s="84"/>
      <c r="H45" s="84"/>
      <c r="I45" s="84"/>
      <c r="J45" s="84"/>
      <c r="K45" s="49"/>
      <c r="L45" s="49"/>
      <c r="M45" s="49"/>
      <c r="N45" s="49"/>
      <c r="O45" s="49"/>
      <c r="P45" s="49"/>
      <c r="Q45" s="49"/>
      <c r="R45" s="49"/>
      <c r="S45" s="49"/>
    </row>
    <row r="46" spans="2:23" x14ac:dyDescent="0.3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</row>
    <row r="47" spans="2:23" x14ac:dyDescent="0.35">
      <c r="B47" s="37"/>
      <c r="C47" s="91" t="s">
        <v>0</v>
      </c>
      <c r="D47" s="92" t="s">
        <v>13</v>
      </c>
      <c r="E47" s="93" t="s">
        <v>12</v>
      </c>
      <c r="F47" s="94" t="s">
        <v>14</v>
      </c>
      <c r="G47" s="91" t="s">
        <v>11</v>
      </c>
      <c r="H47" s="98" t="s">
        <v>15</v>
      </c>
      <c r="I47" s="93" t="s">
        <v>10</v>
      </c>
      <c r="J47" s="94" t="s">
        <v>16</v>
      </c>
      <c r="K47" s="49"/>
      <c r="L47" s="49"/>
      <c r="M47" s="49"/>
      <c r="N47" s="49"/>
      <c r="O47" s="49"/>
      <c r="P47" s="49"/>
      <c r="Q47" s="49"/>
      <c r="R47" s="49"/>
      <c r="S47" s="49"/>
    </row>
    <row r="48" spans="2:23" x14ac:dyDescent="0.35">
      <c r="B48" s="78" t="s">
        <v>3</v>
      </c>
      <c r="C48" s="89" t="s">
        <v>1</v>
      </c>
      <c r="D48" s="89" t="s">
        <v>2</v>
      </c>
      <c r="E48" s="89" t="s">
        <v>1</v>
      </c>
      <c r="F48" s="89" t="s">
        <v>2</v>
      </c>
      <c r="G48" s="88" t="s">
        <v>1</v>
      </c>
      <c r="H48" s="88" t="s">
        <v>2</v>
      </c>
      <c r="I48" s="89" t="s">
        <v>1</v>
      </c>
      <c r="J48" s="89" t="s">
        <v>2</v>
      </c>
      <c r="K48" s="49"/>
      <c r="L48" s="49"/>
      <c r="M48" s="49"/>
      <c r="N48" s="49"/>
      <c r="O48" s="49"/>
      <c r="P48" s="49"/>
      <c r="Q48" s="49"/>
      <c r="R48" s="49"/>
      <c r="S48" s="49"/>
    </row>
    <row r="49" spans="2:19" x14ac:dyDescent="0.35">
      <c r="B49" s="37" t="s">
        <v>4</v>
      </c>
      <c r="C49" s="119">
        <v>20.6967</v>
      </c>
      <c r="D49" s="118">
        <v>3491.435717155613</v>
      </c>
      <c r="E49" s="64">
        <v>18.37</v>
      </c>
      <c r="F49" s="37">
        <v>3615.2639999999997</v>
      </c>
      <c r="G49" s="88">
        <v>18.472799999999999</v>
      </c>
      <c r="H49" s="37">
        <v>3619.5815149596997</v>
      </c>
      <c r="I49" s="82">
        <v>18.270839999999982</v>
      </c>
      <c r="J49" s="81">
        <v>2996.7622498711817</v>
      </c>
      <c r="K49" s="49"/>
      <c r="L49" s="49"/>
      <c r="M49" s="49"/>
      <c r="N49" s="49"/>
      <c r="O49" s="49"/>
      <c r="P49" s="49"/>
      <c r="Q49" s="49"/>
      <c r="R49" s="49"/>
      <c r="S49" s="49"/>
    </row>
    <row r="50" spans="2:19" x14ac:dyDescent="0.35">
      <c r="B50" s="37" t="s">
        <v>5</v>
      </c>
      <c r="C50" s="119">
        <v>120.78308888888888</v>
      </c>
      <c r="D50" s="118">
        <v>21761.35190206287</v>
      </c>
      <c r="E50" s="64">
        <v>107.81</v>
      </c>
      <c r="F50" s="37">
        <v>21250.441999999999</v>
      </c>
      <c r="G50" s="88">
        <v>107.03381999999999</v>
      </c>
      <c r="H50" s="37">
        <v>20604.428196610395</v>
      </c>
      <c r="I50" s="82">
        <v>106.6821199999998</v>
      </c>
      <c r="J50" s="81">
        <v>17454.743568301219</v>
      </c>
      <c r="K50" s="49"/>
      <c r="L50" s="49"/>
      <c r="M50" s="49"/>
      <c r="N50" s="49"/>
      <c r="O50" s="49"/>
      <c r="P50" s="49"/>
      <c r="Q50" s="49"/>
      <c r="R50" s="49"/>
      <c r="S50" s="49"/>
    </row>
    <row r="51" spans="2:19" x14ac:dyDescent="0.35">
      <c r="B51" s="37" t="s">
        <v>6</v>
      </c>
      <c r="C51" s="119">
        <v>50.246319999999997</v>
      </c>
      <c r="D51" s="118">
        <v>5765.1858988043796</v>
      </c>
      <c r="E51" s="112">
        <v>33.65</v>
      </c>
      <c r="F51" s="37">
        <v>4041.71</v>
      </c>
      <c r="G51" s="88">
        <v>34.489739999999998</v>
      </c>
      <c r="H51" s="37">
        <v>3990.2423189861411</v>
      </c>
      <c r="I51" s="89">
        <v>34.59892</v>
      </c>
      <c r="J51" s="81">
        <v>3207.9390264946596</v>
      </c>
      <c r="K51" s="49"/>
      <c r="L51" s="49"/>
      <c r="M51" s="49"/>
      <c r="N51" s="49"/>
      <c r="O51" s="49"/>
      <c r="P51" s="49"/>
      <c r="Q51" s="49"/>
      <c r="R51" s="49"/>
      <c r="S51" s="49"/>
    </row>
    <row r="52" spans="2:19" x14ac:dyDescent="0.35">
      <c r="B52" s="37" t="s">
        <v>7</v>
      </c>
      <c r="C52" s="119">
        <v>77.353440000000006</v>
      </c>
      <c r="D52" s="118">
        <v>14938.516258527654</v>
      </c>
      <c r="E52" s="64">
        <v>62.22</v>
      </c>
      <c r="F52" s="37">
        <v>11969.693999999998</v>
      </c>
      <c r="G52" s="88">
        <v>61.730339999999998</v>
      </c>
      <c r="H52" s="37">
        <v>12669.079722274801</v>
      </c>
      <c r="I52" s="82">
        <v>61.239819999999995</v>
      </c>
      <c r="J52" s="81">
        <v>10844.82333310088</v>
      </c>
      <c r="K52" s="49"/>
      <c r="L52" s="49"/>
      <c r="M52" s="49"/>
      <c r="N52" s="49"/>
      <c r="O52" s="49"/>
      <c r="P52" s="49"/>
      <c r="Q52" s="49"/>
      <c r="R52" s="49"/>
      <c r="S52" s="49"/>
    </row>
    <row r="53" spans="2:19" x14ac:dyDescent="0.35">
      <c r="B53" s="37" t="s">
        <v>8</v>
      </c>
      <c r="C53" s="119">
        <v>362.18804444444442</v>
      </c>
      <c r="D53" s="118">
        <v>41778.574238548288</v>
      </c>
      <c r="E53" s="112">
        <v>252.92</v>
      </c>
      <c r="F53" s="37">
        <v>30050.094000000001</v>
      </c>
      <c r="G53" s="88">
        <v>270.35162857142802</v>
      </c>
      <c r="H53" s="37">
        <v>31015.984910704479</v>
      </c>
      <c r="I53" s="89">
        <v>268.38490000000002</v>
      </c>
      <c r="J53" s="81">
        <v>27194.760986947396</v>
      </c>
      <c r="K53" s="49"/>
      <c r="L53" s="49"/>
      <c r="M53" s="49"/>
      <c r="N53" s="49"/>
      <c r="O53" s="49"/>
      <c r="P53" s="49"/>
      <c r="Q53" s="49"/>
      <c r="R53" s="49"/>
      <c r="S53" s="49"/>
    </row>
    <row r="54" spans="2:19" x14ac:dyDescent="0.35">
      <c r="B54" s="37" t="s">
        <v>9</v>
      </c>
      <c r="C54" s="119">
        <v>97.322020000000009</v>
      </c>
      <c r="D54" s="118">
        <v>18666.143787466401</v>
      </c>
      <c r="E54" s="112">
        <v>58.49</v>
      </c>
      <c r="F54" s="81">
        <v>11785.837999999998</v>
      </c>
      <c r="G54" s="88">
        <v>63.163980000000002</v>
      </c>
      <c r="H54" s="37">
        <v>12049.322618672619</v>
      </c>
      <c r="I54" s="89">
        <v>63.298780000000001</v>
      </c>
      <c r="J54" s="37">
        <v>12019.293919226619</v>
      </c>
      <c r="K54" s="49"/>
      <c r="L54" s="49"/>
      <c r="M54" s="49"/>
      <c r="N54" s="49"/>
      <c r="O54" s="49"/>
      <c r="P54" s="49"/>
      <c r="Q54" s="49"/>
      <c r="R54" s="49"/>
      <c r="S54" s="49"/>
    </row>
    <row r="55" spans="2:19" x14ac:dyDescent="0.35">
      <c r="B55" s="85" t="s">
        <v>23</v>
      </c>
      <c r="C55" s="120">
        <v>121.43160222222222</v>
      </c>
      <c r="D55" s="120">
        <v>17733.534633760868</v>
      </c>
      <c r="E55" s="25">
        <f t="shared" ref="E55:F55" si="17">AVERAGE(E49:E54)</f>
        <v>88.910000000000011</v>
      </c>
      <c r="F55" s="24">
        <f t="shared" si="17"/>
        <v>13785.507</v>
      </c>
      <c r="G55" s="24">
        <f>AVERAGE(G49:G54)</f>
        <v>92.540384761904662</v>
      </c>
      <c r="H55" s="24">
        <f t="shared" ref="H55:J55" si="18">AVERAGE(H49:H54)</f>
        <v>13991.439880368023</v>
      </c>
      <c r="I55" s="24">
        <f t="shared" si="18"/>
        <v>92.079229999999953</v>
      </c>
      <c r="J55" s="25">
        <f t="shared" si="18"/>
        <v>12286.387180656993</v>
      </c>
      <c r="K55" s="49"/>
      <c r="L55" s="49"/>
      <c r="M55" s="49"/>
      <c r="N55" s="49"/>
      <c r="O55" s="49"/>
      <c r="P55" s="49"/>
      <c r="Q55" s="49"/>
      <c r="R55" s="49"/>
      <c r="S55" s="49"/>
    </row>
    <row r="56" spans="2:19" x14ac:dyDescent="0.35">
      <c r="B56" s="104"/>
      <c r="C56" s="105"/>
      <c r="D56" s="105"/>
      <c r="E56" s="106"/>
      <c r="F56" s="104"/>
      <c r="G56" s="107"/>
      <c r="H56" s="107"/>
      <c r="I56" s="113"/>
      <c r="J56" s="113"/>
      <c r="K56" s="49"/>
      <c r="L56" s="49"/>
      <c r="M56" s="49"/>
      <c r="N56" s="49"/>
      <c r="O56" s="49"/>
      <c r="P56" s="49"/>
      <c r="Q56" s="49"/>
      <c r="R56" s="49"/>
      <c r="S56" s="49"/>
    </row>
    <row r="57" spans="2:19" x14ac:dyDescent="0.35"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03"/>
  <sheetViews>
    <sheetView tabSelected="1" topLeftCell="E51" zoomScale="80" zoomScaleNormal="80" workbookViewId="0">
      <selection activeCell="I68" sqref="I68"/>
    </sheetView>
  </sheetViews>
  <sheetFormatPr baseColWidth="10" defaultRowHeight="14.5" x14ac:dyDescent="0.35"/>
  <cols>
    <col min="3" max="3" width="16.81640625" customWidth="1"/>
    <col min="4" max="4" width="17.1796875" customWidth="1"/>
    <col min="5" max="5" width="17.81640625" customWidth="1"/>
    <col min="6" max="6" width="30.81640625" customWidth="1"/>
    <col min="7" max="7" width="17.453125" customWidth="1"/>
    <col min="8" max="8" width="16.26953125" customWidth="1"/>
    <col min="9" max="9" width="35.54296875" customWidth="1"/>
    <col min="10" max="10" width="21.7265625" customWidth="1"/>
    <col min="11" max="11" width="20.1796875" customWidth="1"/>
    <col min="12" max="12" width="16.54296875" customWidth="1"/>
    <col min="13" max="13" width="16.6328125" customWidth="1"/>
    <col min="14" max="14" width="16.453125" customWidth="1"/>
    <col min="15" max="15" width="20.90625" customWidth="1"/>
    <col min="16" max="16" width="21.6328125" customWidth="1"/>
    <col min="17" max="17" width="23" customWidth="1"/>
    <col min="18" max="18" width="15.7265625" bestFit="1" customWidth="1"/>
    <col min="19" max="20" width="14.7265625" bestFit="1" customWidth="1"/>
    <col min="21" max="21" width="11.7265625" bestFit="1" customWidth="1"/>
  </cols>
  <sheetData>
    <row r="2" spans="2:16" x14ac:dyDescent="0.35">
      <c r="B2" s="2" t="s">
        <v>72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35">
      <c r="B3" s="1"/>
      <c r="C3" s="14" t="s">
        <v>0</v>
      </c>
      <c r="D3" s="17" t="s">
        <v>13</v>
      </c>
      <c r="E3" s="10" t="s">
        <v>12</v>
      </c>
      <c r="F3" s="11" t="s">
        <v>14</v>
      </c>
      <c r="G3" s="14" t="s">
        <v>11</v>
      </c>
      <c r="H3" s="15" t="s">
        <v>15</v>
      </c>
      <c r="I3" s="10" t="s">
        <v>10</v>
      </c>
      <c r="J3" s="11" t="s">
        <v>16</v>
      </c>
    </row>
    <row r="4" spans="2:16" x14ac:dyDescent="0.35">
      <c r="B4" s="12" t="s">
        <v>3</v>
      </c>
      <c r="C4" s="13" t="s">
        <v>1</v>
      </c>
      <c r="D4" s="13" t="s">
        <v>2</v>
      </c>
      <c r="E4" s="13" t="s">
        <v>1</v>
      </c>
      <c r="F4" s="13" t="s">
        <v>2</v>
      </c>
      <c r="G4" s="16" t="s">
        <v>1</v>
      </c>
      <c r="H4" s="16" t="s">
        <v>2</v>
      </c>
      <c r="I4" s="13" t="s">
        <v>1</v>
      </c>
      <c r="J4" s="13" t="s">
        <v>2</v>
      </c>
    </row>
    <row r="5" spans="2:16" x14ac:dyDescent="0.35">
      <c r="B5" s="1" t="s">
        <v>4</v>
      </c>
      <c r="C5" s="2">
        <v>20.6967</v>
      </c>
      <c r="D5" s="72">
        <v>3491.435717155613</v>
      </c>
      <c r="E5" s="4">
        <v>18.37</v>
      </c>
      <c r="F5" s="7">
        <v>3615.2639999999997</v>
      </c>
      <c r="G5" s="5">
        <v>18.472799999999999</v>
      </c>
      <c r="H5" s="7">
        <v>3619.5815149596997</v>
      </c>
      <c r="I5" s="19">
        <v>18.270839999999982</v>
      </c>
      <c r="J5" s="21">
        <v>2996.7622498711817</v>
      </c>
    </row>
    <row r="6" spans="2:16" x14ac:dyDescent="0.35">
      <c r="B6" s="1" t="s">
        <v>5</v>
      </c>
      <c r="C6" s="2">
        <v>120.78308888888888</v>
      </c>
      <c r="D6" s="72">
        <v>21761.35190206287</v>
      </c>
      <c r="E6" s="4">
        <v>107.81</v>
      </c>
      <c r="F6" s="7">
        <v>21250.441999999999</v>
      </c>
      <c r="G6" s="5">
        <v>107.03381999999999</v>
      </c>
      <c r="H6" s="7">
        <v>20604.428196610395</v>
      </c>
      <c r="I6" s="19">
        <v>106.6821199999998</v>
      </c>
      <c r="J6" s="21">
        <v>17454.743568301219</v>
      </c>
    </row>
    <row r="7" spans="2:16" x14ac:dyDescent="0.35">
      <c r="B7" s="1" t="s">
        <v>6</v>
      </c>
      <c r="C7" s="2">
        <v>50.246319999999997</v>
      </c>
      <c r="D7" s="72">
        <v>5765.1858988043796</v>
      </c>
      <c r="E7" s="20">
        <v>33.65</v>
      </c>
      <c r="F7" s="7">
        <v>4041.71</v>
      </c>
      <c r="G7" s="5">
        <v>34.489739999999998</v>
      </c>
      <c r="H7" s="7">
        <v>3990.2423189861411</v>
      </c>
      <c r="I7" s="6">
        <v>34.59892</v>
      </c>
      <c r="J7" s="21">
        <v>3207.9390264946596</v>
      </c>
    </row>
    <row r="8" spans="2:16" x14ac:dyDescent="0.35">
      <c r="B8" s="1" t="s">
        <v>7</v>
      </c>
      <c r="C8" s="2">
        <v>77.353440000000006</v>
      </c>
      <c r="D8" s="72">
        <v>14938.516258527654</v>
      </c>
      <c r="E8" s="4">
        <v>62.22</v>
      </c>
      <c r="F8" s="7">
        <v>11969.693999999998</v>
      </c>
      <c r="G8" s="5">
        <v>61.730339999999998</v>
      </c>
      <c r="H8" s="7">
        <v>12669.079722274801</v>
      </c>
      <c r="I8" s="19">
        <v>61.239819999999995</v>
      </c>
      <c r="J8" s="21">
        <v>10844.82333310088</v>
      </c>
    </row>
    <row r="9" spans="2:16" x14ac:dyDescent="0.35">
      <c r="B9" s="1" t="s">
        <v>8</v>
      </c>
      <c r="C9" s="2">
        <v>362.18804444444442</v>
      </c>
      <c r="D9" s="72">
        <v>41778.574238548288</v>
      </c>
      <c r="E9" s="20">
        <v>252.92</v>
      </c>
      <c r="F9" s="7">
        <v>30050.094000000001</v>
      </c>
      <c r="G9" s="5">
        <v>270.35162857142802</v>
      </c>
      <c r="H9" s="7">
        <v>31015.984910704479</v>
      </c>
      <c r="I9" s="6">
        <v>268.38490000000002</v>
      </c>
      <c r="J9" s="21">
        <v>27194.760986947396</v>
      </c>
    </row>
    <row r="10" spans="2:16" x14ac:dyDescent="0.35">
      <c r="B10" s="1" t="s">
        <v>9</v>
      </c>
      <c r="C10" s="2">
        <v>97.322020000000009</v>
      </c>
      <c r="D10" s="72">
        <v>18666.143787466401</v>
      </c>
      <c r="E10" s="20">
        <v>58.49</v>
      </c>
      <c r="F10" s="21">
        <v>11785.837999999998</v>
      </c>
      <c r="G10" s="5">
        <v>63.163980000000002</v>
      </c>
      <c r="H10" s="7">
        <v>12049.322618672619</v>
      </c>
      <c r="I10" s="6">
        <v>63.298780000000001</v>
      </c>
      <c r="J10" s="7">
        <v>12019.293919226619</v>
      </c>
    </row>
    <row r="11" spans="2:16" x14ac:dyDescent="0.35">
      <c r="B11" s="8" t="s">
        <v>23</v>
      </c>
      <c r="C11" s="73">
        <v>121.43160222222222</v>
      </c>
      <c r="D11" s="73">
        <v>17733.534633760868</v>
      </c>
      <c r="E11" s="22">
        <v>88.910000000000011</v>
      </c>
      <c r="F11" s="9">
        <v>13785.507</v>
      </c>
      <c r="G11" s="9">
        <v>92.540384761904662</v>
      </c>
      <c r="H11" s="9">
        <v>13991.439880368023</v>
      </c>
      <c r="I11" s="9">
        <v>92.079229999999953</v>
      </c>
      <c r="J11" s="22">
        <v>12286.387180656993</v>
      </c>
    </row>
    <row r="14" spans="2:16" x14ac:dyDescent="0.35">
      <c r="B14" s="2" t="s">
        <v>73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35">
      <c r="B15" s="1"/>
      <c r="C15" s="14" t="s">
        <v>0</v>
      </c>
      <c r="D15" s="17" t="s">
        <v>13</v>
      </c>
      <c r="E15" s="10" t="s">
        <v>12</v>
      </c>
      <c r="F15" s="11" t="s">
        <v>14</v>
      </c>
      <c r="G15" s="14" t="s">
        <v>11</v>
      </c>
      <c r="H15" s="15" t="s">
        <v>15</v>
      </c>
      <c r="I15" s="10" t="s">
        <v>10</v>
      </c>
      <c r="J15" s="11" t="s">
        <v>16</v>
      </c>
    </row>
    <row r="16" spans="2:16" x14ac:dyDescent="0.35">
      <c r="B16" s="12" t="s">
        <v>3</v>
      </c>
      <c r="C16" s="13" t="s">
        <v>27</v>
      </c>
      <c r="D16" s="13" t="s">
        <v>28</v>
      </c>
      <c r="E16" s="13" t="s">
        <v>27</v>
      </c>
      <c r="F16" s="13" t="s">
        <v>28</v>
      </c>
      <c r="G16" s="13" t="s">
        <v>27</v>
      </c>
      <c r="H16" s="13" t="s">
        <v>28</v>
      </c>
      <c r="I16" s="13" t="s">
        <v>27</v>
      </c>
      <c r="J16" s="13" t="s">
        <v>28</v>
      </c>
    </row>
    <row r="17" spans="2:16" x14ac:dyDescent="0.35">
      <c r="B17" s="1" t="s">
        <v>4</v>
      </c>
      <c r="C17" s="3">
        <f>3600/C5</f>
        <v>173.94077316673673</v>
      </c>
      <c r="D17" s="3">
        <f>D5*C17</f>
        <v>607303.02810400724</v>
      </c>
      <c r="E17" s="4">
        <f>3600/E5</f>
        <v>195.97169297768099</v>
      </c>
      <c r="F17" s="7">
        <f>F5*E17</f>
        <v>708489.40664126282</v>
      </c>
      <c r="G17" s="5">
        <f>3600/G5</f>
        <v>194.8811225152657</v>
      </c>
      <c r="H17" s="7">
        <f>H5*G17</f>
        <v>705388.10867085226</v>
      </c>
      <c r="I17" s="6">
        <f>3600/I5</f>
        <v>197.03527588222565</v>
      </c>
      <c r="J17" s="7">
        <f>J5*I17</f>
        <v>590467.87665680749</v>
      </c>
    </row>
    <row r="18" spans="2:16" x14ac:dyDescent="0.35">
      <c r="B18" s="1" t="s">
        <v>5</v>
      </c>
      <c r="C18" s="3">
        <f t="shared" ref="C18:C22" si="0">3600/C6</f>
        <v>29.80549705357943</v>
      </c>
      <c r="D18" s="3">
        <f>D6*C18</f>
        <v>648607.90999883995</v>
      </c>
      <c r="E18" s="4">
        <f t="shared" ref="E18:E21" si="1">3600/E6</f>
        <v>33.392078656896388</v>
      </c>
      <c r="F18" s="7">
        <f t="shared" ref="F18:F22" si="2">F6*E18</f>
        <v>709596.43075781455</v>
      </c>
      <c r="G18" s="5">
        <f t="shared" ref="G18:G22" si="3">3600/G6</f>
        <v>33.634228882048689</v>
      </c>
      <c r="H18" s="7">
        <f t="shared" ref="H18:H22" si="4">H6*G18</f>
        <v>693014.05394853174</v>
      </c>
      <c r="I18" s="6">
        <f t="shared" ref="I18:I22" si="5">3600/I6</f>
        <v>33.745111177018295</v>
      </c>
      <c r="J18" s="7">
        <f t="shared" ref="J18:J22" si="6">J6*I18</f>
        <v>589012.26227866963</v>
      </c>
    </row>
    <row r="19" spans="2:16" x14ac:dyDescent="0.35">
      <c r="B19" s="1" t="s">
        <v>6</v>
      </c>
      <c r="C19" s="3">
        <f t="shared" si="0"/>
        <v>71.647038031839941</v>
      </c>
      <c r="D19" s="3">
        <f t="shared" ref="D19:D22" si="7">D7*C19</f>
        <v>413058.49335226469</v>
      </c>
      <c r="E19" s="4">
        <f t="shared" si="1"/>
        <v>106.98365527488856</v>
      </c>
      <c r="F19" s="7">
        <f t="shared" si="2"/>
        <v>432396.90936106985</v>
      </c>
      <c r="G19" s="5">
        <f t="shared" si="3"/>
        <v>104.37886745449516</v>
      </c>
      <c r="H19" s="7">
        <f t="shared" si="4"/>
        <v>416496.97412477183</v>
      </c>
      <c r="I19" s="6">
        <f t="shared" si="5"/>
        <v>104.04949056213316</v>
      </c>
      <c r="J19" s="7">
        <f t="shared" si="6"/>
        <v>333784.42146115471</v>
      </c>
    </row>
    <row r="20" spans="2:16" x14ac:dyDescent="0.35">
      <c r="B20" s="1" t="s">
        <v>7</v>
      </c>
      <c r="C20" s="3">
        <f>3600/C8</f>
        <v>46.539623835733742</v>
      </c>
      <c r="D20" s="3">
        <f t="shared" si="7"/>
        <v>695232.92733586964</v>
      </c>
      <c r="E20" s="4">
        <f t="shared" si="1"/>
        <v>57.859209257473481</v>
      </c>
      <c r="F20" s="7">
        <f t="shared" si="2"/>
        <v>692557.0298939246</v>
      </c>
      <c r="G20" s="5">
        <f t="shared" si="3"/>
        <v>58.318162511335593</v>
      </c>
      <c r="H20" s="7">
        <f t="shared" si="4"/>
        <v>738837.45011268824</v>
      </c>
      <c r="I20" s="6">
        <f t="shared" si="5"/>
        <v>58.785280557650239</v>
      </c>
      <c r="J20" s="7">
        <f t="shared" si="6"/>
        <v>637515.98223448684</v>
      </c>
    </row>
    <row r="21" spans="2:16" x14ac:dyDescent="0.35">
      <c r="B21" s="1" t="s">
        <v>8</v>
      </c>
      <c r="C21" s="3">
        <f t="shared" si="0"/>
        <v>9.9395881648219326</v>
      </c>
      <c r="D21" s="3">
        <f t="shared" si="7"/>
        <v>415261.82204460906</v>
      </c>
      <c r="E21" s="4">
        <f t="shared" si="1"/>
        <v>14.233749802309031</v>
      </c>
      <c r="F21" s="7">
        <f t="shared" si="2"/>
        <v>427725.51953186782</v>
      </c>
      <c r="G21" s="5">
        <f t="shared" si="3"/>
        <v>13.315991544134032</v>
      </c>
      <c r="H21" s="7">
        <f t="shared" si="4"/>
        <v>413008.59280392958</v>
      </c>
      <c r="I21" s="6">
        <f t="shared" si="5"/>
        <v>13.413571329832639</v>
      </c>
      <c r="J21" s="7">
        <f t="shared" si="6"/>
        <v>364778.86629616877</v>
      </c>
    </row>
    <row r="22" spans="2:16" x14ac:dyDescent="0.35">
      <c r="B22" s="1" t="s">
        <v>9</v>
      </c>
      <c r="C22" s="3">
        <f t="shared" si="0"/>
        <v>36.990600893816215</v>
      </c>
      <c r="D22" s="3">
        <f t="shared" si="7"/>
        <v>690471.87506875664</v>
      </c>
      <c r="E22" s="4">
        <f>3600/E10</f>
        <v>61.548982732090955</v>
      </c>
      <c r="F22" s="7">
        <f t="shared" si="2"/>
        <v>725406.3395452213</v>
      </c>
      <c r="G22" s="5">
        <f t="shared" si="3"/>
        <v>56.994508579098401</v>
      </c>
      <c r="H22" s="7">
        <f t="shared" si="4"/>
        <v>686745.22136226099</v>
      </c>
      <c r="I22" s="6">
        <f t="shared" si="5"/>
        <v>56.87313404776522</v>
      </c>
      <c r="J22" s="7">
        <f t="shared" si="6"/>
        <v>683574.91422766482</v>
      </c>
    </row>
    <row r="23" spans="2:16" x14ac:dyDescent="0.35">
      <c r="B23" s="8" t="s">
        <v>23</v>
      </c>
      <c r="C23" s="9">
        <f>AVERAGE(C17:C22)</f>
        <v>61.477186857754667</v>
      </c>
      <c r="D23" s="9">
        <f t="shared" ref="D23:J23" si="8">AVERAGE(D17:D22)</f>
        <v>578322.67598405795</v>
      </c>
      <c r="E23" s="22">
        <f t="shared" si="8"/>
        <v>78.331561450223234</v>
      </c>
      <c r="F23" s="9">
        <f t="shared" si="8"/>
        <v>616028.6059551934</v>
      </c>
      <c r="G23" s="9">
        <f t="shared" si="8"/>
        <v>76.9204802477296</v>
      </c>
      <c r="H23" s="9">
        <f t="shared" si="8"/>
        <v>608915.06683717237</v>
      </c>
      <c r="I23" s="9">
        <f t="shared" si="8"/>
        <v>77.316977259437536</v>
      </c>
      <c r="J23" s="22">
        <f t="shared" si="8"/>
        <v>533189.05385915877</v>
      </c>
    </row>
    <row r="25" spans="2:16" x14ac:dyDescent="0.35">
      <c r="B25" s="2" t="s">
        <v>35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35">
      <c r="B26" s="1"/>
      <c r="C26" s="14" t="s">
        <v>0</v>
      </c>
      <c r="D26" s="10" t="s">
        <v>12</v>
      </c>
      <c r="E26" s="14" t="s">
        <v>11</v>
      </c>
      <c r="F26" s="10" t="s">
        <v>10</v>
      </c>
      <c r="G26" s="1" t="s">
        <v>36</v>
      </c>
    </row>
    <row r="27" spans="2:16" x14ac:dyDescent="0.35">
      <c r="B27" s="12" t="s">
        <v>3</v>
      </c>
      <c r="C27" s="13" t="s">
        <v>29</v>
      </c>
      <c r="D27" s="13" t="s">
        <v>29</v>
      </c>
      <c r="E27" s="13" t="s">
        <v>29</v>
      </c>
      <c r="F27" s="13" t="s">
        <v>29</v>
      </c>
      <c r="G27" s="13" t="s">
        <v>29</v>
      </c>
    </row>
    <row r="28" spans="2:16" x14ac:dyDescent="0.35">
      <c r="B28" s="1" t="s">
        <v>4</v>
      </c>
      <c r="C28" s="23">
        <f>CONVERT(D17,"J","Wh")/1000</f>
        <v>0.16869528558444646</v>
      </c>
      <c r="D28" s="23">
        <f>CONVERT(F17,"J","Wh")/1000</f>
        <v>0.19680261295590634</v>
      </c>
      <c r="E28" s="23">
        <f>CONVERT(H17,"J","Wh")/1000</f>
        <v>0.19594114129745896</v>
      </c>
      <c r="F28" s="23">
        <f>CONVERT(J17,"J","Wh")/1000</f>
        <v>0.16401885462689098</v>
      </c>
      <c r="G28" s="37">
        <f>C28-F28</f>
        <v>4.6764309575554885E-3</v>
      </c>
    </row>
    <row r="29" spans="2:16" x14ac:dyDescent="0.35">
      <c r="B29" s="1" t="s">
        <v>5</v>
      </c>
      <c r="C29" s="23">
        <f t="shared" ref="C29:C33" si="9">CONVERT(D18,"J","Wh")/1000</f>
        <v>0.18016886388856665</v>
      </c>
      <c r="D29" s="23">
        <f t="shared" ref="D29:D33" si="10">CONVERT(F18,"J","Wh")/1000</f>
        <v>0.19711011965494848</v>
      </c>
      <c r="E29" s="23">
        <f t="shared" ref="E29:E33" si="11">CONVERT(H18,"J","Wh")/1000</f>
        <v>0.19250390387459215</v>
      </c>
      <c r="F29" s="23">
        <f t="shared" ref="F29:F33" si="12">CONVERT(J18,"J","Wh")/1000</f>
        <v>0.16361451729963045</v>
      </c>
      <c r="G29" s="37">
        <f t="shared" ref="G29:G34" si="13">C29-F29</f>
        <v>1.6554346588936203E-2</v>
      </c>
    </row>
    <row r="30" spans="2:16" x14ac:dyDescent="0.35">
      <c r="B30" s="1" t="s">
        <v>6</v>
      </c>
      <c r="C30" s="23">
        <f t="shared" si="9"/>
        <v>0.11473847037562908</v>
      </c>
      <c r="D30" s="23">
        <f t="shared" si="10"/>
        <v>0.12011025260029717</v>
      </c>
      <c r="E30" s="23">
        <f t="shared" si="11"/>
        <v>0.11569360392354773</v>
      </c>
      <c r="F30" s="23">
        <f t="shared" si="12"/>
        <v>9.2717894850320753E-2</v>
      </c>
      <c r="G30" s="37">
        <f t="shared" si="13"/>
        <v>2.2020575525308325E-2</v>
      </c>
    </row>
    <row r="31" spans="2:16" x14ac:dyDescent="0.35">
      <c r="B31" s="1" t="s">
        <v>7</v>
      </c>
      <c r="C31" s="23">
        <f t="shared" si="9"/>
        <v>0.19312025759329712</v>
      </c>
      <c r="D31" s="23">
        <f t="shared" si="10"/>
        <v>0.1923769527483124</v>
      </c>
      <c r="E31" s="23">
        <f t="shared" si="11"/>
        <v>0.2052326250313023</v>
      </c>
      <c r="F31" s="23">
        <f t="shared" si="12"/>
        <v>0.17708777284291302</v>
      </c>
      <c r="G31" s="37">
        <f t="shared" si="13"/>
        <v>1.6032484750384102E-2</v>
      </c>
    </row>
    <row r="32" spans="2:16" x14ac:dyDescent="0.35">
      <c r="B32" s="1" t="s">
        <v>8</v>
      </c>
      <c r="C32" s="23">
        <f t="shared" si="9"/>
        <v>0.11535050612350252</v>
      </c>
      <c r="D32" s="23">
        <f t="shared" si="10"/>
        <v>0.11881264431440773</v>
      </c>
      <c r="E32" s="23">
        <f t="shared" si="11"/>
        <v>0.11472460911220266</v>
      </c>
      <c r="F32" s="23">
        <f t="shared" si="12"/>
        <v>0.10132746286004687</v>
      </c>
      <c r="G32" s="37">
        <f t="shared" si="13"/>
        <v>1.4023043263455645E-2</v>
      </c>
    </row>
    <row r="33" spans="2:16" x14ac:dyDescent="0.35">
      <c r="B33" s="1" t="s">
        <v>9</v>
      </c>
      <c r="C33" s="23">
        <f t="shared" si="9"/>
        <v>0.19179774307465461</v>
      </c>
      <c r="D33" s="23">
        <f t="shared" si="10"/>
        <v>0.20150176098478367</v>
      </c>
      <c r="E33" s="23">
        <f t="shared" si="11"/>
        <v>0.19076256148951695</v>
      </c>
      <c r="F33" s="23">
        <f t="shared" si="12"/>
        <v>0.1898819206187958</v>
      </c>
      <c r="G33" s="37">
        <f t="shared" si="13"/>
        <v>1.9158224558588066E-3</v>
      </c>
    </row>
    <row r="34" spans="2:16" x14ac:dyDescent="0.35">
      <c r="B34" s="8" t="s">
        <v>23</v>
      </c>
      <c r="C34" s="24">
        <f>AVERAGE(C28:C33)</f>
        <v>0.16064518777334941</v>
      </c>
      <c r="D34" s="25">
        <f t="shared" ref="D34" si="14">AVERAGE(D28:D33)</f>
        <v>0.17111905720977597</v>
      </c>
      <c r="E34" s="24">
        <f t="shared" ref="E34" si="15">AVERAGE(E28:E33)</f>
        <v>0.16914307412143678</v>
      </c>
      <c r="F34" s="24">
        <f t="shared" ref="F34" si="16">AVERAGE(F28:F33)</f>
        <v>0.14810807051643299</v>
      </c>
      <c r="G34" s="37">
        <f t="shared" si="13"/>
        <v>1.2537117256916419E-2</v>
      </c>
    </row>
    <row r="36" spans="2:16" x14ac:dyDescent="0.35">
      <c r="B36" s="2" t="s">
        <v>74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ht="15" thickBot="1" x14ac:dyDescent="0.4"/>
    <row r="38" spans="2:16" ht="18.5" x14ac:dyDescent="0.45">
      <c r="B38" s="114" t="s">
        <v>30</v>
      </c>
      <c r="C38" s="115"/>
      <c r="D38" s="116"/>
    </row>
    <row r="39" spans="2:16" ht="15" thickBot="1" x14ac:dyDescent="0.4">
      <c r="B39" s="26">
        <v>0.2</v>
      </c>
      <c r="C39" s="27" t="s">
        <v>31</v>
      </c>
      <c r="D39" s="28" t="s">
        <v>75</v>
      </c>
      <c r="F39" s="1" t="s">
        <v>80</v>
      </c>
      <c r="G39" t="s">
        <v>40</v>
      </c>
    </row>
    <row r="40" spans="2:16" ht="18.5" x14ac:dyDescent="0.45">
      <c r="B40" s="114" t="s">
        <v>76</v>
      </c>
      <c r="C40" s="115"/>
      <c r="D40" s="116"/>
    </row>
    <row r="41" spans="2:16" x14ac:dyDescent="0.35">
      <c r="B41" s="26">
        <v>0.16800000000000001</v>
      </c>
      <c r="C41" s="27" t="s">
        <v>77</v>
      </c>
      <c r="D41" s="28" t="s">
        <v>79</v>
      </c>
    </row>
    <row r="42" spans="2:16" ht="15" thickBot="1" x14ac:dyDescent="0.4">
      <c r="B42" s="29">
        <f>B41/24</f>
        <v>7.0000000000000001E-3</v>
      </c>
      <c r="C42" s="30" t="s">
        <v>78</v>
      </c>
      <c r="D42" s="28"/>
    </row>
    <row r="43" spans="2:16" ht="18.5" x14ac:dyDescent="0.45">
      <c r="B43" s="114" t="s">
        <v>33</v>
      </c>
      <c r="C43" s="115"/>
      <c r="D43" s="116"/>
    </row>
    <row r="44" spans="2:16" x14ac:dyDescent="0.35">
      <c r="B44" s="26">
        <v>270</v>
      </c>
      <c r="C44" s="27" t="s">
        <v>81</v>
      </c>
      <c r="D44" s="28" t="s">
        <v>32</v>
      </c>
      <c r="F44" s="8" t="s">
        <v>49</v>
      </c>
      <c r="G44" s="18" t="s">
        <v>54</v>
      </c>
      <c r="H44" t="s">
        <v>106</v>
      </c>
    </row>
    <row r="45" spans="2:16" x14ac:dyDescent="0.35">
      <c r="B45" s="26">
        <v>9</v>
      </c>
      <c r="C45" s="27" t="s">
        <v>82</v>
      </c>
      <c r="D45" s="28" t="s">
        <v>32</v>
      </c>
      <c r="F45" s="1">
        <v>2.79</v>
      </c>
      <c r="G45">
        <v>13.14</v>
      </c>
      <c r="H45">
        <v>39</v>
      </c>
    </row>
    <row r="46" spans="2:16" x14ac:dyDescent="0.35">
      <c r="B46" s="29">
        <f>B45/24</f>
        <v>0.375</v>
      </c>
      <c r="C46" s="30" t="s">
        <v>83</v>
      </c>
      <c r="D46" s="28"/>
      <c r="F46" s="1" t="s">
        <v>41</v>
      </c>
    </row>
    <row r="47" spans="2:16" x14ac:dyDescent="0.35">
      <c r="B47" s="29"/>
      <c r="C47" s="30" t="s">
        <v>84</v>
      </c>
      <c r="D47" s="28"/>
    </row>
    <row r="48" spans="2:16" ht="15" thickBot="1" x14ac:dyDescent="0.4">
      <c r="B48" s="31"/>
      <c r="C48" s="32" t="s">
        <v>85</v>
      </c>
      <c r="D48" s="33"/>
    </row>
    <row r="49" spans="2:16" ht="15" thickBot="1" x14ac:dyDescent="0.4"/>
    <row r="50" spans="2:16" ht="18.5" x14ac:dyDescent="0.45">
      <c r="B50" s="114" t="s">
        <v>34</v>
      </c>
      <c r="C50" s="115"/>
      <c r="D50" s="116"/>
    </row>
    <row r="51" spans="2:16" ht="87" x14ac:dyDescent="0.35">
      <c r="B51" s="34">
        <v>1.6</v>
      </c>
      <c r="C51" s="35" t="s">
        <v>86</v>
      </c>
      <c r="D51" s="36" t="s">
        <v>87</v>
      </c>
    </row>
    <row r="52" spans="2:16" x14ac:dyDescent="0.35">
      <c r="B52" s="29">
        <f>B51/100</f>
        <v>1.6E-2</v>
      </c>
      <c r="C52" s="30" t="s">
        <v>88</v>
      </c>
      <c r="D52" s="28"/>
    </row>
    <row r="53" spans="2:16" ht="15" thickBot="1" x14ac:dyDescent="0.4">
      <c r="B53" s="31" t="e">
        <f>#REF!/B52</f>
        <v>#REF!</v>
      </c>
      <c r="C53" s="32" t="s">
        <v>89</v>
      </c>
      <c r="D53" s="33"/>
    </row>
    <row r="56" spans="2:16" x14ac:dyDescent="0.35">
      <c r="B56" s="2" t="s">
        <v>90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8" spans="2:16" x14ac:dyDescent="0.35">
      <c r="B58" s="38"/>
      <c r="C58" s="38" t="s">
        <v>91</v>
      </c>
      <c r="D58" s="41"/>
      <c r="E58" s="41"/>
      <c r="F58" s="41"/>
      <c r="G58" s="42"/>
      <c r="J58" s="43"/>
      <c r="K58" s="44" t="s">
        <v>96</v>
      </c>
    </row>
    <row r="59" spans="2:16" x14ac:dyDescent="0.35">
      <c r="B59" s="12" t="s">
        <v>3</v>
      </c>
      <c r="C59" s="39" t="s">
        <v>29</v>
      </c>
      <c r="D59" s="40" t="s">
        <v>92</v>
      </c>
      <c r="E59" s="40" t="s">
        <v>93</v>
      </c>
      <c r="F59" s="40" t="s">
        <v>94</v>
      </c>
      <c r="G59" s="40" t="s">
        <v>95</v>
      </c>
      <c r="J59" s="45" t="s">
        <v>37</v>
      </c>
      <c r="K59" s="46">
        <v>2000000000</v>
      </c>
    </row>
    <row r="60" spans="2:16" x14ac:dyDescent="0.35">
      <c r="B60" s="1" t="s">
        <v>4</v>
      </c>
      <c r="C60" s="37">
        <v>4.6764309575554885E-3</v>
      </c>
      <c r="D60" s="1">
        <f>C60*$B$39/1000</f>
        <v>9.3528619151109783E-7</v>
      </c>
      <c r="E60" s="1">
        <f>C60/0.168</f>
        <v>2.7835898556877906E-2</v>
      </c>
      <c r="F60" s="1">
        <f>C60/0.007</f>
        <v>0.66806156536506978</v>
      </c>
      <c r="G60" s="1">
        <f>C60/0.375</f>
        <v>1.2470482553481302E-2</v>
      </c>
      <c r="J60" s="45" t="s">
        <v>38</v>
      </c>
      <c r="K60" s="46">
        <v>237571200000</v>
      </c>
    </row>
    <row r="61" spans="2:16" x14ac:dyDescent="0.35">
      <c r="B61" s="1" t="s">
        <v>5</v>
      </c>
      <c r="C61" s="37">
        <v>1.6554346588936203E-2</v>
      </c>
      <c r="D61" s="1">
        <f t="shared" ref="D61:D66" si="17">C61*$B$39/1000</f>
        <v>3.3108693177872408E-6</v>
      </c>
      <c r="E61" s="1">
        <f t="shared" ref="E61:E66" si="18">C61/0.168</f>
        <v>9.8537777315096442E-2</v>
      </c>
      <c r="F61" s="1">
        <f t="shared" ref="F61:F66" si="19">C61/0.007</f>
        <v>2.3649066555623146</v>
      </c>
      <c r="G61" s="1">
        <f t="shared" ref="G61:G66" si="20">C61/0.375</f>
        <v>4.4144924237163208E-2</v>
      </c>
      <c r="J61" s="47" t="s">
        <v>39</v>
      </c>
      <c r="K61" s="48">
        <v>336384000000</v>
      </c>
    </row>
    <row r="62" spans="2:16" x14ac:dyDescent="0.35">
      <c r="B62" s="1" t="s">
        <v>6</v>
      </c>
      <c r="C62" s="37">
        <v>2.2020575525308325E-2</v>
      </c>
      <c r="D62" s="1">
        <f t="shared" si="17"/>
        <v>4.4041151050616648E-6</v>
      </c>
      <c r="E62" s="1">
        <f t="shared" si="18"/>
        <v>0.13107485431731145</v>
      </c>
      <c r="F62" s="1">
        <f t="shared" si="19"/>
        <v>3.1457965036154749</v>
      </c>
      <c r="G62" s="1">
        <f t="shared" si="20"/>
        <v>5.8721534734155534E-2</v>
      </c>
    </row>
    <row r="63" spans="2:16" x14ac:dyDescent="0.35">
      <c r="B63" s="1" t="s">
        <v>7</v>
      </c>
      <c r="C63" s="37">
        <v>1.6032484750384102E-2</v>
      </c>
      <c r="D63" s="1">
        <f t="shared" si="17"/>
        <v>3.2064969500768207E-6</v>
      </c>
      <c r="E63" s="1">
        <f t="shared" si="18"/>
        <v>9.543145684752441E-2</v>
      </c>
      <c r="F63" s="1">
        <f t="shared" si="19"/>
        <v>2.2903549643405858</v>
      </c>
      <c r="G63" s="1">
        <f t="shared" si="20"/>
        <v>4.2753292667690936E-2</v>
      </c>
      <c r="J63" t="s">
        <v>97</v>
      </c>
      <c r="K63" t="s">
        <v>98</v>
      </c>
    </row>
    <row r="64" spans="2:16" x14ac:dyDescent="0.35">
      <c r="B64" s="1" t="s">
        <v>8</v>
      </c>
      <c r="C64" s="37">
        <v>1.4023043263455645E-2</v>
      </c>
      <c r="D64" s="1">
        <f t="shared" si="17"/>
        <v>2.8046086526911292E-6</v>
      </c>
      <c r="E64" s="1">
        <f t="shared" si="18"/>
        <v>8.3470495615807411E-2</v>
      </c>
      <c r="F64" s="1">
        <f t="shared" si="19"/>
        <v>2.0032918947793776</v>
      </c>
      <c r="G64" s="1">
        <f t="shared" si="20"/>
        <v>3.7394782035881723E-2</v>
      </c>
      <c r="I64" s="67" t="s">
        <v>44</v>
      </c>
      <c r="J64" t="s">
        <v>43</v>
      </c>
      <c r="K64" s="60">
        <v>1502190</v>
      </c>
    </row>
    <row r="65" spans="2:21" x14ac:dyDescent="0.35">
      <c r="B65" s="1" t="s">
        <v>9</v>
      </c>
      <c r="C65" s="37">
        <v>1.9158224558588066E-3</v>
      </c>
      <c r="D65" s="1">
        <f t="shared" si="17"/>
        <v>3.8316449117176132E-7</v>
      </c>
      <c r="E65" s="1">
        <f t="shared" si="18"/>
        <v>1.1403705094397658E-2</v>
      </c>
      <c r="F65" s="1">
        <f t="shared" si="19"/>
        <v>0.27368892226554381</v>
      </c>
      <c r="G65" s="1">
        <f t="shared" si="20"/>
        <v>5.108859882290151E-3</v>
      </c>
      <c r="I65" t="s">
        <v>53</v>
      </c>
      <c r="J65" s="67" t="s">
        <v>50</v>
      </c>
      <c r="K65">
        <v>5001831</v>
      </c>
    </row>
    <row r="66" spans="2:21" x14ac:dyDescent="0.35">
      <c r="B66" s="8" t="s">
        <v>23</v>
      </c>
      <c r="C66" s="37">
        <f>AVERAGE(C60:C65)</f>
        <v>1.2537117256916428E-2</v>
      </c>
      <c r="D66" s="1">
        <f t="shared" si="17"/>
        <v>2.5074234513832858E-6</v>
      </c>
      <c r="E66" s="1">
        <f t="shared" si="18"/>
        <v>7.4625697957835871E-2</v>
      </c>
      <c r="F66" s="1">
        <f t="shared" si="19"/>
        <v>1.791016750988061</v>
      </c>
      <c r="G66" s="1">
        <f t="shared" si="20"/>
        <v>3.3432312685110474E-2</v>
      </c>
      <c r="I66" t="s">
        <v>52</v>
      </c>
      <c r="J66" t="s">
        <v>51</v>
      </c>
      <c r="K66">
        <v>484574</v>
      </c>
    </row>
    <row r="67" spans="2:21" x14ac:dyDescent="0.35">
      <c r="C67" s="58"/>
      <c r="D67" s="1"/>
      <c r="E67" s="59"/>
      <c r="F67" s="59"/>
      <c r="G67" s="59"/>
      <c r="I67" s="67" t="s">
        <v>103</v>
      </c>
      <c r="J67" t="s">
        <v>102</v>
      </c>
      <c r="K67">
        <v>156586</v>
      </c>
    </row>
    <row r="68" spans="2:21" x14ac:dyDescent="0.35">
      <c r="I68" s="67" t="s">
        <v>105</v>
      </c>
      <c r="J68" t="s">
        <v>104</v>
      </c>
      <c r="K68">
        <v>85617</v>
      </c>
    </row>
    <row r="69" spans="2:21" x14ac:dyDescent="0.35">
      <c r="B69" s="2" t="s">
        <v>99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2" spans="2:21" ht="1.5" customHeight="1" x14ac:dyDescent="0.35">
      <c r="B72" s="1"/>
      <c r="C72" s="1" t="s">
        <v>91</v>
      </c>
      <c r="D72" s="1" t="s">
        <v>37</v>
      </c>
      <c r="E72" s="1"/>
      <c r="F72" s="1"/>
      <c r="G72" s="1"/>
      <c r="H72" s="1"/>
      <c r="I72" s="1"/>
      <c r="J72" s="1"/>
    </row>
    <row r="73" spans="2:21" ht="31" customHeight="1" x14ac:dyDescent="0.35">
      <c r="B73" s="12" t="s">
        <v>3</v>
      </c>
      <c r="C73" s="13" t="s">
        <v>29</v>
      </c>
      <c r="D73" s="1" t="s">
        <v>92</v>
      </c>
      <c r="E73" s="1" t="s">
        <v>93</v>
      </c>
      <c r="F73" s="1" t="s">
        <v>94</v>
      </c>
      <c r="G73" s="1" t="s">
        <v>95</v>
      </c>
      <c r="H73" s="1" t="s">
        <v>100</v>
      </c>
      <c r="I73" s="1" t="s">
        <v>108</v>
      </c>
      <c r="J73" s="1" t="s">
        <v>111</v>
      </c>
      <c r="K73" s="59" t="s">
        <v>109</v>
      </c>
      <c r="L73" s="59" t="s">
        <v>112</v>
      </c>
      <c r="M73" s="1" t="s">
        <v>110</v>
      </c>
      <c r="N73" s="62" t="s">
        <v>113</v>
      </c>
      <c r="O73" s="68" t="s">
        <v>107</v>
      </c>
      <c r="P73" s="62" t="s">
        <v>114</v>
      </c>
      <c r="Q73" t="s">
        <v>115</v>
      </c>
    </row>
    <row r="74" spans="2:21" x14ac:dyDescent="0.35">
      <c r="B74" s="1" t="s">
        <v>4</v>
      </c>
      <c r="C74" s="53">
        <f>C60*$K$59</f>
        <v>9352861.9151109774</v>
      </c>
      <c r="D74" s="53">
        <f>D60*$K$59</f>
        <v>1870.5723830221957</v>
      </c>
      <c r="E74" s="53">
        <f t="shared" ref="E74:F74" si="21">E60*$K$59</f>
        <v>55671797.113755815</v>
      </c>
      <c r="F74" s="53">
        <f t="shared" si="21"/>
        <v>1336123130.7301395</v>
      </c>
      <c r="G74" s="53">
        <f>G60*$K$59</f>
        <v>24940965.106962603</v>
      </c>
      <c r="H74" s="53">
        <f>D74/5.5</f>
        <v>340.10406964039925</v>
      </c>
      <c r="I74" s="53">
        <f>C74/$B$45</f>
        <v>1039206.8794567753</v>
      </c>
      <c r="J74" s="53">
        <f>I74/$K$64</f>
        <v>0.69179456623780966</v>
      </c>
      <c r="K74" s="69">
        <f>C74/$F$45</f>
        <v>3352280.2563121784</v>
      </c>
      <c r="L74" s="69">
        <f>K74/$K$66</f>
        <v>6.9179944782678771</v>
      </c>
      <c r="M74" s="69">
        <f>C74/$G$45</f>
        <v>711785.53387450357</v>
      </c>
      <c r="N74" s="69">
        <f>M74/$K$65</f>
        <v>0.14230499468584676</v>
      </c>
      <c r="O74" s="69">
        <f>C74/$H$45</f>
        <v>239816.97218233274</v>
      </c>
      <c r="P74" s="69">
        <f>O74/$K$68</f>
        <v>2.8010438602419234</v>
      </c>
      <c r="Q74" s="69">
        <f>O74/$K$67</f>
        <v>1.5315352086542395</v>
      </c>
      <c r="R74" s="57"/>
      <c r="S74" s="57"/>
      <c r="T74" s="57"/>
      <c r="U74" s="57"/>
    </row>
    <row r="75" spans="2:21" x14ac:dyDescent="0.35">
      <c r="B75" s="1" t="s">
        <v>5</v>
      </c>
      <c r="C75" s="53">
        <f t="shared" ref="C75:C80" si="22">C61*$K$59</f>
        <v>33108693.177872404</v>
      </c>
      <c r="D75" s="53">
        <f t="shared" ref="D75" si="23">D61*$K$59</f>
        <v>6621.738635574482</v>
      </c>
      <c r="E75" s="53">
        <f t="shared" ref="E75" si="24">E61*$K$59</f>
        <v>197075554.63019288</v>
      </c>
      <c r="F75" s="53">
        <f t="shared" ref="F75" si="25">F61*$K$59</f>
        <v>4729813311.124629</v>
      </c>
      <c r="G75" s="53">
        <f t="shared" ref="G75" si="26">G61*$K$59</f>
        <v>88289848.474326417</v>
      </c>
      <c r="H75" s="53">
        <f t="shared" ref="H75:H101" si="27">D75/5.5</f>
        <v>1203.9524791953604</v>
      </c>
      <c r="I75" s="53">
        <f>C75/$B$45</f>
        <v>3678743.6864302671</v>
      </c>
      <c r="J75" s="53">
        <f t="shared" ref="J75:J80" si="28">I75/$K$64</f>
        <v>2.4489203672173741</v>
      </c>
      <c r="K75" s="69">
        <f t="shared" ref="K75:K102" si="29">C75/$F$45</f>
        <v>11866915.117516991</v>
      </c>
      <c r="L75" s="69">
        <f t="shared" ref="L75:L102" si="30">K75/$K$66</f>
        <v>24.48937647813748</v>
      </c>
      <c r="M75" s="69">
        <f t="shared" ref="M75:M102" si="31">C75/$G$45</f>
        <v>2519687.4564590869</v>
      </c>
      <c r="N75" s="69">
        <f t="shared" ref="N75:N102" si="32">M75/$K$65</f>
        <v>0.50375301693701502</v>
      </c>
      <c r="O75" s="69">
        <f t="shared" ref="O75:O102" si="33">C75/$H$45</f>
        <v>848940.85071467701</v>
      </c>
      <c r="P75" s="69">
        <f t="shared" ref="P75:P80" si="34">O75/$K$68</f>
        <v>9.9155640902469955</v>
      </c>
      <c r="Q75" s="69">
        <f t="shared" ref="Q75:Q80" si="35">O75/$K$67</f>
        <v>5.4215629156800542</v>
      </c>
      <c r="R75" s="57"/>
      <c r="S75" s="57"/>
      <c r="T75" s="57"/>
      <c r="U75" s="57"/>
    </row>
    <row r="76" spans="2:21" x14ac:dyDescent="0.35">
      <c r="B76" s="1" t="s">
        <v>6</v>
      </c>
      <c r="C76" s="53">
        <f t="shared" si="22"/>
        <v>44041151.050616652</v>
      </c>
      <c r="D76" s="53">
        <f t="shared" ref="D76" si="36">D62*$K$59</f>
        <v>8808.230210123329</v>
      </c>
      <c r="E76" s="53">
        <f t="shared" ref="E76" si="37">E62*$K$59</f>
        <v>262149708.6346229</v>
      </c>
      <c r="F76" s="53">
        <f t="shared" ref="F76" si="38">F62*$K$59</f>
        <v>6291593007.2309494</v>
      </c>
      <c r="G76" s="53">
        <f t="shared" ref="G76" si="39">G62*$K$59</f>
        <v>117443069.46831107</v>
      </c>
      <c r="H76" s="53">
        <f t="shared" si="27"/>
        <v>1601.4964018406054</v>
      </c>
      <c r="I76" s="53">
        <f t="shared" ref="I76:I79" si="40">C76/$B$45</f>
        <v>4893461.2278462946</v>
      </c>
      <c r="J76" s="53">
        <f t="shared" si="28"/>
        <v>3.2575514600991182</v>
      </c>
      <c r="K76" s="69">
        <f t="shared" si="29"/>
        <v>15785358.799504176</v>
      </c>
      <c r="L76" s="69">
        <f>K76/$K$66</f>
        <v>32.575744467313918</v>
      </c>
      <c r="M76" s="69">
        <f t="shared" si="31"/>
        <v>3351685.7724974621</v>
      </c>
      <c r="N76" s="69">
        <f t="shared" si="32"/>
        <v>0.67009176689445571</v>
      </c>
      <c r="O76" s="69">
        <f t="shared" si="33"/>
        <v>1129260.283349145</v>
      </c>
      <c r="P76" s="69">
        <f t="shared" si="34"/>
        <v>13.189673585259294</v>
      </c>
      <c r="Q76" s="69">
        <f t="shared" si="35"/>
        <v>7.2117576497844311</v>
      </c>
      <c r="R76" s="57"/>
      <c r="S76" s="57"/>
      <c r="T76" s="57"/>
      <c r="U76" s="57"/>
    </row>
    <row r="77" spans="2:21" x14ac:dyDescent="0.35">
      <c r="B77" s="1" t="s">
        <v>7</v>
      </c>
      <c r="C77" s="53">
        <f t="shared" si="22"/>
        <v>32064969.500768203</v>
      </c>
      <c r="D77" s="53">
        <f t="shared" ref="D77" si="41">D63*$K$59</f>
        <v>6412.9939001536413</v>
      </c>
      <c r="E77" s="53">
        <f t="shared" ref="E77" si="42">E63*$K$59</f>
        <v>190862913.69504881</v>
      </c>
      <c r="F77" s="53">
        <f t="shared" ref="F77" si="43">F63*$K$59</f>
        <v>4580709928.6811714</v>
      </c>
      <c r="G77" s="53">
        <f t="shared" ref="G77" si="44">G63*$K$59</f>
        <v>85506585.335381866</v>
      </c>
      <c r="H77" s="53">
        <f t="shared" si="27"/>
        <v>1165.9988909370256</v>
      </c>
      <c r="I77" s="53">
        <f t="shared" si="40"/>
        <v>3562774.3889742447</v>
      </c>
      <c r="J77" s="53">
        <f t="shared" si="28"/>
        <v>2.371720214469704</v>
      </c>
      <c r="K77" s="69">
        <f t="shared" si="29"/>
        <v>11492820.609594338</v>
      </c>
      <c r="L77" s="69">
        <f t="shared" si="30"/>
        <v>23.717369503098261</v>
      </c>
      <c r="M77" s="69">
        <f t="shared" si="31"/>
        <v>2440256.4308042773</v>
      </c>
      <c r="N77" s="69">
        <f t="shared" si="32"/>
        <v>0.48787262720477309</v>
      </c>
      <c r="O77" s="69">
        <f t="shared" si="33"/>
        <v>822178.7051479026</v>
      </c>
      <c r="P77" s="69">
        <f t="shared" si="34"/>
        <v>9.602984280550622</v>
      </c>
      <c r="Q77" s="69">
        <f t="shared" si="35"/>
        <v>5.2506527093603683</v>
      </c>
    </row>
    <row r="78" spans="2:21" x14ac:dyDescent="0.35">
      <c r="B78" s="51" t="s">
        <v>8</v>
      </c>
      <c r="C78" s="54">
        <f>C64*$K$59</f>
        <v>28046086.526911288</v>
      </c>
      <c r="D78" s="54">
        <f t="shared" ref="D78" si="45">D64*$K$59</f>
        <v>5609.217305382258</v>
      </c>
      <c r="E78" s="54">
        <f t="shared" ref="E78" si="46">E64*$K$59</f>
        <v>166940991.23161483</v>
      </c>
      <c r="F78" s="54">
        <f t="shared" ref="F78" si="47">F64*$K$59</f>
        <v>4006583789.5587554</v>
      </c>
      <c r="G78" s="54">
        <f t="shared" ref="G78" si="48">G64*$K$59</f>
        <v>74789564.071763441</v>
      </c>
      <c r="H78" s="54">
        <f t="shared" si="27"/>
        <v>1019.8576918876832</v>
      </c>
      <c r="I78" s="53">
        <f t="shared" si="40"/>
        <v>3116231.8363234764</v>
      </c>
      <c r="J78" s="53">
        <f t="shared" si="28"/>
        <v>2.0744591804788186</v>
      </c>
      <c r="K78" s="69">
        <f t="shared" si="29"/>
        <v>10052360.762333795</v>
      </c>
      <c r="L78" s="69">
        <f t="shared" si="30"/>
        <v>20.744738187219692</v>
      </c>
      <c r="M78" s="69">
        <f t="shared" si="31"/>
        <v>2134405.3673448469</v>
      </c>
      <c r="N78" s="69">
        <f t="shared" si="32"/>
        <v>0.42672480684470288</v>
      </c>
      <c r="O78" s="69">
        <f t="shared" si="33"/>
        <v>719130.42376695608</v>
      </c>
      <c r="P78" s="69">
        <f t="shared" si="34"/>
        <v>8.3993882496111301</v>
      </c>
      <c r="Q78" s="69">
        <f t="shared" si="35"/>
        <v>4.5925588735069294</v>
      </c>
    </row>
    <row r="79" spans="2:21" x14ac:dyDescent="0.35">
      <c r="B79" s="52" t="s">
        <v>9</v>
      </c>
      <c r="C79" s="55">
        <f t="shared" si="22"/>
        <v>3831644.9117176132</v>
      </c>
      <c r="D79" s="55">
        <f t="shared" ref="D79" si="49">D65*$K$59</f>
        <v>766.32898234352263</v>
      </c>
      <c r="E79" s="55">
        <f t="shared" ref="E79" si="50">E65*$K$59</f>
        <v>22807410.188795317</v>
      </c>
      <c r="F79" s="55">
        <f t="shared" ref="F79" si="51">F65*$K$59</f>
        <v>547377844.53108764</v>
      </c>
      <c r="G79" s="55">
        <f t="shared" ref="G79" si="52">G65*$K$59</f>
        <v>10217719.764580302</v>
      </c>
      <c r="H79" s="55">
        <f t="shared" si="27"/>
        <v>139.33254224427685</v>
      </c>
      <c r="I79" s="53">
        <f t="shared" si="40"/>
        <v>425738.32352417923</v>
      </c>
      <c r="J79" s="53">
        <f t="shared" si="28"/>
        <v>0.28341176783508026</v>
      </c>
      <c r="K79" s="69">
        <f t="shared" si="29"/>
        <v>1373349.4307231589</v>
      </c>
      <c r="L79" s="69">
        <f t="shared" si="30"/>
        <v>2.8341376770589402</v>
      </c>
      <c r="M79" s="69">
        <f t="shared" si="31"/>
        <v>291601.59145491727</v>
      </c>
      <c r="N79" s="69">
        <f t="shared" si="32"/>
        <v>5.8298969208459318E-2</v>
      </c>
      <c r="O79" s="69">
        <f t="shared" si="33"/>
        <v>98247.305428656749</v>
      </c>
      <c r="P79" s="69">
        <f t="shared" si="34"/>
        <v>1.147520999668953</v>
      </c>
      <c r="Q79" s="69">
        <f t="shared" si="35"/>
        <v>0.6274335216983431</v>
      </c>
    </row>
    <row r="80" spans="2:21" x14ac:dyDescent="0.35">
      <c r="B80" s="50" t="s">
        <v>23</v>
      </c>
      <c r="C80" s="56">
        <f t="shared" si="22"/>
        <v>25074234.513832856</v>
      </c>
      <c r="D80" s="56">
        <f>D66*$K$59</f>
        <v>5014.8469027665715</v>
      </c>
      <c r="E80" s="56">
        <f t="shared" ref="E80" si="53">E66*$K$59</f>
        <v>149251395.91567174</v>
      </c>
      <c r="F80" s="56">
        <f t="shared" ref="F80" si="54">F66*$K$59</f>
        <v>3582033501.9761219</v>
      </c>
      <c r="G80" s="56">
        <f t="shared" ref="G80" si="55">G66*$K$59</f>
        <v>66864625.370220952</v>
      </c>
      <c r="H80" s="56">
        <f>D80/5.5</f>
        <v>911.79034595755843</v>
      </c>
      <c r="I80" s="56">
        <f>C80/$B$45</f>
        <v>2786026.0570925395</v>
      </c>
      <c r="J80" s="56">
        <f t="shared" si="28"/>
        <v>1.8546429260563175</v>
      </c>
      <c r="K80" s="70">
        <f t="shared" si="29"/>
        <v>8987180.8293307722</v>
      </c>
      <c r="L80" s="70">
        <f t="shared" si="30"/>
        <v>18.546560131849361</v>
      </c>
      <c r="M80" s="70">
        <f t="shared" si="31"/>
        <v>1908237.0254058489</v>
      </c>
      <c r="N80" s="70">
        <f t="shared" si="32"/>
        <v>0.38150769696254211</v>
      </c>
      <c r="O80" s="69">
        <f t="shared" si="33"/>
        <v>642929.09009827836</v>
      </c>
      <c r="P80" s="69">
        <f t="shared" si="34"/>
        <v>7.5093625109298197</v>
      </c>
      <c r="Q80" s="69">
        <f t="shared" si="35"/>
        <v>4.1059168131140611</v>
      </c>
    </row>
    <row r="81" spans="2:21" x14ac:dyDescent="0.35">
      <c r="H81" s="49"/>
      <c r="I81" s="49"/>
      <c r="K81" s="69"/>
      <c r="L81" s="69"/>
      <c r="M81" s="69"/>
      <c r="N81" s="69"/>
      <c r="O81" s="57"/>
    </row>
    <row r="82" spans="2:21" x14ac:dyDescent="0.35">
      <c r="H82" s="49"/>
      <c r="I82" s="49"/>
      <c r="K82" s="69"/>
      <c r="L82" s="69"/>
      <c r="M82" s="69"/>
      <c r="N82" s="69"/>
      <c r="O82" s="57"/>
    </row>
    <row r="83" spans="2:21" x14ac:dyDescent="0.35">
      <c r="B83" s="1"/>
      <c r="C83" s="1" t="s">
        <v>91</v>
      </c>
      <c r="D83" s="1" t="s">
        <v>38</v>
      </c>
      <c r="E83" s="1"/>
      <c r="F83" s="1"/>
      <c r="G83" s="1"/>
      <c r="H83" s="37"/>
      <c r="I83" s="37"/>
      <c r="J83" s="1"/>
      <c r="K83" s="69"/>
      <c r="L83" s="69"/>
      <c r="M83" s="69"/>
      <c r="N83" s="69"/>
      <c r="O83" s="57"/>
    </row>
    <row r="84" spans="2:21" x14ac:dyDescent="0.35">
      <c r="B84" s="12" t="s">
        <v>3</v>
      </c>
      <c r="C84" s="13" t="s">
        <v>29</v>
      </c>
      <c r="D84" s="1" t="s">
        <v>92</v>
      </c>
      <c r="E84" s="1" t="s">
        <v>93</v>
      </c>
      <c r="F84" s="1" t="s">
        <v>94</v>
      </c>
      <c r="G84" s="1" t="s">
        <v>95</v>
      </c>
      <c r="H84" s="1" t="s">
        <v>100</v>
      </c>
      <c r="I84" s="1" t="s">
        <v>108</v>
      </c>
      <c r="J84" s="1" t="s">
        <v>111</v>
      </c>
      <c r="K84" s="59" t="s">
        <v>109</v>
      </c>
      <c r="L84" s="59" t="s">
        <v>112</v>
      </c>
      <c r="M84" s="1" t="s">
        <v>110</v>
      </c>
      <c r="N84" s="62" t="s">
        <v>113</v>
      </c>
      <c r="O84" s="68" t="s">
        <v>107</v>
      </c>
      <c r="P84" s="62" t="s">
        <v>114</v>
      </c>
      <c r="Q84" t="s">
        <v>115</v>
      </c>
      <c r="S84" s="57"/>
      <c r="T84" s="57"/>
      <c r="U84" s="57"/>
    </row>
    <row r="85" spans="2:21" x14ac:dyDescent="0.35">
      <c r="B85" s="1" t="s">
        <v>4</v>
      </c>
      <c r="C85" s="53">
        <f>C60*$K$60</f>
        <v>1110985314.3036065</v>
      </c>
      <c r="D85" s="53">
        <f t="shared" ref="D85:G85" si="56">D60*$K$60</f>
        <v>222197.06286072131</v>
      </c>
      <c r="E85" s="53">
        <f t="shared" si="56"/>
        <v>6613007823.2357521</v>
      </c>
      <c r="F85" s="53">
        <f t="shared" si="56"/>
        <v>158712187757.65805</v>
      </c>
      <c r="G85" s="53">
        <f t="shared" si="56"/>
        <v>2962627504.809617</v>
      </c>
      <c r="H85" s="53">
        <f t="shared" si="27"/>
        <v>40399.465974676605</v>
      </c>
      <c r="I85" s="53">
        <f>C85/$B$45</f>
        <v>123442812.70040073</v>
      </c>
      <c r="J85" s="53">
        <f>I85/$K$64</f>
        <v>82.175232627297959</v>
      </c>
      <c r="K85" s="69">
        <f t="shared" si="29"/>
        <v>398202621.61419588</v>
      </c>
      <c r="L85" s="69">
        <f t="shared" si="30"/>
        <v>821.75812489773671</v>
      </c>
      <c r="M85" s="69">
        <f>C85/$G$45</f>
        <v>84549871.712603226</v>
      </c>
      <c r="N85" s="69">
        <f t="shared" si="32"/>
        <v>16.903784176755117</v>
      </c>
      <c r="O85" s="69">
        <f t="shared" si="33"/>
        <v>28486802.930861704</v>
      </c>
      <c r="P85" s="69">
        <f>O85/$K$68</f>
        <v>332.72367556515297</v>
      </c>
      <c r="Q85" s="69">
        <f>O85/$K$67</f>
        <v>181.92432868111902</v>
      </c>
      <c r="R85" s="57"/>
      <c r="S85" s="57"/>
      <c r="T85" s="57"/>
      <c r="U85" s="57"/>
    </row>
    <row r="86" spans="2:21" x14ac:dyDescent="0.35">
      <c r="B86" s="1" t="s">
        <v>5</v>
      </c>
      <c r="C86" s="53">
        <f t="shared" ref="C86:G86" si="57">C61*$K$60</f>
        <v>3932835984.3494806</v>
      </c>
      <c r="D86" s="53">
        <f t="shared" si="57"/>
        <v>786567.19686989614</v>
      </c>
      <c r="E86" s="53">
        <f t="shared" si="57"/>
        <v>23409738002.080238</v>
      </c>
      <c r="F86" s="53">
        <f t="shared" si="57"/>
        <v>561833712049.92578</v>
      </c>
      <c r="G86" s="53">
        <f t="shared" si="57"/>
        <v>10487562624.931948</v>
      </c>
      <c r="H86" s="53">
        <f>D86/5.5</f>
        <v>143012.21761270839</v>
      </c>
      <c r="I86" s="53">
        <f t="shared" ref="I86:I91" si="58">C86/$B$45</f>
        <v>436981776.03883117</v>
      </c>
      <c r="J86" s="53">
        <f t="shared" ref="J86:J91" si="59">I86/$K$64</f>
        <v>290.89647517213615</v>
      </c>
      <c r="K86" s="69">
        <f t="shared" si="29"/>
        <v>1409618632.3833263</v>
      </c>
      <c r="L86" s="69">
        <f t="shared" si="30"/>
        <v>2908.9852785814473</v>
      </c>
      <c r="M86" s="69">
        <f t="shared" si="31"/>
        <v>299302586.32796657</v>
      </c>
      <c r="N86" s="69">
        <f>M86/$K$65</f>
        <v>59.838604368673508</v>
      </c>
      <c r="O86" s="69">
        <f t="shared" si="33"/>
        <v>100841948.31665336</v>
      </c>
      <c r="P86" s="69">
        <f t="shared" ref="P86:P91" si="60">O86/$K$68</f>
        <v>1177.8262297984438</v>
      </c>
      <c r="Q86" s="69">
        <f t="shared" ref="Q86:Q91" si="61">O86/$K$67</f>
        <v>644.00360387680485</v>
      </c>
      <c r="R86" s="57"/>
      <c r="S86" s="57"/>
      <c r="T86" s="57"/>
      <c r="U86" s="57"/>
    </row>
    <row r="87" spans="2:21" x14ac:dyDescent="0.35">
      <c r="B87" s="1" t="s">
        <v>6</v>
      </c>
      <c r="C87" s="53">
        <f t="shared" ref="C87:G87" si="62">C62*$K$60</f>
        <v>5231454552.2381296</v>
      </c>
      <c r="D87" s="53">
        <f t="shared" si="62"/>
        <v>1046290.9104476258</v>
      </c>
      <c r="E87" s="53">
        <f t="shared" si="62"/>
        <v>31139610429.988861</v>
      </c>
      <c r="F87" s="53">
        <f t="shared" si="62"/>
        <v>747350650319.73267</v>
      </c>
      <c r="G87" s="53">
        <f t="shared" si="62"/>
        <v>13950545472.635012</v>
      </c>
      <c r="H87" s="53">
        <f t="shared" si="27"/>
        <v>190234.71099047741</v>
      </c>
      <c r="I87" s="53">
        <f t="shared" si="58"/>
        <v>581272728.02645886</v>
      </c>
      <c r="J87" s="53">
        <f t="shared" si="59"/>
        <v>386.95020471874989</v>
      </c>
      <c r="K87" s="69">
        <f t="shared" si="29"/>
        <v>1875073316.2143834</v>
      </c>
      <c r="L87" s="69">
        <f t="shared" si="30"/>
        <v>3869.5293519965649</v>
      </c>
      <c r="M87" s="69">
        <f t="shared" si="31"/>
        <v>398132005.49757451</v>
      </c>
      <c r="N87" s="69">
        <f t="shared" si="32"/>
        <v>79.597252585618051</v>
      </c>
      <c r="O87" s="69">
        <f t="shared" si="33"/>
        <v>134139860.31379819</v>
      </c>
      <c r="P87" s="69">
        <f t="shared" si="60"/>
        <v>1566.7432906291763</v>
      </c>
      <c r="Q87" s="69">
        <f t="shared" si="61"/>
        <v>856.65295948423352</v>
      </c>
    </row>
    <row r="88" spans="2:21" x14ac:dyDescent="0.35">
      <c r="B88" s="1" t="s">
        <v>7</v>
      </c>
      <c r="C88" s="53">
        <f t="shared" ref="C88:G88" si="63">C63*$K$60</f>
        <v>3808856641.1304517</v>
      </c>
      <c r="D88" s="53">
        <f t="shared" si="63"/>
        <v>761771.32822609041</v>
      </c>
      <c r="E88" s="53">
        <f t="shared" si="63"/>
        <v>22671765721.014591</v>
      </c>
      <c r="F88" s="53">
        <f t="shared" si="63"/>
        <v>544122377304.35016</v>
      </c>
      <c r="G88" s="53">
        <f t="shared" si="63"/>
        <v>10156951043.014536</v>
      </c>
      <c r="H88" s="53">
        <f t="shared" si="27"/>
        <v>138503.87785928918</v>
      </c>
      <c r="I88" s="53">
        <f t="shared" si="58"/>
        <v>423206293.45893908</v>
      </c>
      <c r="J88" s="53">
        <f t="shared" si="59"/>
        <v>281.72620870791252</v>
      </c>
      <c r="K88" s="69">
        <f t="shared" si="29"/>
        <v>1365181591.8030293</v>
      </c>
      <c r="L88" s="69">
        <f t="shared" si="30"/>
        <v>2817.2819668472293</v>
      </c>
      <c r="M88" s="69">
        <f t="shared" si="31"/>
        <v>289867324.28694457</v>
      </c>
      <c r="N88" s="69">
        <f t="shared" si="32"/>
        <v>57.952242746095294</v>
      </c>
      <c r="O88" s="69">
        <f t="shared" si="33"/>
        <v>97662990.798216715</v>
      </c>
      <c r="P88" s="69">
        <f t="shared" si="60"/>
        <v>1140.6962495557741</v>
      </c>
      <c r="Q88" s="69">
        <f t="shared" si="61"/>
        <v>623.7019324729971</v>
      </c>
    </row>
    <row r="89" spans="2:21" x14ac:dyDescent="0.35">
      <c r="B89" s="51" t="s">
        <v>8</v>
      </c>
      <c r="C89" s="54">
        <f t="shared" ref="C89:G89" si="64">C64*$K$60</f>
        <v>3331471215.7510738</v>
      </c>
      <c r="D89" s="54">
        <f t="shared" si="64"/>
        <v>666294.24315021478</v>
      </c>
      <c r="E89" s="54">
        <f t="shared" si="64"/>
        <v>19830185808.042107</v>
      </c>
      <c r="F89" s="54">
        <f t="shared" si="64"/>
        <v>475924459393.0105</v>
      </c>
      <c r="G89" s="54">
        <f t="shared" si="64"/>
        <v>8883923242.0028648</v>
      </c>
      <c r="H89" s="54">
        <f t="shared" si="27"/>
        <v>121144.4078454936</v>
      </c>
      <c r="I89" s="53">
        <f t="shared" si="58"/>
        <v>370163468.41678596</v>
      </c>
      <c r="J89" s="53">
        <f t="shared" si="59"/>
        <v>246.41587842868475</v>
      </c>
      <c r="K89" s="69">
        <f t="shared" si="29"/>
        <v>1194075704.5702775</v>
      </c>
      <c r="L89" s="69">
        <f t="shared" si="30"/>
        <v>2464.1761724118037</v>
      </c>
      <c r="M89" s="69">
        <f t="shared" si="31"/>
        <v>253536622.20327806</v>
      </c>
      <c r="N89" s="69">
        <f t="shared" si="32"/>
        <v>50.688762215932137</v>
      </c>
      <c r="O89" s="69">
        <f t="shared" si="33"/>
        <v>85422338.865412146</v>
      </c>
      <c r="P89" s="69">
        <f t="shared" si="60"/>
        <v>997.7263728630079</v>
      </c>
      <c r="Q89" s="69">
        <f t="shared" si="61"/>
        <v>545.52986132484477</v>
      </c>
    </row>
    <row r="90" spans="2:21" x14ac:dyDescent="0.35">
      <c r="B90" s="52" t="s">
        <v>9</v>
      </c>
      <c r="C90" s="55">
        <f t="shared" ref="C90:G90" si="65">C65*$K$60</f>
        <v>455144239.8253237</v>
      </c>
      <c r="D90" s="55">
        <f t="shared" si="65"/>
        <v>91028.84796506475</v>
      </c>
      <c r="E90" s="55">
        <f t="shared" si="65"/>
        <v>2709191903.7221651</v>
      </c>
      <c r="F90" s="55">
        <f t="shared" si="65"/>
        <v>65020605689.331963</v>
      </c>
      <c r="G90" s="55">
        <f t="shared" si="65"/>
        <v>1213717972.8675299</v>
      </c>
      <c r="H90" s="55">
        <f t="shared" si="27"/>
        <v>16550.699630011772</v>
      </c>
      <c r="I90" s="53">
        <f t="shared" si="58"/>
        <v>50571582.202813745</v>
      </c>
      <c r="J90" s="53">
        <f t="shared" si="59"/>
        <v>33.665236889350709</v>
      </c>
      <c r="K90" s="69">
        <f t="shared" si="29"/>
        <v>163134136.13810885</v>
      </c>
      <c r="L90" s="69">
        <f t="shared" si="30"/>
        <v>336.6547444520524</v>
      </c>
      <c r="M90" s="69">
        <f t="shared" si="31"/>
        <v>34638070.001927219</v>
      </c>
      <c r="N90" s="69">
        <f t="shared" si="32"/>
        <v>6.9250780368083644</v>
      </c>
      <c r="O90" s="69">
        <f t="shared" si="33"/>
        <v>11670365.123726249</v>
      </c>
      <c r="P90" s="69">
        <f t="shared" si="60"/>
        <v>136.30897045827638</v>
      </c>
      <c r="Q90" s="69">
        <f t="shared" si="61"/>
        <v>74.530067335050703</v>
      </c>
    </row>
    <row r="91" spans="2:21" x14ac:dyDescent="0.35">
      <c r="B91" s="50" t="s">
        <v>23</v>
      </c>
      <c r="C91" s="56">
        <f t="shared" ref="C91:G91" si="66">C66*$K$60</f>
        <v>2978457991.2663441</v>
      </c>
      <c r="D91" s="56">
        <f t="shared" si="66"/>
        <v>595691.59825326886</v>
      </c>
      <c r="E91" s="56">
        <f t="shared" si="66"/>
        <v>17728916614.680618</v>
      </c>
      <c r="F91" s="56">
        <f t="shared" si="66"/>
        <v>425493998752.33484</v>
      </c>
      <c r="G91" s="56">
        <f t="shared" si="66"/>
        <v>7942554643.3769178</v>
      </c>
      <c r="H91" s="56">
        <f t="shared" si="27"/>
        <v>108307.56331877616</v>
      </c>
      <c r="I91" s="56">
        <f t="shared" si="58"/>
        <v>330939776.80737156</v>
      </c>
      <c r="J91" s="56">
        <f t="shared" si="59"/>
        <v>220.3048727573553</v>
      </c>
      <c r="K91" s="70">
        <f t="shared" si="29"/>
        <v>1067547667.1205534</v>
      </c>
      <c r="L91" s="70">
        <f t="shared" si="30"/>
        <v>2203.0642731978055</v>
      </c>
      <c r="M91" s="70">
        <f t="shared" si="31"/>
        <v>226671080.00504902</v>
      </c>
      <c r="N91" s="70">
        <f t="shared" si="32"/>
        <v>45.317620688313745</v>
      </c>
      <c r="O91" s="69">
        <f t="shared" si="33"/>
        <v>76370717.724778056</v>
      </c>
      <c r="P91" s="69">
        <f t="shared" si="60"/>
        <v>892.00413147830523</v>
      </c>
      <c r="Q91" s="69">
        <f t="shared" si="61"/>
        <v>487.72379219584161</v>
      </c>
    </row>
    <row r="92" spans="2:21" x14ac:dyDescent="0.35">
      <c r="H92" s="49"/>
      <c r="I92" s="49"/>
      <c r="K92" s="69"/>
      <c r="L92" s="69"/>
      <c r="M92" s="69"/>
      <c r="N92" s="69"/>
      <c r="O92" s="57"/>
    </row>
    <row r="93" spans="2:21" x14ac:dyDescent="0.35">
      <c r="H93" s="49"/>
      <c r="I93" s="49"/>
      <c r="K93" s="69"/>
      <c r="L93" s="69"/>
      <c r="M93" s="69"/>
      <c r="N93" s="69"/>
      <c r="O93" s="57"/>
    </row>
    <row r="94" spans="2:21" x14ac:dyDescent="0.35">
      <c r="B94" s="1"/>
      <c r="C94" s="1" t="s">
        <v>91</v>
      </c>
      <c r="D94" s="1" t="s">
        <v>39</v>
      </c>
      <c r="E94" s="1"/>
      <c r="F94" s="1"/>
      <c r="G94" s="1"/>
      <c r="H94" s="37"/>
      <c r="I94" s="37"/>
      <c r="J94" s="1"/>
      <c r="K94" s="69"/>
      <c r="L94" s="69"/>
      <c r="M94" s="69"/>
      <c r="N94" s="69"/>
      <c r="O94" s="57"/>
    </row>
    <row r="95" spans="2:21" x14ac:dyDescent="0.35">
      <c r="B95" s="12" t="s">
        <v>3</v>
      </c>
      <c r="C95" s="13" t="s">
        <v>29</v>
      </c>
      <c r="D95" s="1" t="s">
        <v>92</v>
      </c>
      <c r="E95" s="1" t="s">
        <v>93</v>
      </c>
      <c r="F95" s="1" t="s">
        <v>94</v>
      </c>
      <c r="G95" s="1" t="s">
        <v>95</v>
      </c>
      <c r="H95" s="1" t="s">
        <v>100</v>
      </c>
      <c r="I95" s="1" t="s">
        <v>108</v>
      </c>
      <c r="J95" s="1" t="s">
        <v>111</v>
      </c>
      <c r="K95" s="59" t="s">
        <v>109</v>
      </c>
      <c r="L95" s="59" t="s">
        <v>112</v>
      </c>
      <c r="M95" s="1" t="s">
        <v>110</v>
      </c>
      <c r="N95" s="62" t="s">
        <v>113</v>
      </c>
      <c r="O95" s="68" t="s">
        <v>107</v>
      </c>
      <c r="P95" s="62" t="s">
        <v>114</v>
      </c>
      <c r="Q95" t="s">
        <v>115</v>
      </c>
      <c r="S95" s="57"/>
      <c r="T95" s="57"/>
      <c r="U95" s="57"/>
    </row>
    <row r="96" spans="2:21" x14ac:dyDescent="0.35">
      <c r="B96" s="1" t="s">
        <v>4</v>
      </c>
      <c r="C96" s="53">
        <f>C60*$K$61</f>
        <v>1573076551.2263455</v>
      </c>
      <c r="D96" s="53">
        <f t="shared" ref="D96:G96" si="67">D60*$K$61</f>
        <v>314615.31024526915</v>
      </c>
      <c r="E96" s="53">
        <f t="shared" si="67"/>
        <v>9363550900.1568184</v>
      </c>
      <c r="F96" s="53">
        <f t="shared" si="67"/>
        <v>224725221603.76364</v>
      </c>
      <c r="G96" s="53">
        <f t="shared" si="67"/>
        <v>4194870803.2702541</v>
      </c>
      <c r="H96" s="53">
        <f t="shared" si="27"/>
        <v>57202.783680958026</v>
      </c>
      <c r="I96" s="53">
        <f>C96/$B$45</f>
        <v>174786283.46959394</v>
      </c>
      <c r="J96" s="53">
        <f>I96/$K$64</f>
        <v>116.35431168466968</v>
      </c>
      <c r="K96" s="69">
        <f t="shared" si="29"/>
        <v>563826720.86965787</v>
      </c>
      <c r="L96" s="69">
        <f t="shared" si="30"/>
        <v>1163.5513272888309</v>
      </c>
      <c r="M96" s="69">
        <f t="shared" si="31"/>
        <v>119716632.51342051</v>
      </c>
      <c r="N96" s="69">
        <f t="shared" si="32"/>
        <v>23.934561666201937</v>
      </c>
      <c r="O96" s="69">
        <f t="shared" si="33"/>
        <v>40335296.18529091</v>
      </c>
      <c r="P96" s="69">
        <f>O96/$K$68</f>
        <v>471.11316894180959</v>
      </c>
      <c r="Q96" s="69">
        <f>O96/$K$67</f>
        <v>257.59196981397383</v>
      </c>
      <c r="R96" s="57"/>
      <c r="S96" s="57"/>
      <c r="T96" s="57"/>
      <c r="U96" s="57"/>
    </row>
    <row r="97" spans="2:21" x14ac:dyDescent="0.35">
      <c r="B97" s="1" t="s">
        <v>5</v>
      </c>
      <c r="C97" s="53">
        <f t="shared" ref="C97:G97" si="68">C61*$K$61</f>
        <v>5568617322.9727154</v>
      </c>
      <c r="D97" s="53">
        <f t="shared" si="68"/>
        <v>1113723.4645945432</v>
      </c>
      <c r="E97" s="53">
        <f t="shared" si="68"/>
        <v>33146531684.361401</v>
      </c>
      <c r="F97" s="53">
        <f t="shared" si="68"/>
        <v>795516760424.67358</v>
      </c>
      <c r="G97" s="53">
        <f t="shared" si="68"/>
        <v>14849646194.593908</v>
      </c>
      <c r="H97" s="53">
        <f t="shared" si="27"/>
        <v>202495.17538082603</v>
      </c>
      <c r="I97" s="53">
        <f>C97/$B$45</f>
        <v>618735258.10807943</v>
      </c>
      <c r="J97" s="53">
        <f t="shared" ref="J97:J102" si="69">I97/$K$64</f>
        <v>411.88881440302453</v>
      </c>
      <c r="K97" s="69">
        <f t="shared" si="29"/>
        <v>1995920187.4454176</v>
      </c>
      <c r="L97" s="69">
        <f t="shared" si="30"/>
        <v>4118.9172086108983</v>
      </c>
      <c r="M97" s="69">
        <f t="shared" si="31"/>
        <v>423791272.67676675</v>
      </c>
      <c r="N97" s="69">
        <f t="shared" si="32"/>
        <v>84.727227424670431</v>
      </c>
      <c r="O97" s="69">
        <f t="shared" si="33"/>
        <v>142785059.56340295</v>
      </c>
      <c r="P97" s="69">
        <f t="shared" ref="P97:P102" si="70">O97/$K$68</f>
        <v>1667.7185554668226</v>
      </c>
      <c r="Q97" s="69">
        <f t="shared" ref="Q97:Q102" si="71">O97/$K$67</f>
        <v>911.8635099140597</v>
      </c>
      <c r="R97" s="57"/>
      <c r="S97" s="57"/>
      <c r="T97" s="57"/>
      <c r="U97" s="57"/>
    </row>
    <row r="98" spans="2:21" x14ac:dyDescent="0.35">
      <c r="B98" s="1" t="s">
        <v>6</v>
      </c>
      <c r="C98" s="53">
        <f t="shared" ref="C98:G98" si="72">C62*$K$61</f>
        <v>7407369277.5053158</v>
      </c>
      <c r="D98" s="53">
        <f t="shared" si="72"/>
        <v>1481473.8555010629</v>
      </c>
      <c r="E98" s="53">
        <f t="shared" si="72"/>
        <v>44091483794.674492</v>
      </c>
      <c r="F98" s="53">
        <f t="shared" si="72"/>
        <v>1058195611072.1879</v>
      </c>
      <c r="G98" s="53">
        <f t="shared" si="72"/>
        <v>19752984740.014175</v>
      </c>
      <c r="H98" s="53">
        <f t="shared" si="27"/>
        <v>269358.88281837507</v>
      </c>
      <c r="I98" s="53">
        <f t="shared" ref="I98:I102" si="73">C98/$B$45</f>
        <v>823041030.83392394</v>
      </c>
      <c r="J98" s="53">
        <f t="shared" si="69"/>
        <v>547.89409517699085</v>
      </c>
      <c r="K98" s="69">
        <f t="shared" si="29"/>
        <v>2654971067.2062063</v>
      </c>
      <c r="L98" s="69">
        <f t="shared" si="30"/>
        <v>5478.9796134464632</v>
      </c>
      <c r="M98" s="69">
        <f t="shared" si="31"/>
        <v>563726733.44789314</v>
      </c>
      <c r="N98" s="69">
        <f t="shared" si="32"/>
        <v>112.70407445751229</v>
      </c>
      <c r="O98" s="69">
        <f t="shared" si="33"/>
        <v>189932545.57705939</v>
      </c>
      <c r="P98" s="69">
        <f t="shared" si="70"/>
        <v>2218.3975796519312</v>
      </c>
      <c r="Q98" s="69">
        <f t="shared" si="71"/>
        <v>1212.9599426325431</v>
      </c>
    </row>
    <row r="99" spans="2:21" x14ac:dyDescent="0.35">
      <c r="B99" s="1" t="s">
        <v>7</v>
      </c>
      <c r="C99" s="53">
        <f t="shared" ref="C99:G99" si="74">C63*$K$61</f>
        <v>5393071350.2732058</v>
      </c>
      <c r="D99" s="53">
        <f t="shared" si="74"/>
        <v>1078614.2700546412</v>
      </c>
      <c r="E99" s="53">
        <f t="shared" si="74"/>
        <v>32101615180.197651</v>
      </c>
      <c r="F99" s="53">
        <f t="shared" si="74"/>
        <v>770438764324.74365</v>
      </c>
      <c r="G99" s="53">
        <f t="shared" si="74"/>
        <v>14381523600.728548</v>
      </c>
      <c r="H99" s="53">
        <f t="shared" si="27"/>
        <v>196111.68546448022</v>
      </c>
      <c r="I99" s="53">
        <f t="shared" si="73"/>
        <v>599230150.03035617</v>
      </c>
      <c r="J99" s="53">
        <f t="shared" si="69"/>
        <v>398.90436631208848</v>
      </c>
      <c r="K99" s="69">
        <f t="shared" si="29"/>
        <v>1933000483.9688909</v>
      </c>
      <c r="L99" s="69">
        <f t="shared" si="30"/>
        <v>3989.0718114651031</v>
      </c>
      <c r="M99" s="69">
        <f t="shared" si="31"/>
        <v>410431609.609833</v>
      </c>
      <c r="N99" s="69">
        <f t="shared" si="32"/>
        <v>82.056272914825186</v>
      </c>
      <c r="O99" s="69">
        <f t="shared" si="33"/>
        <v>138283880.77623606</v>
      </c>
      <c r="P99" s="69">
        <f t="shared" si="70"/>
        <v>1615.1451321143704</v>
      </c>
      <c r="Q99" s="69">
        <f t="shared" si="71"/>
        <v>883.11778049273914</v>
      </c>
    </row>
    <row r="100" spans="2:21" x14ac:dyDescent="0.35">
      <c r="B100" s="51" t="s">
        <v>8</v>
      </c>
      <c r="C100" s="54">
        <f t="shared" ref="C100:G100" si="75">C64*$K$61</f>
        <v>4717127385.134264</v>
      </c>
      <c r="D100" s="54">
        <f t="shared" si="75"/>
        <v>943425.47702685278</v>
      </c>
      <c r="E100" s="54">
        <f t="shared" si="75"/>
        <v>28078139197.22776</v>
      </c>
      <c r="F100" s="54">
        <f t="shared" si="75"/>
        <v>673875340733.46619</v>
      </c>
      <c r="G100" s="54">
        <f t="shared" si="75"/>
        <v>12579006360.358038</v>
      </c>
      <c r="H100" s="54">
        <f t="shared" si="27"/>
        <v>171531.90491397324</v>
      </c>
      <c r="I100" s="53">
        <f t="shared" si="73"/>
        <v>524125265.01491821</v>
      </c>
      <c r="J100" s="53">
        <f t="shared" si="69"/>
        <v>348.90743848309347</v>
      </c>
      <c r="K100" s="69">
        <f t="shared" si="29"/>
        <v>1690726661.3384459</v>
      </c>
      <c r="L100" s="69">
        <f t="shared" si="30"/>
        <v>3489.0990051848548</v>
      </c>
      <c r="M100" s="69">
        <f t="shared" si="31"/>
        <v>358989907.54446453</v>
      </c>
      <c r="N100" s="69">
        <f t="shared" si="32"/>
        <v>71.771698712824275</v>
      </c>
      <c r="O100" s="69">
        <f t="shared" si="33"/>
        <v>120951984.23421189</v>
      </c>
      <c r="P100" s="69">
        <f t="shared" si="70"/>
        <v>1412.7099084785953</v>
      </c>
      <c r="Q100" s="69">
        <f t="shared" si="71"/>
        <v>772.43166205287764</v>
      </c>
    </row>
    <row r="101" spans="2:21" x14ac:dyDescent="0.35">
      <c r="B101" s="52" t="s">
        <v>9</v>
      </c>
      <c r="C101" s="55">
        <f t="shared" ref="C101:G101" si="76">C65*$K$61</f>
        <v>644452020.99160886</v>
      </c>
      <c r="D101" s="55">
        <f>D65*$K$61</f>
        <v>128890.40419832176</v>
      </c>
      <c r="E101" s="55">
        <f t="shared" si="76"/>
        <v>3836023934.4738617</v>
      </c>
      <c r="F101" s="55">
        <f t="shared" si="76"/>
        <v>92064574427.372696</v>
      </c>
      <c r="G101" s="55">
        <f t="shared" si="76"/>
        <v>1718538722.6442902</v>
      </c>
      <c r="H101" s="55">
        <f t="shared" si="27"/>
        <v>23434.61894514941</v>
      </c>
      <c r="I101" s="53">
        <f t="shared" si="73"/>
        <v>71605780.110178769</v>
      </c>
      <c r="J101" s="53">
        <f t="shared" si="69"/>
        <v>47.667592055717833</v>
      </c>
      <c r="K101" s="69">
        <f t="shared" si="29"/>
        <v>230986387.45218956</v>
      </c>
      <c r="L101" s="69">
        <f t="shared" si="30"/>
        <v>476.67928417989731</v>
      </c>
      <c r="M101" s="69">
        <f t="shared" si="31"/>
        <v>49045054.869985454</v>
      </c>
      <c r="N101" s="69">
        <f t="shared" si="32"/>
        <v>9.8054202291091901</v>
      </c>
      <c r="O101" s="69">
        <f t="shared" si="33"/>
        <v>16524410.794656638</v>
      </c>
      <c r="P101" s="69">
        <f t="shared" si="70"/>
        <v>193.00385197632056</v>
      </c>
      <c r="Q101" s="69">
        <f t="shared" si="71"/>
        <v>105.52929888148773</v>
      </c>
    </row>
    <row r="102" spans="2:21" x14ac:dyDescent="0.35">
      <c r="B102" s="50" t="s">
        <v>23</v>
      </c>
      <c r="C102" s="56">
        <f>C66*$K$61</f>
        <v>4217285651.3505754</v>
      </c>
      <c r="D102" s="56">
        <f>D66*$K$61</f>
        <v>843457.13027011522</v>
      </c>
      <c r="E102" s="56">
        <f t="shared" ref="E102:G102" si="77">E66*$K$61</f>
        <v>25102890781.848663</v>
      </c>
      <c r="F102" s="56">
        <f t="shared" si="77"/>
        <v>602469378764.36792</v>
      </c>
      <c r="G102" s="56">
        <f t="shared" si="77"/>
        <v>11246095070.268202</v>
      </c>
      <c r="H102" s="56">
        <f>D102/5.5</f>
        <v>153355.84186729367</v>
      </c>
      <c r="I102" s="56">
        <f t="shared" si="73"/>
        <v>468587294.59450841</v>
      </c>
      <c r="J102" s="56">
        <f t="shared" si="69"/>
        <v>311.93610301926412</v>
      </c>
      <c r="K102" s="70">
        <f t="shared" si="29"/>
        <v>1511571918.0468013</v>
      </c>
      <c r="L102" s="70">
        <f t="shared" si="30"/>
        <v>3119.3830416960077</v>
      </c>
      <c r="M102" s="70">
        <f t="shared" si="31"/>
        <v>320950201.77706051</v>
      </c>
      <c r="N102" s="70">
        <f t="shared" si="32"/>
        <v>64.166542567523877</v>
      </c>
      <c r="O102" s="69">
        <f t="shared" si="33"/>
        <v>108135529.52180962</v>
      </c>
      <c r="P102" s="69">
        <f>O102/$K$68</f>
        <v>1263.0146994383081</v>
      </c>
      <c r="Q102" s="69">
        <f t="shared" si="71"/>
        <v>690.58236063128004</v>
      </c>
    </row>
    <row r="103" spans="2:21" x14ac:dyDescent="0.35">
      <c r="K103" s="57"/>
      <c r="L103" s="57"/>
    </row>
  </sheetData>
  <mergeCells count="4">
    <mergeCell ref="B50:D50"/>
    <mergeCell ref="B38:D38"/>
    <mergeCell ref="B40:D40"/>
    <mergeCell ref="B43:D43"/>
  </mergeCells>
  <hyperlinks>
    <hyperlink ref="I64" r:id="rId1" xr:uid="{00000000-0004-0000-0200-000000000000}"/>
    <hyperlink ref="I67" r:id="rId2" location=":~:text=There%20are%20a%20total%20of,account%20for%20the%20remaining%2054.12%25." xr:uid="{7D0C96A8-0C8A-4BF8-806C-E90E14C96800}"/>
    <hyperlink ref="I68" r:id="rId3" xr:uid="{89E2FB6A-7941-4B5E-88C7-6F714CD64525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Measurement data</vt:lpstr>
      <vt:lpstr>% increase</vt:lpstr>
      <vt:lpstr>Other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ALARCOS</dc:creator>
  <cp:lastModifiedBy>Eli</cp:lastModifiedBy>
  <dcterms:created xsi:type="dcterms:W3CDTF">2022-11-03T11:22:47Z</dcterms:created>
  <dcterms:modified xsi:type="dcterms:W3CDTF">2023-05-01T19:29:44Z</dcterms:modified>
</cp:coreProperties>
</file>