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GitFolders\CGE-Julia-EL\"/>
    </mc:Choice>
  </mc:AlternateContent>
  <xr:revisionPtr revIDLastSave="0" documentId="13_ncr:1_{325DA629-7886-455D-B4F8-5CF4278898B6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AMdataPlus" sheetId="1" r:id="rId1"/>
    <sheet name="Abs diff" sheetId="5" r:id="rId2"/>
    <sheet name="Perc diff" sheetId="4" r:id="rId3"/>
    <sheet name="SAMdataPlus Original" sheetId="3" r:id="rId4"/>
    <sheet name="Notes and Codes" sheetId="2" r:id="rId5"/>
  </sheets>
  <calcPr calcId="181029"/>
</workbook>
</file>

<file path=xl/calcChain.xml><?xml version="1.0" encoding="utf-8"?>
<calcChain xmlns="http://schemas.openxmlformats.org/spreadsheetml/2006/main">
  <c r="Y24" i="1" l="1"/>
  <c r="O27" i="3" l="1"/>
  <c r="O18" i="3"/>
  <c r="R24" i="1"/>
  <c r="R17" i="1" l="1"/>
  <c r="Y17" i="1"/>
  <c r="Y24" i="3"/>
  <c r="X44" i="1"/>
  <c r="X45" i="1" s="1"/>
  <c r="M17" i="1"/>
  <c r="R44" i="1"/>
  <c r="R45" i="1" s="1"/>
  <c r="R5" i="1" s="1"/>
  <c r="R5" i="5" s="1"/>
  <c r="Q44" i="1"/>
  <c r="Q45" i="1" s="1"/>
  <c r="L17" i="1" s="1"/>
  <c r="L17" i="4" s="1"/>
  <c r="G12" i="1"/>
  <c r="F12" i="1"/>
  <c r="E12" i="1"/>
  <c r="D12" i="1"/>
  <c r="C12" i="1"/>
  <c r="B12" i="1"/>
  <c r="B12" i="5" s="1"/>
  <c r="L20" i="1"/>
  <c r="L19" i="1"/>
  <c r="L19" i="5" s="1"/>
  <c r="L16" i="1"/>
  <c r="L16" i="4" s="1"/>
  <c r="L15" i="1"/>
  <c r="L15" i="5" s="1"/>
  <c r="L7" i="1"/>
  <c r="L6" i="1"/>
  <c r="L6" i="5" s="1"/>
  <c r="L5" i="1"/>
  <c r="L5" i="5" s="1"/>
  <c r="L4" i="1"/>
  <c r="L4" i="5" s="1"/>
  <c r="L3" i="1"/>
  <c r="L2" i="1"/>
  <c r="L2" i="5" s="1"/>
  <c r="K20" i="1"/>
  <c r="K20" i="5" s="1"/>
  <c r="K19" i="1"/>
  <c r="K19" i="5" s="1"/>
  <c r="K16" i="1"/>
  <c r="K16" i="5" s="1"/>
  <c r="K15" i="1"/>
  <c r="K15" i="5" s="1"/>
  <c r="K7" i="1"/>
  <c r="K6" i="1"/>
  <c r="K6" i="5" s="1"/>
  <c r="K5" i="1"/>
  <c r="K4" i="1"/>
  <c r="K4" i="4" s="1"/>
  <c r="K3" i="1"/>
  <c r="K2" i="1"/>
  <c r="K2" i="4" s="1"/>
  <c r="G11" i="1"/>
  <c r="G11" i="5" s="1"/>
  <c r="F11" i="1"/>
  <c r="E11" i="1"/>
  <c r="E11" i="5" s="1"/>
  <c r="D11" i="1"/>
  <c r="D11" i="5" s="1"/>
  <c r="C11" i="1"/>
  <c r="B11" i="1"/>
  <c r="G10" i="1"/>
  <c r="F10" i="1"/>
  <c r="E10" i="1"/>
  <c r="D10" i="1"/>
  <c r="C10" i="1"/>
  <c r="B10" i="1"/>
  <c r="B10" i="5" s="1"/>
  <c r="J20" i="1"/>
  <c r="J19" i="1"/>
  <c r="J19" i="4" s="1"/>
  <c r="J16" i="1"/>
  <c r="J16" i="4" s="1"/>
  <c r="J15" i="1"/>
  <c r="J7" i="1"/>
  <c r="J7" i="5" s="1"/>
  <c r="J6" i="1"/>
  <c r="J6" i="5" s="1"/>
  <c r="J5" i="1"/>
  <c r="J5" i="5" s="1"/>
  <c r="J4" i="1"/>
  <c r="J4" i="4" s="1"/>
  <c r="J3" i="1"/>
  <c r="J2" i="1"/>
  <c r="J2" i="5" s="1"/>
  <c r="G9" i="1"/>
  <c r="F9" i="1"/>
  <c r="F9" i="4" s="1"/>
  <c r="E9" i="1"/>
  <c r="E9" i="5" s="1"/>
  <c r="D9" i="1"/>
  <c r="D9" i="5" s="1"/>
  <c r="C9" i="1"/>
  <c r="B9" i="1"/>
  <c r="B9" i="5" s="1"/>
  <c r="I20" i="1"/>
  <c r="I20" i="4" s="1"/>
  <c r="I19" i="1"/>
  <c r="I16" i="1"/>
  <c r="I15" i="1"/>
  <c r="I7" i="1"/>
  <c r="I6" i="1"/>
  <c r="I6" i="5" s="1"/>
  <c r="I5" i="1"/>
  <c r="I5" i="5" s="1"/>
  <c r="I4" i="1"/>
  <c r="I4" i="5" s="1"/>
  <c r="I3" i="1"/>
  <c r="I2" i="1"/>
  <c r="I2" i="5" s="1"/>
  <c r="G8" i="1"/>
  <c r="F8" i="1"/>
  <c r="F8" i="5" s="1"/>
  <c r="E8" i="1"/>
  <c r="E8" i="5" s="1"/>
  <c r="D8" i="1"/>
  <c r="D8" i="5" s="1"/>
  <c r="C8" i="1"/>
  <c r="B8" i="1"/>
  <c r="B8" i="5" s="1"/>
  <c r="H20" i="1"/>
  <c r="H20" i="4" s="1"/>
  <c r="H19" i="1"/>
  <c r="H16" i="1"/>
  <c r="H15" i="1"/>
  <c r="H15" i="5" s="1"/>
  <c r="H7" i="1"/>
  <c r="H6" i="1"/>
  <c r="H6" i="5" s="1"/>
  <c r="H5" i="1"/>
  <c r="H5" i="5" s="1"/>
  <c r="H4" i="1"/>
  <c r="H4" i="4" s="1"/>
  <c r="H3" i="1"/>
  <c r="H2" i="1"/>
  <c r="H2" i="5" s="1"/>
  <c r="J45" i="1"/>
  <c r="I45" i="1"/>
  <c r="M44" i="1"/>
  <c r="M45" i="1" s="1"/>
  <c r="L44" i="1"/>
  <c r="L45" i="1" s="1"/>
  <c r="K44" i="1"/>
  <c r="K45" i="1" s="1"/>
  <c r="J44" i="1"/>
  <c r="I44" i="1"/>
  <c r="H44" i="1"/>
  <c r="H45" i="1" s="1"/>
  <c r="G23" i="1"/>
  <c r="G23" i="5" s="1"/>
  <c r="Y6" i="1"/>
  <c r="X6" i="1"/>
  <c r="X6" i="5" s="1"/>
  <c r="F25" i="1"/>
  <c r="F25" i="5" s="1"/>
  <c r="F23" i="1"/>
  <c r="F21" i="1"/>
  <c r="F21" i="5" s="1"/>
  <c r="F11" i="5"/>
  <c r="F10" i="4"/>
  <c r="Y5" i="1"/>
  <c r="Y5" i="5" s="1"/>
  <c r="X5" i="1"/>
  <c r="K5" i="5"/>
  <c r="E25" i="1"/>
  <c r="E25" i="4" s="1"/>
  <c r="E23" i="1"/>
  <c r="E23" i="5" s="1"/>
  <c r="E21" i="1"/>
  <c r="E21" i="5" s="1"/>
  <c r="E12" i="5"/>
  <c r="E10" i="5"/>
  <c r="C44" i="1"/>
  <c r="Y4" i="1"/>
  <c r="X4" i="1"/>
  <c r="X4" i="5" s="1"/>
  <c r="H4" i="5"/>
  <c r="D25" i="1"/>
  <c r="D25" i="5" s="1"/>
  <c r="D23" i="1"/>
  <c r="D23" i="5" s="1"/>
  <c r="D21" i="1"/>
  <c r="D12" i="5"/>
  <c r="D10" i="5"/>
  <c r="Y2" i="1"/>
  <c r="Y2" i="5" s="1"/>
  <c r="X2" i="1"/>
  <c r="B25" i="1"/>
  <c r="B25" i="4" s="1"/>
  <c r="B23" i="1"/>
  <c r="B23" i="5" s="1"/>
  <c r="B21" i="1"/>
  <c r="B11" i="5"/>
  <c r="V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E25" i="5"/>
  <c r="X24" i="5"/>
  <c r="W24" i="5"/>
  <c r="V24" i="5"/>
  <c r="U24" i="5"/>
  <c r="T24" i="5"/>
  <c r="S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F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D21" i="5"/>
  <c r="B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J20" i="5"/>
  <c r="H20" i="5"/>
  <c r="G20" i="5"/>
  <c r="F20" i="5"/>
  <c r="E20" i="5"/>
  <c r="D20" i="5"/>
  <c r="C20" i="5"/>
  <c r="B20" i="5"/>
  <c r="Y19" i="5"/>
  <c r="X19" i="5"/>
  <c r="W19" i="5"/>
  <c r="V19" i="5"/>
  <c r="U19" i="5"/>
  <c r="T19" i="5"/>
  <c r="S19" i="5"/>
  <c r="R19" i="5"/>
  <c r="Q19" i="5"/>
  <c r="P19" i="5"/>
  <c r="O19" i="5"/>
  <c r="N19" i="5"/>
  <c r="I19" i="5"/>
  <c r="H19" i="5"/>
  <c r="G19" i="5"/>
  <c r="F19" i="5"/>
  <c r="E19" i="5"/>
  <c r="D19" i="5"/>
  <c r="C19" i="5"/>
  <c r="B19" i="5"/>
  <c r="Y18" i="5"/>
  <c r="X18" i="5"/>
  <c r="W18" i="5"/>
  <c r="V18" i="5"/>
  <c r="U18" i="5"/>
  <c r="T18" i="5"/>
  <c r="S18" i="5"/>
  <c r="R18" i="5"/>
  <c r="Q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Y17" i="5"/>
  <c r="X17" i="5"/>
  <c r="V17" i="5"/>
  <c r="R17" i="5"/>
  <c r="Q17" i="5"/>
  <c r="P17" i="5"/>
  <c r="O17" i="5"/>
  <c r="N17" i="5"/>
  <c r="G17" i="5"/>
  <c r="F17" i="5"/>
  <c r="E17" i="5"/>
  <c r="D17" i="5"/>
  <c r="C17" i="5"/>
  <c r="B17" i="5"/>
  <c r="Y16" i="5"/>
  <c r="X16" i="5"/>
  <c r="W16" i="5"/>
  <c r="V16" i="5"/>
  <c r="U16" i="5"/>
  <c r="T16" i="5"/>
  <c r="S16" i="5"/>
  <c r="R16" i="5"/>
  <c r="P16" i="5"/>
  <c r="O16" i="5"/>
  <c r="N16" i="5"/>
  <c r="L16" i="5"/>
  <c r="I16" i="5"/>
  <c r="H16" i="5"/>
  <c r="G16" i="5"/>
  <c r="F16" i="5"/>
  <c r="E16" i="5"/>
  <c r="D16" i="5"/>
  <c r="C16" i="5"/>
  <c r="B16" i="5"/>
  <c r="Y15" i="5"/>
  <c r="X15" i="5"/>
  <c r="W15" i="5"/>
  <c r="V15" i="5"/>
  <c r="U15" i="5"/>
  <c r="T15" i="5"/>
  <c r="S15" i="5"/>
  <c r="R15" i="5"/>
  <c r="P15" i="5"/>
  <c r="O15" i="5"/>
  <c r="N15" i="5"/>
  <c r="J15" i="5"/>
  <c r="I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F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F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W7" i="5"/>
  <c r="V7" i="5"/>
  <c r="U7" i="5"/>
  <c r="T7" i="5"/>
  <c r="S7" i="5"/>
  <c r="P7" i="5"/>
  <c r="O7" i="5"/>
  <c r="N7" i="5"/>
  <c r="G7" i="5"/>
  <c r="F7" i="5"/>
  <c r="E7" i="5"/>
  <c r="D7" i="5"/>
  <c r="C7" i="5"/>
  <c r="B7" i="5"/>
  <c r="Y6" i="5"/>
  <c r="W6" i="5"/>
  <c r="V6" i="5"/>
  <c r="U6" i="5"/>
  <c r="T6" i="5"/>
  <c r="S6" i="5"/>
  <c r="P6" i="5"/>
  <c r="O6" i="5"/>
  <c r="N6" i="5"/>
  <c r="G6" i="5"/>
  <c r="F6" i="5"/>
  <c r="E6" i="5"/>
  <c r="D6" i="5"/>
  <c r="C6" i="5"/>
  <c r="B6" i="5"/>
  <c r="X5" i="5"/>
  <c r="W5" i="5"/>
  <c r="V5" i="5"/>
  <c r="U5" i="5"/>
  <c r="T5" i="5"/>
  <c r="S5" i="5"/>
  <c r="P5" i="5"/>
  <c r="O5" i="5"/>
  <c r="N5" i="5"/>
  <c r="G5" i="5"/>
  <c r="F5" i="5"/>
  <c r="E5" i="5"/>
  <c r="D5" i="5"/>
  <c r="C5" i="5"/>
  <c r="B5" i="5"/>
  <c r="Y4" i="5"/>
  <c r="W4" i="5"/>
  <c r="V4" i="5"/>
  <c r="U4" i="5"/>
  <c r="T4" i="5"/>
  <c r="S4" i="5"/>
  <c r="P4" i="5"/>
  <c r="O4" i="5"/>
  <c r="N4" i="5"/>
  <c r="G4" i="5"/>
  <c r="F4" i="5"/>
  <c r="E4" i="5"/>
  <c r="D4" i="5"/>
  <c r="C4" i="5"/>
  <c r="B4" i="5"/>
  <c r="W3" i="5"/>
  <c r="V3" i="5"/>
  <c r="U3" i="5"/>
  <c r="T3" i="5"/>
  <c r="S3" i="5"/>
  <c r="P3" i="5"/>
  <c r="O3" i="5"/>
  <c r="N3" i="5"/>
  <c r="G3" i="5"/>
  <c r="F3" i="5"/>
  <c r="E3" i="5"/>
  <c r="D3" i="5"/>
  <c r="C3" i="5"/>
  <c r="B3" i="5"/>
  <c r="X2" i="5"/>
  <c r="W2" i="5"/>
  <c r="V2" i="5"/>
  <c r="U2" i="5"/>
  <c r="T2" i="5"/>
  <c r="S2" i="5"/>
  <c r="P2" i="5"/>
  <c r="O2" i="5"/>
  <c r="N2" i="5"/>
  <c r="G2" i="5"/>
  <c r="F2" i="5"/>
  <c r="E2" i="5"/>
  <c r="D2" i="5"/>
  <c r="C2" i="5"/>
  <c r="B2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V26" i="4"/>
  <c r="N26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F25" i="4"/>
  <c r="D25" i="4"/>
  <c r="X24" i="4"/>
  <c r="W24" i="4"/>
  <c r="V24" i="4"/>
  <c r="U24" i="4"/>
  <c r="T24" i="4"/>
  <c r="S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F23" i="4"/>
  <c r="E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F21" i="4"/>
  <c r="E21" i="4"/>
  <c r="D21" i="4"/>
  <c r="B21" i="4"/>
  <c r="Y20" i="4"/>
  <c r="X20" i="4"/>
  <c r="W20" i="4"/>
  <c r="V20" i="4"/>
  <c r="U20" i="4"/>
  <c r="T20" i="4"/>
  <c r="S20" i="4"/>
  <c r="R20" i="4"/>
  <c r="Q20" i="4"/>
  <c r="P20" i="4"/>
  <c r="O20" i="4"/>
  <c r="N20" i="4"/>
  <c r="L20" i="4"/>
  <c r="K20" i="4"/>
  <c r="J20" i="4"/>
  <c r="G20" i="4"/>
  <c r="F20" i="4"/>
  <c r="E20" i="4"/>
  <c r="D20" i="4"/>
  <c r="C20" i="4"/>
  <c r="B20" i="4"/>
  <c r="Y19" i="4"/>
  <c r="X19" i="4"/>
  <c r="W19" i="4"/>
  <c r="V19" i="4"/>
  <c r="U19" i="4"/>
  <c r="T19" i="4"/>
  <c r="S19" i="4"/>
  <c r="R19" i="4"/>
  <c r="Q19" i="4"/>
  <c r="P19" i="4"/>
  <c r="O19" i="4"/>
  <c r="N19" i="4"/>
  <c r="L19" i="4"/>
  <c r="I19" i="4"/>
  <c r="H19" i="4"/>
  <c r="G19" i="4"/>
  <c r="F19" i="4"/>
  <c r="E19" i="4"/>
  <c r="D19" i="4"/>
  <c r="C19" i="4"/>
  <c r="B19" i="4"/>
  <c r="Y18" i="4"/>
  <c r="X18" i="4"/>
  <c r="W18" i="4"/>
  <c r="V18" i="4"/>
  <c r="U18" i="4"/>
  <c r="T18" i="4"/>
  <c r="S18" i="4"/>
  <c r="R18" i="4"/>
  <c r="Q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Y17" i="4"/>
  <c r="X17" i="4"/>
  <c r="V17" i="4"/>
  <c r="R17" i="4"/>
  <c r="Q17" i="4"/>
  <c r="P17" i="4"/>
  <c r="O17" i="4"/>
  <c r="N17" i="4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P16" i="4"/>
  <c r="O16" i="4"/>
  <c r="N16" i="4"/>
  <c r="K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P15" i="4"/>
  <c r="O15" i="4"/>
  <c r="N15" i="4"/>
  <c r="L15" i="4"/>
  <c r="K15" i="4"/>
  <c r="J15" i="4"/>
  <c r="I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F12" i="4"/>
  <c r="E12" i="4"/>
  <c r="D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F11" i="4"/>
  <c r="E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E10" i="4"/>
  <c r="D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E9" i="4"/>
  <c r="D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E8" i="4"/>
  <c r="W7" i="4"/>
  <c r="V7" i="4"/>
  <c r="U7" i="4"/>
  <c r="T7" i="4"/>
  <c r="S7" i="4"/>
  <c r="P7" i="4"/>
  <c r="O7" i="4"/>
  <c r="N7" i="4"/>
  <c r="G7" i="4"/>
  <c r="F7" i="4"/>
  <c r="E7" i="4"/>
  <c r="D7" i="4"/>
  <c r="C7" i="4"/>
  <c r="B7" i="4"/>
  <c r="Y6" i="4"/>
  <c r="W6" i="4"/>
  <c r="V6" i="4"/>
  <c r="U6" i="4"/>
  <c r="T6" i="4"/>
  <c r="S6" i="4"/>
  <c r="P6" i="4"/>
  <c r="O6" i="4"/>
  <c r="N6" i="4"/>
  <c r="L6" i="4"/>
  <c r="J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P5" i="4"/>
  <c r="O5" i="4"/>
  <c r="N5" i="4"/>
  <c r="J5" i="4"/>
  <c r="H5" i="4"/>
  <c r="G5" i="4"/>
  <c r="F5" i="4"/>
  <c r="E5" i="4"/>
  <c r="D5" i="4"/>
  <c r="C5" i="4"/>
  <c r="B5" i="4"/>
  <c r="Y4" i="4"/>
  <c r="W4" i="4"/>
  <c r="V4" i="4"/>
  <c r="U4" i="4"/>
  <c r="T4" i="4"/>
  <c r="S4" i="4"/>
  <c r="P4" i="4"/>
  <c r="O4" i="4"/>
  <c r="N4" i="4"/>
  <c r="I4" i="4"/>
  <c r="G4" i="4"/>
  <c r="F4" i="4"/>
  <c r="E4" i="4"/>
  <c r="D4" i="4"/>
  <c r="C4" i="4"/>
  <c r="B4" i="4"/>
  <c r="W3" i="4"/>
  <c r="V3" i="4"/>
  <c r="U3" i="4"/>
  <c r="T3" i="4"/>
  <c r="S3" i="4"/>
  <c r="P3" i="4"/>
  <c r="O3" i="4"/>
  <c r="N3" i="4"/>
  <c r="G3" i="4"/>
  <c r="F3" i="4"/>
  <c r="E3" i="4"/>
  <c r="D3" i="4"/>
  <c r="C3" i="4"/>
  <c r="B3" i="4"/>
  <c r="Y2" i="4"/>
  <c r="X2" i="4"/>
  <c r="W2" i="4"/>
  <c r="V2" i="4"/>
  <c r="U2" i="4"/>
  <c r="T2" i="4"/>
  <c r="S2" i="4"/>
  <c r="P2" i="4"/>
  <c r="O2" i="4"/>
  <c r="N2" i="4"/>
  <c r="L2" i="4"/>
  <c r="I2" i="4"/>
  <c r="G2" i="4"/>
  <c r="F2" i="4"/>
  <c r="E2" i="4"/>
  <c r="D2" i="4"/>
  <c r="C2" i="4"/>
  <c r="B2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D45" i="1"/>
  <c r="G44" i="1"/>
  <c r="G45" i="1" s="1"/>
  <c r="Y7" i="1" s="1"/>
  <c r="F44" i="1"/>
  <c r="F45" i="1" s="1"/>
  <c r="E44" i="1"/>
  <c r="E45" i="1" s="1"/>
  <c r="D44" i="1"/>
  <c r="C45" i="1"/>
  <c r="Y3" i="1" s="1"/>
  <c r="B44" i="1"/>
  <c r="B45" i="1" s="1"/>
  <c r="X41" i="1"/>
  <c r="X42" i="1" s="1"/>
  <c r="R41" i="1"/>
  <c r="R42" i="1" s="1"/>
  <c r="Q41" i="1"/>
  <c r="Q42" i="1"/>
  <c r="L42" i="1"/>
  <c r="J42" i="1"/>
  <c r="M41" i="1"/>
  <c r="M42" i="1" s="1"/>
  <c r="L41" i="1"/>
  <c r="K41" i="1"/>
  <c r="K42" i="1" s="1"/>
  <c r="J41" i="1"/>
  <c r="I41" i="1"/>
  <c r="I42" i="1" s="1"/>
  <c r="H41" i="1"/>
  <c r="H42" i="1"/>
  <c r="C41" i="1"/>
  <c r="G41" i="1"/>
  <c r="G42" i="1" s="1"/>
  <c r="F41" i="1"/>
  <c r="F42" i="1" s="1"/>
  <c r="E41" i="1"/>
  <c r="E42" i="1" s="1"/>
  <c r="D41" i="1"/>
  <c r="D42" i="1" s="1"/>
  <c r="C42" i="1"/>
  <c r="B41" i="1"/>
  <c r="B42" i="1" s="1"/>
  <c r="R38" i="1"/>
  <c r="R39" i="1"/>
  <c r="Q38" i="1"/>
  <c r="Q39" i="1" s="1"/>
  <c r="X38" i="1"/>
  <c r="X39" i="1" s="1"/>
  <c r="L38" i="1"/>
  <c r="L39" i="1" s="1"/>
  <c r="J38" i="1"/>
  <c r="J39" i="1"/>
  <c r="M38" i="1"/>
  <c r="K38" i="1"/>
  <c r="I38" i="1"/>
  <c r="H38" i="1"/>
  <c r="H39" i="1" s="1"/>
  <c r="M39" i="1"/>
  <c r="I39" i="1"/>
  <c r="K39" i="1"/>
  <c r="C38" i="1"/>
  <c r="B38" i="1"/>
  <c r="B39" i="1" s="1"/>
  <c r="G38" i="1"/>
  <c r="G39" i="1" s="1"/>
  <c r="F38" i="1"/>
  <c r="F39" i="1" s="1"/>
  <c r="E38" i="1"/>
  <c r="E39" i="1" s="1"/>
  <c r="D38" i="1"/>
  <c r="D39" i="1" s="1"/>
  <c r="C39" i="1"/>
  <c r="X35" i="1"/>
  <c r="X36" i="1" s="1"/>
  <c r="R35" i="1"/>
  <c r="R36" i="1" s="1"/>
  <c r="M35" i="1"/>
  <c r="K35" i="1"/>
  <c r="K36" i="1" s="1"/>
  <c r="I35" i="1"/>
  <c r="H35" i="1"/>
  <c r="H36" i="1" s="1"/>
  <c r="F35" i="1"/>
  <c r="F36" i="1" s="1"/>
  <c r="E35" i="1"/>
  <c r="C35" i="1"/>
  <c r="B35" i="1"/>
  <c r="B36" i="1" s="1"/>
  <c r="L35" i="1"/>
  <c r="L36" i="1" s="1"/>
  <c r="J35" i="1"/>
  <c r="J36" i="1" s="1"/>
  <c r="I36" i="1"/>
  <c r="G36" i="1"/>
  <c r="G35" i="1"/>
  <c r="D35" i="1"/>
  <c r="D36" i="1" s="1"/>
  <c r="C36" i="1"/>
  <c r="O36" i="1"/>
  <c r="E36" i="1"/>
  <c r="Y35" i="1"/>
  <c r="Y36" i="1" s="1"/>
  <c r="Q35" i="1"/>
  <c r="Q36" i="1" s="1"/>
  <c r="P35" i="1"/>
  <c r="P36" i="1" s="1"/>
  <c r="O35" i="1"/>
  <c r="N35" i="1"/>
  <c r="N36" i="1" s="1"/>
  <c r="M36" i="1"/>
  <c r="X32" i="1"/>
  <c r="X33" i="1" s="1"/>
  <c r="R32" i="1"/>
  <c r="R33" i="1"/>
  <c r="Q32" i="1"/>
  <c r="Q33" i="1" s="1"/>
  <c r="M32" i="1"/>
  <c r="L32" i="1"/>
  <c r="L33" i="1" s="1"/>
  <c r="K32" i="1"/>
  <c r="K33" i="1"/>
  <c r="J32" i="1"/>
  <c r="J33" i="1" s="1"/>
  <c r="H32" i="1"/>
  <c r="H33" i="1" s="1"/>
  <c r="I32" i="1"/>
  <c r="I33" i="1" s="1"/>
  <c r="I29" i="1"/>
  <c r="G32" i="1"/>
  <c r="E32" i="1"/>
  <c r="E33" i="1" s="1"/>
  <c r="D32" i="1"/>
  <c r="C32" i="1"/>
  <c r="C33" i="1"/>
  <c r="N32" i="1"/>
  <c r="N33" i="1" s="1"/>
  <c r="M33" i="1"/>
  <c r="G33" i="1"/>
  <c r="F32" i="1"/>
  <c r="F33" i="1" s="1"/>
  <c r="D33" i="1"/>
  <c r="B33" i="1"/>
  <c r="B32" i="1"/>
  <c r="B29" i="1"/>
  <c r="B30" i="1" s="1"/>
  <c r="C29" i="1"/>
  <c r="C30" i="1" s="1"/>
  <c r="D29" i="1"/>
  <c r="E29" i="1"/>
  <c r="F29" i="1"/>
  <c r="F30" i="1" s="1"/>
  <c r="G29" i="1"/>
  <c r="G30" i="1" s="1"/>
  <c r="H29" i="1"/>
  <c r="H30" i="1" s="1"/>
  <c r="I30" i="1"/>
  <c r="J29" i="1"/>
  <c r="J30" i="1" s="1"/>
  <c r="K29" i="1"/>
  <c r="K30" i="1" s="1"/>
  <c r="L29" i="1"/>
  <c r="L30" i="1" s="1"/>
  <c r="M29" i="1"/>
  <c r="N29" i="1"/>
  <c r="N30" i="1" s="1"/>
  <c r="O29" i="1"/>
  <c r="P29" i="1"/>
  <c r="Q29" i="1"/>
  <c r="Q30" i="1" s="1"/>
  <c r="R29" i="1"/>
  <c r="R30" i="1" s="1"/>
  <c r="S29" i="1"/>
  <c r="T29" i="1"/>
  <c r="T30" i="1" s="1"/>
  <c r="U29" i="1"/>
  <c r="U30" i="1" s="1"/>
  <c r="V29" i="1"/>
  <c r="V30" i="1" s="1"/>
  <c r="W29" i="1"/>
  <c r="X29" i="1"/>
  <c r="Y29" i="1"/>
  <c r="S30" i="1"/>
  <c r="R22" i="1"/>
  <c r="Q18" i="1"/>
  <c r="W30" i="1"/>
  <c r="O30" i="1"/>
  <c r="Y30" i="1"/>
  <c r="X30" i="1"/>
  <c r="P30" i="1"/>
  <c r="M30" i="1"/>
  <c r="E30" i="1"/>
  <c r="D30" i="1"/>
  <c r="Z2" i="3"/>
  <c r="N26" i="1"/>
  <c r="A27" i="1"/>
  <c r="A26" i="1"/>
  <c r="R25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H7" i="1"/>
  <c r="AG7" i="1"/>
  <c r="AF7" i="1"/>
  <c r="AE7" i="1"/>
  <c r="AD7" i="1"/>
  <c r="AC7" i="1"/>
  <c r="AB7" i="1"/>
  <c r="AA7" i="1"/>
  <c r="A7" i="1"/>
  <c r="AH6" i="1"/>
  <c r="AG6" i="1"/>
  <c r="AF6" i="1"/>
  <c r="AE6" i="1"/>
  <c r="AD6" i="1"/>
  <c r="AC6" i="1"/>
  <c r="AB6" i="1"/>
  <c r="AA6" i="1"/>
  <c r="A6" i="1"/>
  <c r="AH5" i="1"/>
  <c r="AG5" i="1"/>
  <c r="AF5" i="1"/>
  <c r="AE5" i="1"/>
  <c r="AD5" i="1"/>
  <c r="AC5" i="1"/>
  <c r="AB5" i="1"/>
  <c r="AA5" i="1"/>
  <c r="A5" i="1"/>
  <c r="AH4" i="1"/>
  <c r="AG4" i="1"/>
  <c r="AF4" i="1"/>
  <c r="AE4" i="1"/>
  <c r="AD4" i="1"/>
  <c r="AC4" i="1"/>
  <c r="AB4" i="1"/>
  <c r="AA4" i="1"/>
  <c r="A4" i="1"/>
  <c r="AH3" i="1"/>
  <c r="AG3" i="1"/>
  <c r="AF3" i="1"/>
  <c r="AE3" i="1"/>
  <c r="AD3" i="1"/>
  <c r="AC3" i="1"/>
  <c r="AB3" i="1"/>
  <c r="AA3" i="1"/>
  <c r="A3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A2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N27" i="3"/>
  <c r="F27" i="3"/>
  <c r="X26" i="3"/>
  <c r="W26" i="3"/>
  <c r="W27" i="3" s="1"/>
  <c r="Q26" i="3"/>
  <c r="O26" i="3"/>
  <c r="N26" i="3"/>
  <c r="G26" i="3"/>
  <c r="G27" i="3" s="1"/>
  <c r="F26" i="3"/>
  <c r="E26" i="3"/>
  <c r="E27" i="3" s="1"/>
  <c r="D26" i="3"/>
  <c r="D27" i="3" s="1"/>
  <c r="C26" i="3"/>
  <c r="C27" i="3" s="1"/>
  <c r="B26" i="3"/>
  <c r="Z25" i="3"/>
  <c r="Z24" i="3"/>
  <c r="R24" i="3"/>
  <c r="R26" i="3" s="1"/>
  <c r="Z23" i="3"/>
  <c r="Z22" i="3"/>
  <c r="Z21" i="3"/>
  <c r="M20" i="3"/>
  <c r="L20" i="3"/>
  <c r="L26" i="3" s="1"/>
  <c r="L27" i="3" s="1"/>
  <c r="K20" i="3"/>
  <c r="K26" i="3" s="1"/>
  <c r="K27" i="3" s="1"/>
  <c r="J20" i="3"/>
  <c r="I20" i="3"/>
  <c r="H20" i="3"/>
  <c r="Z20" i="3" s="1"/>
  <c r="M19" i="3"/>
  <c r="M26" i="3" s="1"/>
  <c r="M27" i="3" s="1"/>
  <c r="L19" i="3"/>
  <c r="K19" i="3"/>
  <c r="J19" i="3"/>
  <c r="J26" i="3" s="1"/>
  <c r="J27" i="3" s="1"/>
  <c r="I19" i="3"/>
  <c r="I26" i="3" s="1"/>
  <c r="I27" i="3" s="1"/>
  <c r="H19" i="3"/>
  <c r="P18" i="3"/>
  <c r="P26" i="3" s="1"/>
  <c r="P27" i="3" s="1"/>
  <c r="W17" i="3"/>
  <c r="V17" i="3"/>
  <c r="V26" i="3" s="1"/>
  <c r="V27" i="3" s="1"/>
  <c r="U17" i="3"/>
  <c r="U26" i="3" s="1"/>
  <c r="Z16" i="3"/>
  <c r="AM2" i="3" s="1"/>
  <c r="Z15" i="3"/>
  <c r="Z14" i="3"/>
  <c r="Z13" i="3"/>
  <c r="Z12" i="3"/>
  <c r="Z11" i="3"/>
  <c r="Z10" i="3"/>
  <c r="Z9" i="3"/>
  <c r="Z8" i="3"/>
  <c r="Z7" i="3"/>
  <c r="Z6" i="3"/>
  <c r="Z5" i="3"/>
  <c r="Z4" i="3"/>
  <c r="Z3" i="3"/>
  <c r="AI2" i="3"/>
  <c r="U27" i="3" l="1"/>
  <c r="Q4" i="1"/>
  <c r="Q4" i="5" s="1"/>
  <c r="Q15" i="1"/>
  <c r="Q5" i="1"/>
  <c r="Q5" i="5" s="1"/>
  <c r="J17" i="1"/>
  <c r="Q24" i="1"/>
  <c r="Q24" i="4" s="1"/>
  <c r="Q2" i="1"/>
  <c r="Q2" i="5" s="1"/>
  <c r="Q6" i="1"/>
  <c r="Q6" i="5" s="1"/>
  <c r="Q16" i="1"/>
  <c r="Q16" i="5" s="1"/>
  <c r="K17" i="1"/>
  <c r="K17" i="5" s="1"/>
  <c r="I17" i="1"/>
  <c r="Q3" i="1"/>
  <c r="Q7" i="1"/>
  <c r="H17" i="1"/>
  <c r="R2" i="1"/>
  <c r="R6" i="1"/>
  <c r="R6" i="5" s="1"/>
  <c r="R3" i="1"/>
  <c r="R3" i="5" s="1"/>
  <c r="R7" i="1"/>
  <c r="R7" i="5" s="1"/>
  <c r="R4" i="1"/>
  <c r="Q24" i="5"/>
  <c r="L17" i="5"/>
  <c r="K17" i="4"/>
  <c r="Q16" i="4"/>
  <c r="M6" i="1"/>
  <c r="M6" i="5" s="1"/>
  <c r="M2" i="1"/>
  <c r="M2" i="4" s="1"/>
  <c r="D13" i="1"/>
  <c r="D13" i="4" s="1"/>
  <c r="M3" i="1"/>
  <c r="M16" i="1"/>
  <c r="M5" i="1"/>
  <c r="M5" i="5" s="1"/>
  <c r="G13" i="1"/>
  <c r="G13" i="5" s="1"/>
  <c r="C13" i="1"/>
  <c r="M7" i="1"/>
  <c r="M20" i="1"/>
  <c r="M15" i="1"/>
  <c r="M4" i="1"/>
  <c r="M4" i="4" s="1"/>
  <c r="F13" i="1"/>
  <c r="B13" i="1"/>
  <c r="M19" i="1"/>
  <c r="E13" i="1"/>
  <c r="M4" i="5"/>
  <c r="L5" i="4"/>
  <c r="L4" i="4"/>
  <c r="K19" i="4"/>
  <c r="K2" i="5"/>
  <c r="D11" i="4"/>
  <c r="J19" i="5"/>
  <c r="J16" i="5"/>
  <c r="J4" i="5"/>
  <c r="J2" i="4"/>
  <c r="I20" i="5"/>
  <c r="I5" i="4"/>
  <c r="H15" i="4"/>
  <c r="Y7" i="4"/>
  <c r="Y7" i="5"/>
  <c r="J7" i="4"/>
  <c r="G25" i="1"/>
  <c r="G11" i="4"/>
  <c r="H7" i="5"/>
  <c r="X7" i="1"/>
  <c r="G21" i="1"/>
  <c r="H7" i="4"/>
  <c r="G23" i="4"/>
  <c r="X6" i="4"/>
  <c r="M6" i="4"/>
  <c r="K6" i="4"/>
  <c r="I6" i="4"/>
  <c r="F10" i="5"/>
  <c r="F8" i="4"/>
  <c r="R5" i="4"/>
  <c r="Q5" i="4"/>
  <c r="M5" i="4"/>
  <c r="K5" i="4"/>
  <c r="Y3" i="4"/>
  <c r="Y3" i="5"/>
  <c r="C23" i="1"/>
  <c r="J3" i="4"/>
  <c r="C8" i="5"/>
  <c r="C12" i="5"/>
  <c r="C25" i="1"/>
  <c r="H3" i="4"/>
  <c r="L3" i="5"/>
  <c r="X3" i="1"/>
  <c r="C21" i="1"/>
  <c r="I3" i="5"/>
  <c r="X4" i="4"/>
  <c r="Q4" i="4"/>
  <c r="K4" i="5"/>
  <c r="D23" i="4"/>
  <c r="D8" i="4"/>
  <c r="L3" i="4"/>
  <c r="J3" i="5"/>
  <c r="H3" i="5"/>
  <c r="C12" i="4"/>
  <c r="Q2" i="4"/>
  <c r="H2" i="4"/>
  <c r="B25" i="5"/>
  <c r="B23" i="4"/>
  <c r="B12" i="4"/>
  <c r="B9" i="4"/>
  <c r="B8" i="4"/>
  <c r="V17" i="1"/>
  <c r="V26" i="1" s="1"/>
  <c r="Z22" i="1"/>
  <c r="X27" i="3"/>
  <c r="Z18" i="3"/>
  <c r="R27" i="3" s="1"/>
  <c r="T17" i="3"/>
  <c r="T26" i="3" s="1"/>
  <c r="T27" i="3" s="1"/>
  <c r="Y26" i="3"/>
  <c r="Y27" i="3" s="1"/>
  <c r="Z19" i="3"/>
  <c r="B27" i="3"/>
  <c r="S17" i="3"/>
  <c r="Z17" i="3" s="1"/>
  <c r="H26" i="3"/>
  <c r="H27" i="3" s="1"/>
  <c r="I17" i="5" l="1"/>
  <c r="I17" i="4"/>
  <c r="Q15" i="5"/>
  <c r="Q15" i="4"/>
  <c r="H17" i="5"/>
  <c r="H17" i="4"/>
  <c r="Q6" i="4"/>
  <c r="Q7" i="5"/>
  <c r="Q7" i="4"/>
  <c r="J17" i="5"/>
  <c r="J17" i="4"/>
  <c r="R3" i="4"/>
  <c r="R6" i="4"/>
  <c r="R4" i="5"/>
  <c r="R4" i="4"/>
  <c r="R2" i="5"/>
  <c r="R2" i="4"/>
  <c r="M2" i="5"/>
  <c r="M19" i="5"/>
  <c r="M19" i="4"/>
  <c r="G13" i="4"/>
  <c r="B13" i="5"/>
  <c r="B13" i="4"/>
  <c r="M20" i="4"/>
  <c r="M20" i="5"/>
  <c r="M15" i="5"/>
  <c r="M15" i="4"/>
  <c r="F13" i="5"/>
  <c r="F13" i="4"/>
  <c r="M16" i="4"/>
  <c r="M16" i="5"/>
  <c r="D13" i="5"/>
  <c r="E13" i="5"/>
  <c r="E13" i="4"/>
  <c r="M17" i="5"/>
  <c r="M17" i="4"/>
  <c r="G8" i="5"/>
  <c r="G8" i="4"/>
  <c r="R7" i="4"/>
  <c r="G10" i="5"/>
  <c r="G10" i="4"/>
  <c r="K7" i="4"/>
  <c r="K7" i="5"/>
  <c r="G21" i="5"/>
  <c r="G21" i="4"/>
  <c r="M7" i="5"/>
  <c r="M7" i="4"/>
  <c r="X7" i="4"/>
  <c r="X7" i="5"/>
  <c r="G9" i="5"/>
  <c r="G9" i="4"/>
  <c r="G25" i="5"/>
  <c r="G25" i="4"/>
  <c r="I7" i="5"/>
  <c r="I7" i="4"/>
  <c r="L7" i="4"/>
  <c r="L7" i="5"/>
  <c r="G12" i="4"/>
  <c r="G12" i="5"/>
  <c r="M3" i="5"/>
  <c r="M3" i="4"/>
  <c r="C9" i="5"/>
  <c r="C9" i="4"/>
  <c r="C23" i="5"/>
  <c r="C23" i="4"/>
  <c r="X3" i="4"/>
  <c r="X3" i="5"/>
  <c r="C11" i="5"/>
  <c r="C11" i="4"/>
  <c r="I3" i="4"/>
  <c r="C21" i="5"/>
  <c r="C21" i="4"/>
  <c r="K3" i="5"/>
  <c r="K3" i="4"/>
  <c r="Q3" i="5"/>
  <c r="Q3" i="4"/>
  <c r="C8" i="4"/>
  <c r="C10" i="5"/>
  <c r="C10" i="4"/>
  <c r="C13" i="5"/>
  <c r="C13" i="4"/>
  <c r="C25" i="5"/>
  <c r="C25" i="4"/>
  <c r="Y24" i="4"/>
  <c r="Y24" i="5"/>
  <c r="Z14" i="1"/>
  <c r="Z21" i="1"/>
  <c r="Z9" i="1"/>
  <c r="Z11" i="1"/>
  <c r="X26" i="1"/>
  <c r="E26" i="1"/>
  <c r="T17" i="1"/>
  <c r="Z10" i="1"/>
  <c r="Z16" i="1"/>
  <c r="K26" i="1"/>
  <c r="O18" i="1"/>
  <c r="Z12" i="1"/>
  <c r="U17" i="1"/>
  <c r="S17" i="1"/>
  <c r="Z23" i="1"/>
  <c r="W17" i="1"/>
  <c r="I26" i="1"/>
  <c r="Z25" i="1"/>
  <c r="Y26" i="1"/>
  <c r="V27" i="1"/>
  <c r="Z4" i="1"/>
  <c r="J26" i="1"/>
  <c r="Z15" i="1"/>
  <c r="P18" i="1"/>
  <c r="L26" i="1"/>
  <c r="Z6" i="1"/>
  <c r="Z5" i="1"/>
  <c r="F26" i="1"/>
  <c r="Z20" i="1"/>
  <c r="Z13" i="1"/>
  <c r="M26" i="1"/>
  <c r="B26" i="1"/>
  <c r="Z19" i="1"/>
  <c r="C26" i="1"/>
  <c r="D26" i="1"/>
  <c r="Z8" i="1"/>
  <c r="Z7" i="1"/>
  <c r="G26" i="1"/>
  <c r="S26" i="3"/>
  <c r="S27" i="3" s="1"/>
  <c r="Z20" i="5" l="1"/>
  <c r="Z20" i="4"/>
  <c r="T26" i="1"/>
  <c r="T17" i="4"/>
  <c r="T17" i="5"/>
  <c r="S26" i="1"/>
  <c r="S27" i="1" s="1"/>
  <c r="S17" i="5"/>
  <c r="S17" i="4"/>
  <c r="Z19" i="5"/>
  <c r="Z19" i="4"/>
  <c r="Z16" i="5"/>
  <c r="Z16" i="4"/>
  <c r="P26" i="1"/>
  <c r="P18" i="5"/>
  <c r="P18" i="4"/>
  <c r="Z15" i="5"/>
  <c r="Z15" i="4"/>
  <c r="O26" i="1"/>
  <c r="O18" i="5"/>
  <c r="O18" i="4"/>
  <c r="N27" i="1"/>
  <c r="Z14" i="5"/>
  <c r="Z7" i="5"/>
  <c r="Z7" i="4"/>
  <c r="G26" i="5"/>
  <c r="G26" i="4"/>
  <c r="Z6" i="5"/>
  <c r="Z6" i="4"/>
  <c r="F26" i="5"/>
  <c r="F26" i="4"/>
  <c r="Z5" i="4"/>
  <c r="Z5" i="5"/>
  <c r="E26" i="4"/>
  <c r="E26" i="5"/>
  <c r="Z4" i="5"/>
  <c r="Z4" i="4"/>
  <c r="D26" i="5"/>
  <c r="D26" i="4"/>
  <c r="C26" i="4"/>
  <c r="C26" i="5"/>
  <c r="X26" i="4"/>
  <c r="X26" i="5"/>
  <c r="R26" i="1"/>
  <c r="R26" i="5" s="1"/>
  <c r="R24" i="4"/>
  <c r="R24" i="5"/>
  <c r="M26" i="5"/>
  <c r="M26" i="4"/>
  <c r="L26" i="5"/>
  <c r="L26" i="4"/>
  <c r="K26" i="5"/>
  <c r="K26" i="4"/>
  <c r="J26" i="5"/>
  <c r="J26" i="4"/>
  <c r="I26" i="5"/>
  <c r="I26" i="4"/>
  <c r="Y26" i="5"/>
  <c r="Y26" i="4"/>
  <c r="Z25" i="4"/>
  <c r="Z25" i="5"/>
  <c r="Z23" i="5"/>
  <c r="Z23" i="4"/>
  <c r="W26" i="1"/>
  <c r="W17" i="4"/>
  <c r="W17" i="5"/>
  <c r="U26" i="1"/>
  <c r="U17" i="5"/>
  <c r="U17" i="4"/>
  <c r="Z21" i="5"/>
  <c r="Z21" i="4"/>
  <c r="Z13" i="5"/>
  <c r="Z13" i="4"/>
  <c r="Z12" i="5"/>
  <c r="Z12" i="4"/>
  <c r="Z11" i="5"/>
  <c r="Z11" i="4"/>
  <c r="Z10" i="5"/>
  <c r="Z10" i="4"/>
  <c r="Z9" i="5"/>
  <c r="Z9" i="4"/>
  <c r="Z8" i="5"/>
  <c r="Z8" i="4"/>
  <c r="B26" i="5"/>
  <c r="B26" i="4"/>
  <c r="I27" i="1"/>
  <c r="K27" i="1"/>
  <c r="E27" i="1"/>
  <c r="J27" i="1"/>
  <c r="Y27" i="1"/>
  <c r="L27" i="1"/>
  <c r="P27" i="1"/>
  <c r="W27" i="1"/>
  <c r="Z17" i="1"/>
  <c r="Z24" i="1"/>
  <c r="M27" i="1"/>
  <c r="F27" i="1"/>
  <c r="D27" i="1"/>
  <c r="Z18" i="1"/>
  <c r="G27" i="1"/>
  <c r="Z26" i="3"/>
  <c r="Q27" i="3"/>
  <c r="R26" i="4" l="1"/>
  <c r="T26" i="5"/>
  <c r="T26" i="4"/>
  <c r="T27" i="1"/>
  <c r="S26" i="5"/>
  <c r="S26" i="4"/>
  <c r="P26" i="4"/>
  <c r="P26" i="5"/>
  <c r="O26" i="4"/>
  <c r="O26" i="5"/>
  <c r="O27" i="1"/>
  <c r="R27" i="1"/>
  <c r="Z18" i="5"/>
  <c r="Z18" i="4"/>
  <c r="X27" i="1"/>
  <c r="Z24" i="4"/>
  <c r="Z24" i="5"/>
  <c r="W26" i="4"/>
  <c r="W26" i="5"/>
  <c r="U26" i="4"/>
  <c r="U26" i="5"/>
  <c r="Z17" i="4"/>
  <c r="Z17" i="5"/>
  <c r="U27" i="1"/>
  <c r="H26" i="1" l="1"/>
  <c r="Z2" i="1"/>
  <c r="Q26" i="1"/>
  <c r="Z3" i="1"/>
  <c r="Z3" i="5" l="1"/>
  <c r="Z3" i="4"/>
  <c r="Q27" i="1"/>
  <c r="Q26" i="5"/>
  <c r="Q26" i="4"/>
  <c r="B27" i="1"/>
  <c r="Z2" i="5"/>
  <c r="Z2" i="4"/>
  <c r="H27" i="1"/>
  <c r="H26" i="5"/>
  <c r="H26" i="4"/>
  <c r="Z26" i="1"/>
  <c r="C27" i="1"/>
  <c r="Z27" i="1" l="1"/>
  <c r="Z26" i="5"/>
  <c r="Z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</author>
  </authors>
  <commentList>
    <comment ref="A1" authorId="0" shapeId="0" xr:uid="{708BF26A-5265-43AA-8123-3DAA570BCA4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
Must Have a space so the column is read</t>
        </r>
      </text>
    </comment>
    <comment ref="H2" authorId="0" shapeId="0" xr:uid="{DFEE0D20-AC86-4AF7-AD54-8B1FEEEE572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2" authorId="0" shapeId="0" xr:uid="{BE95282B-4F86-4035-9D6B-8A82085A833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2" authorId="0" shapeId="0" xr:uid="{2AC63530-E03C-4A8D-A11A-66F2D47B0E7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2" authorId="0" shapeId="0" xr:uid="{7AA0DD2A-085C-4879-BF4C-60B8F7517D4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2" authorId="0" shapeId="0" xr:uid="{6D47D7FB-6001-4238-A182-B4511FA5E57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2" authorId="0" shapeId="0" xr:uid="{3D5872FB-F010-4E91-B57B-A9AA89CE74C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2" authorId="0" shapeId="0" xr:uid="{8EAC6667-BC24-4883-8ABF-561C32EAB4C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2" authorId="0" shapeId="0" xr:uid="{78CA1447-9D3B-423C-9B88-E99D915580D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2" authorId="0" shapeId="0" xr:uid="{FBF933F2-AAE0-4FBC-BC8D-DB56B4D13FB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3" authorId="0" shapeId="0" xr:uid="{FBE3AB88-F55B-411B-8D73-40F0DFF02EC4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3" authorId="0" shapeId="0" xr:uid="{610AEF50-FA01-42BD-850E-A91EF99B807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3" authorId="0" shapeId="0" xr:uid="{31727781-E4CA-4D33-B0E8-C799CBB07D76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3" authorId="0" shapeId="0" xr:uid="{549053CD-3AED-4E13-B201-6ED69AD43585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3" authorId="0" shapeId="0" xr:uid="{1DDEA182-0D99-4EC6-A89C-EB582E13FBD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3" authorId="0" shapeId="0" xr:uid="{0FE79EE1-CF6E-4217-92F6-34D3EFDAA88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3" authorId="0" shapeId="0" xr:uid="{B1BA51C7-A803-4FB6-8925-70E5F0D1D5F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3" authorId="0" shapeId="0" xr:uid="{ABADEB46-758D-4F35-92DB-66FFFCABA09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3" authorId="0" shapeId="0" xr:uid="{0F85BF7C-DA6B-481F-801D-9278B8CCF53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4" authorId="0" shapeId="0" xr:uid="{44C1B784-9952-4535-A2A4-81503B91E18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4" authorId="0" shapeId="0" xr:uid="{FE196CFA-09BA-42FD-8572-0AC0493790BB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4" authorId="0" shapeId="0" xr:uid="{F298DBF9-4BE6-4B8A-B96C-654E39DDC1A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4" authorId="0" shapeId="0" xr:uid="{AF6C0747-1A81-4D14-8905-6EF3D994D02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4" authorId="0" shapeId="0" xr:uid="{23E02D31-AF92-49CD-B67F-9FCDD7B7BEA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4" authorId="0" shapeId="0" xr:uid="{1F3C8F8F-0162-4151-8481-59E8C8C72E8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4" authorId="0" shapeId="0" xr:uid="{0EF199C3-2562-4BA6-82E1-57EBF088EBB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4" authorId="0" shapeId="0" xr:uid="{E9F2A3EF-F380-4939-99AD-01479849EB8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4" authorId="0" shapeId="0" xr:uid="{A0D7ED83-7404-408F-8818-B2281588DB4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5" authorId="0" shapeId="0" xr:uid="{E7320A11-1975-4F1A-B22D-BCE173951049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5" authorId="0" shapeId="0" xr:uid="{FEFA597A-7A4D-4DBB-B164-9D809EE8D0E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5" authorId="0" shapeId="0" xr:uid="{4E6D31BD-912A-41A5-A41E-FBC473F3D9F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5" authorId="0" shapeId="0" xr:uid="{9A0D4B45-D268-4EDC-8EFE-8B054C1DE76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5" authorId="0" shapeId="0" xr:uid="{69314F25-FFBC-4E31-A29E-57FE444EA8A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5" authorId="0" shapeId="0" xr:uid="{4F3E4974-4EF3-48A6-89A7-568195EC5A5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5" authorId="0" shapeId="0" xr:uid="{9148F3F8-3A6C-4D4F-BC5B-A3F41BD57D7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5" authorId="0" shapeId="0" xr:uid="{C76CD27B-1DD8-4C14-AE4E-C56EA88AF4D7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5" authorId="0" shapeId="0" xr:uid="{56746695-2817-4616-8A3F-9DFE7FF17827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6" authorId="0" shapeId="0" xr:uid="{38D28E50-2174-4657-99CD-DF68C1D797A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6" authorId="0" shapeId="0" xr:uid="{B4FA7774-52C0-4340-83D3-5CA883E4EE1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6" authorId="0" shapeId="0" xr:uid="{143E28D0-4AA4-4D5D-B579-F6F6933A5D5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6" authorId="0" shapeId="0" xr:uid="{4C60219C-76C2-4FE7-92B3-DC471AE7F3B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6" authorId="0" shapeId="0" xr:uid="{88BFDB65-342F-4CB2-9473-5807F71C9B99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6" authorId="0" shapeId="0" xr:uid="{21742C62-F06D-4CE7-83CB-A420C3F0331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6" authorId="0" shapeId="0" xr:uid="{150A5F70-4359-4DFE-8CDC-FC154AC25BF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6" authorId="0" shapeId="0" xr:uid="{EB2CE720-36BB-4B58-99F4-B14A3EEFB46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6" authorId="0" shapeId="0" xr:uid="{4BFAAFFB-D4C1-4EB8-A3FC-2F10BBC226B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7" authorId="0" shapeId="0" xr:uid="{3CD2D736-DD4F-4FDB-BB9D-E5BD1E40949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7" authorId="0" shapeId="0" xr:uid="{B3061C83-C8DE-4AB7-81C9-3C96D52FE894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7" authorId="0" shapeId="0" xr:uid="{3002D3A7-EA6C-44D0-81E5-564172616E7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7" authorId="0" shapeId="0" xr:uid="{EFA2CB0E-1642-4F25-8B3B-34E24022A07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7" authorId="0" shapeId="0" xr:uid="{6C62D7FA-39F9-4E54-A993-A757D36F6BA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7" authorId="0" shapeId="0" xr:uid="{54A35322-9C7A-4A2C-943B-E7FF0BD17885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7" authorId="0" shapeId="0" xr:uid="{EC50659D-8CCE-4832-81F3-B345453D1C3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7" authorId="0" shapeId="0" xr:uid="{307CE516-3636-4851-B647-09983C66850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7" authorId="0" shapeId="0" xr:uid="{2EF057E1-B9EF-4AED-A046-97B6CEA62F3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B8" authorId="0" shapeId="0" xr:uid="{6C24C78E-4C9D-438A-9BA5-3EE2D5AE8A85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8" authorId="0" shapeId="0" xr:uid="{A961343A-14EE-4ABC-9DD6-810AD22B97A6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8" authorId="0" shapeId="0" xr:uid="{846F2878-2B6E-4CCA-81F2-726B14484C62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8" authorId="0" shapeId="0" xr:uid="{0ECA49AB-1463-4FFB-A944-FED74D5DF971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8" authorId="0" shapeId="0" xr:uid="{326AF517-4088-4777-B6EE-829562386FFF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8" authorId="0" shapeId="0" xr:uid="{F2030B9C-EC5F-49B7-8916-4542CBA919B9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9" authorId="0" shapeId="0" xr:uid="{74ADBC12-DFF4-45FB-97CD-07EE347E1D1C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9" authorId="0" shapeId="0" xr:uid="{C5971E73-755B-4363-8579-9A2BED3038F2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9" authorId="0" shapeId="0" xr:uid="{80DEB5CB-3C6F-4858-A5BE-142D268ECD0C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9" authorId="0" shapeId="0" xr:uid="{29ADB78D-5FCB-4CEC-8713-08D6FA413148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9" authorId="0" shapeId="0" xr:uid="{76F98E09-266E-4BCE-8E27-4B1205FB3177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9" authorId="0" shapeId="0" xr:uid="{AA414AAF-ECD1-4F09-9DEF-5762B228489D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10" authorId="0" shapeId="0" xr:uid="{A2937AFE-C4C5-4644-ACD8-F6566C770337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10" authorId="0" shapeId="0" xr:uid="{711CFDF0-DDF1-4D29-AC8A-912B5CCD55D8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10" authorId="0" shapeId="0" xr:uid="{2EC458F7-CBAC-4D87-B43F-81D7C919EFB5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10" authorId="0" shapeId="0" xr:uid="{22E3A3A7-DB6B-44B9-8FDA-4611948361AF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10" authorId="0" shapeId="0" xr:uid="{215B2352-50BB-42BC-A5A4-8F8AF91157D4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10" authorId="0" shapeId="0" xr:uid="{98743F22-71DC-4EBA-A34D-EF468A639FFA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11" authorId="0" shapeId="0" xr:uid="{58B84123-648C-4B9A-B873-67FFC68D60FB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11" authorId="0" shapeId="0" xr:uid="{6AB5CE63-E0CF-44F9-858F-173D550B091B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11" authorId="0" shapeId="0" xr:uid="{E7C3D9B0-5AA3-4AE2-AD4F-301CD4B37284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11" authorId="0" shapeId="0" xr:uid="{DB9B66E1-F78E-4170-B647-893D1CED205D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11" authorId="0" shapeId="0" xr:uid="{D67F0EA1-89C0-4CAA-A969-0C16467A4304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11" authorId="0" shapeId="0" xr:uid="{53D7C91D-D915-4DFF-811E-09DBB1F0B12B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12" authorId="0" shapeId="0" xr:uid="{0558121A-EB09-45F4-867C-2AC7E3B80421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12" authorId="0" shapeId="0" xr:uid="{02A05E1A-42CE-4C85-BED8-39273EDF25F6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12" authorId="0" shapeId="0" xr:uid="{8EA9184F-3A60-4D72-A95D-5635016A59A0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12" authorId="0" shapeId="0" xr:uid="{676120BA-84D9-485B-ADCD-E1B556EFBDF2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12" authorId="0" shapeId="0" xr:uid="{023CB63A-2797-4828-8E39-EEAD66726049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12" authorId="0" shapeId="0" xr:uid="{717EF91C-E981-40D2-9506-5AFF23870388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13" authorId="0" shapeId="0" xr:uid="{56519568-76D3-405C-B062-82407A74B88B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13" authorId="0" shapeId="0" xr:uid="{12AA670B-0F7C-4762-8DE2-ED38E4D66DCA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13" authorId="0" shapeId="0" xr:uid="{975D7DC8-EBF4-4980-99BB-F27300EBE411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13" authorId="0" shapeId="0" xr:uid="{A9B04483-2E29-4D42-8302-DF94AD8FA718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13" authorId="0" shapeId="0" xr:uid="{58909C9C-0487-4FE5-9FB4-818A02B1DF38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13" authorId="0" shapeId="0" xr:uid="{BC60D75E-1843-443B-8A68-3D374801BDB8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H15" authorId="0" shapeId="0" xr:uid="{6DA6B5DE-9149-41F3-B40C-D179F15148F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I15" authorId="0" shapeId="0" xr:uid="{011AEB6E-A614-4EF5-989B-EE80031E5099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J15" authorId="0" shapeId="0" xr:uid="{3FD88237-3098-4BA7-91ED-54A8BBA9265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K15" authorId="0" shapeId="0" xr:uid="{EB437C04-8411-4D51-8345-78491A4EBF76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L15" authorId="0" shapeId="0" xr:uid="{D90B5397-18CF-420D-8B2F-363F570C07F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M15" authorId="0" shapeId="0" xr:uid="{0B725358-E1C0-4F60-9F9B-A71CB521DD8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Q15" authorId="0" shapeId="0" xr:uid="{3ECCC5AC-BF6E-4020-8ECF-7FEA8D966B2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H16" authorId="0" shapeId="0" xr:uid="{73C9FC78-1CFB-4408-A9BE-7620822A3E87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I16" authorId="0" shapeId="0" xr:uid="{D2A0EE93-A2D0-4082-B3C0-2184A22DF72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J16" authorId="0" shapeId="0" xr:uid="{06EFB102-E9BA-43D4-B473-2DF5A981E6C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K16" authorId="0" shapeId="0" xr:uid="{1F7D727F-9F81-488A-AD8C-F90B6D5EEB3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L16" authorId="0" shapeId="0" xr:uid="{6D6A835C-58F9-4C89-9AAB-A4C824F6E585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M16" authorId="0" shapeId="0" xr:uid="{BAD6CE96-CCFE-411D-A231-0026B8FD942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Q16" authorId="0" shapeId="0" xr:uid="{59FAC9D8-32B7-4785-BC9F-C754C180A05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H17" authorId="0" shapeId="0" xr:uid="{F84B88BD-E925-4EEC-B998-C715F9A5346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I17" authorId="0" shapeId="0" xr:uid="{3FF8C102-C84A-4DD8-A22E-5F5DD62AB62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J17" authorId="0" shapeId="0" xr:uid="{E8FFB80B-D770-495B-AB51-B90419A4D9B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K17" authorId="0" shapeId="0" xr:uid="{1899E934-13DE-4CC3-BAC8-BC544AA0574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L17" authorId="0" shapeId="0" xr:uid="{05A49552-AD04-4721-AB1F-693E98861266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M17" authorId="0" shapeId="0" xr:uid="{3E031502-DEA8-4E71-AA3A-3F51A1EB0DA9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17" authorId="0" shapeId="0" xr:uid="{0EE0BB9D-7D03-4BA3-8AD0-0471FF13F2D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17" authorId="0" shapeId="0" xr:uid="{87713FA0-124C-4689-84CA-F37756F30B9E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Q18" authorId="0" shapeId="0" xr:uid="{B1EA3D5B-4332-4795-B621-2ABFC6F6ABA1}">
      <text>
        <r>
          <rPr>
            <b/>
            <sz val="9"/>
            <color indexed="81"/>
            <rFont val="Tahoma"/>
            <family val="2"/>
          </rPr>
          <t>Eli: BEA- Gov Current Receiprs and Expenditures</t>
        </r>
        <r>
          <rPr>
            <sz val="9"/>
            <color indexed="81"/>
            <rFont val="Tahoma"/>
            <family val="2"/>
          </rPr>
          <t>, row 31, Government Social Benefits -&gt; To Persons</t>
        </r>
      </text>
    </comment>
    <comment ref="H19" authorId="0" shapeId="0" xr:uid="{0C4A36F1-5EDB-495B-9966-6B2FC1A87D79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I19" authorId="0" shapeId="0" xr:uid="{FD1E0B34-25E6-4A3A-AA4D-C23CD65776A2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J19" authorId="0" shapeId="0" xr:uid="{BC0F5ECF-C218-4379-BA48-A7C01199C60D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K19" authorId="0" shapeId="0" xr:uid="{D4915F44-4980-4498-B942-9DD1DA898FBF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L19" authorId="0" shapeId="0" xr:uid="{B29B6AFD-CBDA-492B-9FD6-9B549238E066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M19" authorId="0" shapeId="0" xr:uid="{0AF8132B-2839-4A46-AABB-017B1BA9B9A8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H20" authorId="0" shapeId="0" xr:uid="{578B6C42-BD54-4A17-BCF4-1CA6B03980DC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I20" authorId="0" shapeId="0" xr:uid="{3F0513D9-1BF3-48BE-ABF0-7ACFD3B2B694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J20" authorId="0" shapeId="0" xr:uid="{0D4C7553-8195-4E3C-A63A-55046C3C1F98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K20" authorId="0" shapeId="0" xr:uid="{F0352E54-8081-45AF-A024-A8727F58A214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L20" authorId="0" shapeId="0" xr:uid="{AC1362FC-EFA6-49BB-B993-124D04BCB8C1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M20" authorId="0" shapeId="0" xr:uid="{81FA8882-768C-4C02-86F0-FE5E0D5EE3FC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B21" authorId="0" shapeId="0" xr:uid="{9065F7E8-8132-4667-8C2B-B318E0A699B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C21" authorId="0" shapeId="0" xr:uid="{1776216F-4BF4-4F1F-A9A4-4681D9E47816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D21" authorId="0" shapeId="0" xr:uid="{B2978645-97FE-487E-8CEF-308E9A13294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E21" authorId="0" shapeId="0" xr:uid="{181D0CC1-0E8D-4E84-ADC1-8A48FE1CDFF4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F21" authorId="0" shapeId="0" xr:uid="{960523BC-F212-4B9A-9900-6C7EAC820ED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G21" authorId="0" shapeId="0" xr:uid="{8CF73545-A144-49C0-9606-CC3DFC8EE1E4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R22" authorId="0" shapeId="0" xr:uid="{C70C5EB4-BE38-479D-B4BB-3E7227A5B0E7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B23" authorId="0" shapeId="0" xr:uid="{641A0FB8-D21E-4574-A10D-927EDB9802B4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C23" authorId="0" shapeId="0" xr:uid="{A0FC2ED0-421D-4464-9127-6EAF194F6E6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D23" authorId="0" shapeId="0" xr:uid="{6E3FABE3-8700-431E-B9CE-3E26A32DC30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E23" authorId="0" shapeId="0" xr:uid="{3B929624-8C5D-4F73-A5F5-420A4CE678F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F23" authorId="0" shapeId="0" xr:uid="{1D41B03A-5F83-4F11-8AA5-09B8EB8FF94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G23" authorId="0" shapeId="0" xr:uid="{C4560C4C-CA0D-4E9C-B5DB-F3067F4AC19E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Q24" authorId="0" shapeId="0" xr:uid="{375EB870-0327-490B-9A2A-4751B054D63D}">
      <text>
        <r>
          <rPr>
            <b/>
            <sz val="9"/>
            <color indexed="81"/>
            <rFont val="Tahoma"/>
            <family val="2"/>
          </rPr>
          <t>Eli: BEA- Gov Current Receiprs and Expenditures</t>
        </r>
        <r>
          <rPr>
            <sz val="9"/>
            <color indexed="81"/>
            <rFont val="Tahoma"/>
            <family val="2"/>
          </rPr>
          <t>, row 38, Net Government Savings</t>
        </r>
      </text>
    </comment>
    <comment ref="B25" authorId="0" shapeId="0" xr:uid="{4AC135AF-B086-4174-B5FB-176B096C050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  S (Imports), (aggregated to 6 sectors)_2016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</author>
  </authors>
  <commentList>
    <comment ref="A1" authorId="0" shapeId="0" xr:uid="{AC97DA48-BBF7-466B-A00A-4BD05E65485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
Must Have a space so the column is read</t>
        </r>
      </text>
    </comment>
    <comment ref="H2" authorId="0" shapeId="0" xr:uid="{DA783CCC-1056-4563-B6FB-B04EC65723E9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2" authorId="0" shapeId="0" xr:uid="{59516105-2F3A-4D9D-B7B2-28533DF43B86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2" authorId="0" shapeId="0" xr:uid="{E02610FF-4E92-4459-AE66-9891233AF8E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2" authorId="0" shapeId="0" xr:uid="{A04CF007-EF8E-46C1-BB03-DABF0255001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2" authorId="0" shapeId="0" xr:uid="{FC35CBC5-3F71-469A-A1AB-35C007151536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2" authorId="0" shapeId="0" xr:uid="{3405C192-F026-44DF-8CC6-3D55841CFB69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2" authorId="0" shapeId="0" xr:uid="{0AB039CF-45D6-4A05-9948-A8D612B80234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2" authorId="0" shapeId="0" xr:uid="{9B627F08-73F7-4488-AD62-8E842FE6FAC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2" authorId="0" shapeId="0" xr:uid="{7B373C96-63C8-4BEA-BD0D-009827976FA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3" authorId="0" shapeId="0" xr:uid="{72D9469F-C13D-466D-B74C-E6D0466F2E99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3" authorId="0" shapeId="0" xr:uid="{D19E50D0-46F8-4CAE-A528-0D51B092E9F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3" authorId="0" shapeId="0" xr:uid="{CABAC72B-4D56-413E-8EEF-259D650EC569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3" authorId="0" shapeId="0" xr:uid="{4F1DE94B-2EAD-47EE-867A-368F1AA2DF2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3" authorId="0" shapeId="0" xr:uid="{A56B32F7-2DE9-40F4-BD17-6EBC8EF116CB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3" authorId="0" shapeId="0" xr:uid="{F6D3466B-EEA6-4D5F-8779-A8DFF2961D9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3" authorId="0" shapeId="0" xr:uid="{8F01A686-B6BB-40CE-BD0A-5E015C1547E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3" authorId="0" shapeId="0" xr:uid="{6C7AD5BC-5C77-42A7-8BE6-675F1DF6508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3" authorId="0" shapeId="0" xr:uid="{08C13D7F-4E1D-4696-B271-B13F8B23D8D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4" authorId="0" shapeId="0" xr:uid="{75720574-9490-4FFE-9B66-7A86BE06DF65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4" authorId="0" shapeId="0" xr:uid="{CF9B9CE6-4AEE-40A5-8407-205238FBA8A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4" authorId="0" shapeId="0" xr:uid="{2DEB6F40-7018-44C7-BC17-41B0CD9084C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4" authorId="0" shapeId="0" xr:uid="{52301632-A644-4B51-BEA2-44BC5C2001B7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4" authorId="0" shapeId="0" xr:uid="{2D3EDAF0-DA19-4B5E-9705-189B924E2CA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4" authorId="0" shapeId="0" xr:uid="{D4AC55C2-53C4-4279-A698-6C7587FA6BE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4" authorId="0" shapeId="0" xr:uid="{9EDBF931-449F-42D0-841E-55A63AF9201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4" authorId="0" shapeId="0" xr:uid="{C9A1160A-232D-49BD-8315-E749A2E5E196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4" authorId="0" shapeId="0" xr:uid="{79238413-023C-4DF1-B3D2-61D693358AE9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5" authorId="0" shapeId="0" xr:uid="{B8F558FE-6DCB-4D75-87C8-4CE111C0D10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5" authorId="0" shapeId="0" xr:uid="{96BA568C-45A6-40C4-A5C1-BFA15E5C72FB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5" authorId="0" shapeId="0" xr:uid="{0516D103-3F12-444A-98BD-25B2AF6148D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5" authorId="0" shapeId="0" xr:uid="{17EB8A95-4F29-4FAD-8371-FF2D24F519C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5" authorId="0" shapeId="0" xr:uid="{2338E089-14E0-4DC6-856E-86659AF1B23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5" authorId="0" shapeId="0" xr:uid="{C2197935-998C-4BFF-A1F2-F370D35B861E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5" authorId="0" shapeId="0" xr:uid="{96FCC3A2-EA44-4981-AFB6-CC640F01EB0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5" authorId="0" shapeId="0" xr:uid="{807C784A-6ADB-4F1C-A4B6-D399520BB395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5" authorId="0" shapeId="0" xr:uid="{FC488BD0-498F-4777-B771-17FC3FE496F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6" authorId="0" shapeId="0" xr:uid="{505890AD-C940-4C2C-B0FF-3AB1CFB654F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6" authorId="0" shapeId="0" xr:uid="{F433A279-7EE4-4936-A6DF-A2F0D529213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6" authorId="0" shapeId="0" xr:uid="{CCDAAAFB-D2CF-42AD-8DEF-280208D4CB5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6" authorId="0" shapeId="0" xr:uid="{50CF5A90-FC1F-4C1A-BD53-AD38858BCE3A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6" authorId="0" shapeId="0" xr:uid="{34CDA2FF-109D-4429-88A3-828A8A3AB9CB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6" authorId="0" shapeId="0" xr:uid="{F1E02CAD-24EA-4A09-AAF7-7D420D78D36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6" authorId="0" shapeId="0" xr:uid="{FE19894A-B24A-43CA-8F87-1423733D39C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6" authorId="0" shapeId="0" xr:uid="{BC5E7BB9-3FE3-48BC-AEED-F74A7FEE06C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6" authorId="0" shapeId="0" xr:uid="{B71B6EAC-2161-466E-A2C3-AACB5F99822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H7" authorId="0" shapeId="0" xr:uid="{99C90899-22DF-4F5A-BBFE-EDAB5C0289C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I7" authorId="0" shapeId="0" xr:uid="{2A6B32F4-F43A-4D55-B624-E86AAAD4911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J7" authorId="0" shapeId="0" xr:uid="{CFADEB44-82AC-43E2-9339-36DE31FDBB8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K7" authorId="0" shapeId="0" xr:uid="{080FB77E-5779-48E2-948E-28FAE9196B2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L7" authorId="0" shapeId="0" xr:uid="{870F53AC-B19D-4B22-9E22-050F4D56C60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M7" authorId="0" shapeId="0" xr:uid="{2A893728-1659-45B7-866E-7170FC384F50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“Intermediate Demand”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Q7" authorId="0" shapeId="0" xr:uid="{31EF0918-83C4-44AF-A2F5-9A5D6BF9B5E6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R7" authorId="0" shapeId="0" xr:uid="{113BBF16-3925-44A8-8156-AC481F2D024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Use of Commodities by Industries”/Sector Level, columns C-P (aggregated to 6 sectors)_2016</t>
        </r>
      </text>
    </comment>
    <comment ref="Y7" authorId="0" shapeId="0" xr:uid="{D5111BBB-AD6A-4601-9FA2-821776ECC7F5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“Exports</t>
        </r>
        <r>
          <rPr>
            <sz val="9"/>
            <color indexed="81"/>
            <rFont val="Tahoma"/>
            <family val="2"/>
          </rPr>
          <t xml:space="preserve"> of goods and services” BEA-Industry data/Input-Output/</t>
        </r>
        <r>
          <rPr>
            <b/>
            <sz val="9"/>
            <color indexed="81"/>
            <rFont val="Tahoma"/>
            <family val="2"/>
          </rPr>
          <t>Use Table</t>
        </r>
        <r>
          <rPr>
            <sz val="9"/>
            <color indexed="81"/>
            <rFont val="Tahoma"/>
            <family val="2"/>
          </rPr>
          <t>/“</t>
        </r>
        <r>
          <rPr>
            <b/>
            <sz val="9"/>
            <color indexed="81"/>
            <rFont val="Tahoma"/>
            <family val="2"/>
          </rPr>
          <t>The Use of Commodities by Industries</t>
        </r>
        <r>
          <rPr>
            <sz val="9"/>
            <color indexed="81"/>
            <rFont val="Tahoma"/>
            <family val="2"/>
          </rPr>
          <t>”/Sector Level, columns V (aggregated to 6 sectors)_2016</t>
        </r>
      </text>
    </comment>
    <comment ref="B8" authorId="0" shapeId="0" xr:uid="{0F5AC93C-2F46-4024-9D26-BB62341F1760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8" authorId="0" shapeId="0" xr:uid="{93FE7177-89D0-448E-A734-11C96B5496BB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8" authorId="0" shapeId="0" xr:uid="{EEFC9C2C-4B86-471A-B026-E5015C9E6D0B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8" authorId="0" shapeId="0" xr:uid="{DAFB0968-424B-42EE-A3A1-3A6F37B48753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8" authorId="0" shapeId="0" xr:uid="{2C43F4CE-951D-4CBC-A328-ED887E24B587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8" authorId="0" shapeId="0" xr:uid="{00231378-DA1B-48B0-A983-DC41D81F91F3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9" authorId="0" shapeId="0" xr:uid="{131555B4-582C-4F3C-9B62-7E2EBC0F705E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9" authorId="0" shapeId="0" xr:uid="{B4AB3375-820C-4E86-9971-BEF327CA695A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9" authorId="0" shapeId="0" xr:uid="{19EF706C-4976-4754-B9AF-084017744132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9" authorId="0" shapeId="0" xr:uid="{F98C7BD7-3908-4A6B-A183-C269C36E3383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9" authorId="0" shapeId="0" xr:uid="{9A54073C-AB60-4A94-BEA7-CD0F0FA14B40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9" authorId="0" shapeId="0" xr:uid="{5D053F8A-F900-4723-851B-85956D7F61BC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10" authorId="0" shapeId="0" xr:uid="{291D6629-9F9E-49B9-B703-3F58FE4994CF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10" authorId="0" shapeId="0" xr:uid="{D00F2706-EE40-4A20-8A25-BE43EEA50342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10" authorId="0" shapeId="0" xr:uid="{35D4210C-CD60-482F-A766-9E60540AE121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10" authorId="0" shapeId="0" xr:uid="{B4ADF31E-4A84-413F-8790-98A94779D3EC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10" authorId="0" shapeId="0" xr:uid="{1DBCA473-BD15-460D-8FF2-49908AC88654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10" authorId="0" shapeId="0" xr:uid="{AE348490-BBB1-4800-93BC-E27224276BC3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11" authorId="0" shapeId="0" xr:uid="{B2D53BAF-8F81-4083-9011-EB817168546B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11" authorId="0" shapeId="0" xr:uid="{17632F3A-57F7-4DF7-B78F-1E99D436F943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11" authorId="0" shapeId="0" xr:uid="{AACB05A2-3814-461F-AEFB-96DB2396B6D9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11" authorId="0" shapeId="0" xr:uid="{418DCC22-032F-4248-A029-D3560DE6A089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11" authorId="0" shapeId="0" xr:uid="{643E4CCA-4B44-4F6B-8A90-10DE3E44C142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11" authorId="0" shapeId="0" xr:uid="{632530AC-9555-41AD-814D-FCD55763F139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12" authorId="0" shapeId="0" xr:uid="{854889F0-1765-47E2-A466-A18D2FAC01FB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12" authorId="0" shapeId="0" xr:uid="{07933825-FC28-463B-8462-44EE00C13AC7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12" authorId="0" shapeId="0" xr:uid="{4C0F68D7-66B0-45F7-81DE-E02C4E03F60E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12" authorId="0" shapeId="0" xr:uid="{903F47E9-AB28-41BB-A7C8-D5E5825F4756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12" authorId="0" shapeId="0" xr:uid="{7DF755F0-4649-40D6-826F-50F08860BFF4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12" authorId="0" shapeId="0" xr:uid="{BE53ED59-A11C-466E-9EBA-760632D2946A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B13" authorId="0" shapeId="0" xr:uid="{2CEE20D9-D1EB-48F0-9635-69E9B693D0DD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C13" authorId="0" shapeId="0" xr:uid="{703917C4-E85A-435F-AE76-A5A4062F1977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D13" authorId="0" shapeId="0" xr:uid="{BB56EC96-218F-42E7-8C79-0249AA1648E9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E13" authorId="0" shapeId="0" xr:uid="{8C67CC4C-7CF5-424D-9115-F129281D8A27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F13" authorId="0" shapeId="0" xr:uid="{A52BD7B0-BA31-480A-B5EF-50303D52D352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G13" authorId="0" shapeId="0" xr:uid="{25B1ABD4-E260-4356-B6F2-CED68DF96DC6}">
      <text>
        <r>
          <rPr>
            <b/>
            <sz val="9"/>
            <color indexed="81"/>
            <rFont val="Tahoma"/>
            <family val="2"/>
          </rPr>
          <t xml:space="preserve">Eli: </t>
        </r>
        <r>
          <rPr>
            <sz val="9"/>
            <color indexed="81"/>
            <rFont val="Tahoma"/>
            <family val="2"/>
          </rPr>
          <t xml:space="preserve">BEA *[transposed!]
- Industry data/Input-Output/The </t>
        </r>
        <r>
          <rPr>
            <b/>
            <sz val="9"/>
            <color indexed="81"/>
            <rFont val="Tahoma"/>
            <family val="2"/>
          </rPr>
          <t>Supply Table</t>
        </r>
        <r>
          <rPr>
            <sz val="9"/>
            <color indexed="81"/>
            <rFont val="Tahoma"/>
            <family val="2"/>
          </rPr>
          <t xml:space="preserve">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columns C-P (aggregated to 6 sectors)_2016</t>
        </r>
      </text>
    </comment>
    <comment ref="H15" authorId="0" shapeId="0" xr:uid="{A0B52CD2-3000-47F0-BC05-532BF4FFF3BE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28 (Gross Operating Surplus), (aggregated to 6 sectors)_2016</t>
        </r>
      </text>
    </comment>
    <comment ref="I15" authorId="0" shapeId="0" xr:uid="{39B8A984-01DD-4A50-92E0-2FE611C933A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28 (Gross Operating Surplus), (aggregated to 6 sectors)_2016</t>
        </r>
      </text>
    </comment>
    <comment ref="J15" authorId="0" shapeId="0" xr:uid="{58A1B21D-B4C5-43E8-8CC3-6CD8853B725B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28 (Gross Operating Surplus), (aggregated to 6 sectors)_2016</t>
        </r>
      </text>
    </comment>
    <comment ref="K15" authorId="0" shapeId="0" xr:uid="{B6FB15E1-0972-499A-8A00-BB57B353CCC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28 (Gross Operating Surplus), (aggregated to 6 sectors)_2016</t>
        </r>
      </text>
    </comment>
    <comment ref="L15" authorId="0" shapeId="0" xr:uid="{61CEBB3C-3FBA-47F6-9282-F5773792567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28 (Gross Operating Surplus), (aggregated to 6 sectors)_2016</t>
        </r>
      </text>
    </comment>
    <comment ref="M15" authorId="0" shapeId="0" xr:uid="{36540F2B-512F-4D51-BD6A-50596BB064F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28 (Gross Operating Surplus), (aggregated to 6 sectors)_2016</t>
        </r>
      </text>
    </comment>
    <comment ref="Q15" authorId="0" shapeId="0" xr:uid="{7937738D-86A3-44B5-A918-4B8B2F09FE1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28 (Gross Operating Surplus), (aggregated to 6 sectors)_2016</t>
        </r>
      </text>
    </comment>
    <comment ref="H16" authorId="0" shapeId="0" xr:uid="{C5934925-64BD-404B-97BE-97E5B2D9B43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I16" authorId="0" shapeId="0" xr:uid="{B3B37334-BB58-4B11-B83C-2D89B0B98A4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J16" authorId="0" shapeId="0" xr:uid="{3820AC31-0763-4A2A-A0CA-0EC170FADC8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K16" authorId="0" shapeId="0" xr:uid="{3D05F934-5079-4748-8961-BEFAB732A86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L16" authorId="0" shapeId="0" xr:uid="{7230094F-7C80-4A4C-8517-314F386C7F35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M16" authorId="0" shapeId="0" xr:uid="{C6C2630F-BF4A-43A0-8C14-4BF7E08D8516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Q16" authorId="0" shapeId="0" xr:uid="{317206A0-3091-4725-ACBF-6B10FA033B7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 by Industries</t>
        </r>
        <r>
          <rPr>
            <sz val="9"/>
            <color indexed="81"/>
            <rFont val="Tahoma"/>
            <family val="2"/>
          </rPr>
          <t>”/Sector Level, Row 26 (Comensation of employees), (aggregated to 6 sectors)_2016</t>
        </r>
      </text>
    </comment>
    <comment ref="H17" authorId="0" shapeId="0" xr:uid="{C91A2722-389F-4355-AD0E-1357F969CB77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</t>
        </r>
        <r>
          <rPr>
            <sz val="9"/>
            <color indexed="81"/>
            <rFont val="Tahoma"/>
            <family val="2"/>
          </rPr>
          <t xml:space="preserve"> by Industries”/Sector Level, Row 22 'Government', columns C-P (aggregated to 6 sectors)_2016</t>
        </r>
      </text>
    </comment>
    <comment ref="I17" authorId="0" shapeId="0" xr:uid="{AD9FF04C-F057-4774-9EA6-21CE62A0753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</t>
        </r>
        <r>
          <rPr>
            <sz val="9"/>
            <color indexed="81"/>
            <rFont val="Tahoma"/>
            <family val="2"/>
          </rPr>
          <t xml:space="preserve"> by Industries”/Sector Level, Row 22 'Government', columns C-P (aggregated to 6 sectors)_2016</t>
        </r>
      </text>
    </comment>
    <comment ref="J17" authorId="0" shapeId="0" xr:uid="{FE2C7E4A-FC30-47AD-9A41-96A59B9EB78E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</t>
        </r>
        <r>
          <rPr>
            <sz val="9"/>
            <color indexed="81"/>
            <rFont val="Tahoma"/>
            <family val="2"/>
          </rPr>
          <t xml:space="preserve"> by Industries”/Sector Level, Row 22 'Government', columns C-P (aggregated to 6 sectors)_2016</t>
        </r>
      </text>
    </comment>
    <comment ref="K17" authorId="0" shapeId="0" xr:uid="{C8D7B3BB-C815-4033-9D23-F5E6468A1BC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</t>
        </r>
        <r>
          <rPr>
            <sz val="9"/>
            <color indexed="81"/>
            <rFont val="Tahoma"/>
            <family val="2"/>
          </rPr>
          <t xml:space="preserve"> by Industries”/Sector Level, Row 22 'Government', columns C-P (aggregated to 6 sectors)_2016</t>
        </r>
      </text>
    </comment>
    <comment ref="L17" authorId="0" shapeId="0" xr:uid="{5AA2ABC9-DA33-45A2-BC69-E132B6759FD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</t>
        </r>
        <r>
          <rPr>
            <sz val="9"/>
            <color indexed="81"/>
            <rFont val="Tahoma"/>
            <family val="2"/>
          </rPr>
          <t xml:space="preserve"> by Industries”/Sector Level, Row 22 'Government', columns C-P (aggregated to 6 sectors)_2016</t>
        </r>
      </text>
    </comment>
    <comment ref="M17" authorId="0" shapeId="0" xr:uid="{9586434C-4073-4B6D-A656-7AEE1652811B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</t>
        </r>
        <r>
          <rPr>
            <sz val="9"/>
            <color indexed="81"/>
            <rFont val="Tahoma"/>
            <family val="2"/>
          </rPr>
          <t xml:space="preserve"> by Industries”/Sector Level, Row 22 'Government', columns C-P (aggregated to 6 sectors)_2016</t>
        </r>
      </text>
    </comment>
    <comment ref="R17" authorId="0" shapeId="0" xr:uid="{AC0C6EB4-C1A2-4617-87F1-58632F40BD3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</t>
        </r>
        <r>
          <rPr>
            <sz val="9"/>
            <color indexed="81"/>
            <rFont val="Tahoma"/>
            <family val="2"/>
          </rPr>
          <t xml:space="preserve"> by Industries”/Sector Level, Row 22 'Government', column S 'Personal Consumption  Expenditures' (aggregated to 6 sectors)_2016</t>
        </r>
      </text>
    </comment>
    <comment ref="Y17" authorId="0" shapeId="0" xr:uid="{24D00AEE-5A7A-46FE-B131-ECE3D4D2D50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BEA-Industry data/Input-Output/Use Table/“The </t>
        </r>
        <r>
          <rPr>
            <b/>
            <sz val="9"/>
            <color indexed="81"/>
            <rFont val="Tahoma"/>
            <family val="2"/>
          </rPr>
          <t>Use of Commodities</t>
        </r>
        <r>
          <rPr>
            <sz val="9"/>
            <color indexed="81"/>
            <rFont val="Tahoma"/>
            <family val="2"/>
          </rPr>
          <t xml:space="preserve"> by Industries”/Sector Level, Row 22 'Government', column V 'Exports of goods and services' (aggregated to 6 sectors)_2016</t>
        </r>
      </text>
    </comment>
    <comment ref="Q18" authorId="0" shapeId="0" xr:uid="{A18AA7B6-3E73-4227-85B3-3B89562A7D72}">
      <text>
        <r>
          <rPr>
            <b/>
            <sz val="9"/>
            <color indexed="81"/>
            <rFont val="Tahoma"/>
            <family val="2"/>
          </rPr>
          <t>Eli: BEA- Gov Current Receiprs and Expenditures</t>
        </r>
        <r>
          <rPr>
            <sz val="9"/>
            <color indexed="81"/>
            <rFont val="Tahoma"/>
            <family val="2"/>
          </rPr>
          <t>, row 31, Government Social Benefits -&gt; To Persons</t>
        </r>
      </text>
    </comment>
    <comment ref="H19" authorId="0" shapeId="0" xr:uid="{6943C907-827D-4FAA-B92C-55643F82BBBC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I19" authorId="0" shapeId="0" xr:uid="{C0676C45-E7A2-4162-98DE-A7308AE8C8F3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J19" authorId="0" shapeId="0" xr:uid="{D0D72B96-F7C3-4314-9989-01F85539FF82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K19" authorId="0" shapeId="0" xr:uid="{C07DEB48-089D-4CAB-AB1A-2ADF9F7A1086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L19" authorId="0" shapeId="0" xr:uid="{D2F72755-A178-428C-B181-F8746DF80405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M19" authorId="0" shapeId="0" xr:uid="{730BA8F8-07C6-498B-B06C-36F64C9AEC2E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H20" authorId="0" shapeId="0" xr:uid="{78142F3F-CDEA-4386-B713-949A94AD8BEB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I20" authorId="0" shapeId="0" xr:uid="{BF17EEF8-3234-4626-BD8A-DB966DAF935F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J20" authorId="0" shapeId="0" xr:uid="{618ABB38-AC7C-4AB7-B048-18A7D7DA4863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K20" authorId="0" shapeId="0" xr:uid="{837BE5BD-9045-4843-89C4-23AA72F19D3B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L20" authorId="0" shapeId="0" xr:uid="{BC3168F3-3D8D-49DD-8CA9-0EAA1CD8F8FF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M20" authorId="0" shapeId="0" xr:uid="{FC29362E-B4BC-4266-90A2-BFE1509F6A6A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B21" authorId="0" shapeId="0" xr:uid="{09A669EA-CC87-49DF-811B-DB9B98260FAD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C21" authorId="0" shapeId="0" xr:uid="{C28B614F-797A-4381-A12D-3497105C445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D21" authorId="0" shapeId="0" xr:uid="{B8EDA2A7-7040-4250-BB04-D14603D4E8BF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E21" authorId="0" shapeId="0" xr:uid="{201CF66D-A9F5-40C1-A100-D2B9F0ED6CAE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F21" authorId="0" shapeId="0" xr:uid="{8A1AA0DC-47E9-49A2-B263-F3F412B48A21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G21" authorId="0" shapeId="0" xr:uid="{F9EB544B-21FC-459A-8043-041B974E0594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Net product tax = columns Z (Tax on products + AA (Subsidies), (aggregated to 6 sectors)_2016</t>
        </r>
      </text>
    </comment>
    <comment ref="R22" authorId="0" shapeId="0" xr:uid="{49F26BBE-15C6-43AA-B4E7-A5C604BF63C8}">
      <text>
        <r>
          <rPr>
            <b/>
            <sz val="9"/>
            <color indexed="81"/>
            <rFont val="Tahoma"/>
            <family val="2"/>
          </rPr>
          <t>Eli:IMF</t>
        </r>
        <r>
          <rPr>
            <sz val="9"/>
            <color indexed="81"/>
            <rFont val="Tahoma"/>
            <family val="2"/>
          </rPr>
          <t xml:space="preserve"> Government Finance Statistics, Revenue, US, General Government, 2016  data.imf.org</t>
        </r>
      </text>
    </comment>
    <comment ref="B23" authorId="0" shapeId="0" xr:uid="{8ED2B7BA-F782-4489-9BAB-E4C7577D5EB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C23" authorId="0" shapeId="0" xr:uid="{5DED981C-7F40-464A-80E9-C9F8C67847F2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D23" authorId="0" shapeId="0" xr:uid="{483649F7-5A6D-46FB-828B-A4ED49EDA1FC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E23" authorId="0" shapeId="0" xr:uid="{965125BD-04FD-4AAC-A4E8-4A562BD38488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F23" authorId="0" shapeId="0" xr:uid="{9A992CDA-DE1F-4BDA-8DA3-D60C3A345944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G23" authorId="0" shapeId="0" xr:uid="{CFCA4597-7B64-4F44-A471-18A334C9C1B7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Domestic Supply of Commodities by Industries”/Sector Level, column Y (Import duties), (aggregated to 6 sectors)_2016</t>
        </r>
      </text>
    </comment>
    <comment ref="Q24" authorId="0" shapeId="0" xr:uid="{C9C81D7B-ED7F-46AC-8A28-6EFB94FFBC1A}">
      <text>
        <r>
          <rPr>
            <b/>
            <sz val="9"/>
            <color indexed="81"/>
            <rFont val="Tahoma"/>
            <family val="2"/>
          </rPr>
          <t>Eli: BEA- Gov Current Receiprs and Expenditures</t>
        </r>
        <r>
          <rPr>
            <sz val="9"/>
            <color indexed="81"/>
            <rFont val="Tahoma"/>
            <family val="2"/>
          </rPr>
          <t>, row 38, Net Government Savings</t>
        </r>
      </text>
    </comment>
    <comment ref="B25" authorId="0" shapeId="0" xr:uid="{18D15D04-7ACF-46CE-B4A4-B64B75246673}">
      <text>
        <r>
          <rPr>
            <b/>
            <sz val="9"/>
            <color indexed="81"/>
            <rFont val="Tahoma"/>
            <family val="2"/>
          </rPr>
          <t>Eli:</t>
        </r>
        <r>
          <rPr>
            <sz val="9"/>
            <color indexed="81"/>
            <rFont val="Tahoma"/>
            <family val="2"/>
          </rPr>
          <t xml:space="preserve"> Transposed!
BEA- Industry data/Input-Output/The Supply Table/”The </t>
        </r>
        <r>
          <rPr>
            <b/>
            <sz val="9"/>
            <color indexed="81"/>
            <rFont val="Tahoma"/>
            <family val="2"/>
          </rPr>
          <t>Domestic Supply of Commodities by Industries</t>
        </r>
        <r>
          <rPr>
            <sz val="9"/>
            <color indexed="81"/>
            <rFont val="Tahoma"/>
            <family val="2"/>
          </rPr>
          <t>”/Sector Level, column  S (Imports), (aggregated to 6 sectors)_2016</t>
        </r>
      </text>
    </comment>
  </commentList>
</comments>
</file>

<file path=xl/sharedStrings.xml><?xml version="1.0" encoding="utf-8"?>
<sst xmlns="http://schemas.openxmlformats.org/spreadsheetml/2006/main" count="92" uniqueCount="61">
  <si>
    <t>Gov</t>
  </si>
  <si>
    <t>HH</t>
  </si>
  <si>
    <t>Kdi</t>
  </si>
  <si>
    <t>Ldi</t>
  </si>
  <si>
    <t>Cdi</t>
  </si>
  <si>
    <t>TaxK</t>
  </si>
  <si>
    <t>TaxL</t>
  </si>
  <si>
    <t>TaxC</t>
  </si>
  <si>
    <t>TaxIn</t>
  </si>
  <si>
    <t>TaxImp</t>
  </si>
  <si>
    <t>InvSav</t>
  </si>
  <si>
    <t>RoW</t>
  </si>
  <si>
    <t>Total</t>
  </si>
  <si>
    <t>Pr_W_Im_foreignCurri</t>
  </si>
  <si>
    <t>Pr_W_Exp_foreignCurri</t>
  </si>
  <si>
    <t>Pr_Commods_toHomei</t>
  </si>
  <si>
    <t>Pr_CombCommods_toHomei</t>
  </si>
  <si>
    <t>KLsubselasi</t>
  </si>
  <si>
    <t>YinelasCommodsi</t>
  </si>
  <si>
    <t>ArmSubElasi</t>
  </si>
  <si>
    <t>TransformElasi</t>
  </si>
  <si>
    <t>numcommonds</t>
  </si>
  <si>
    <t>UnemplBenRate</t>
  </si>
  <si>
    <t>Frisch</t>
  </si>
  <si>
    <t>Philli</t>
  </si>
  <si>
    <t>Unempli</t>
  </si>
  <si>
    <t>Xchangei</t>
  </si>
  <si>
    <t>SavInv</t>
  </si>
  <si>
    <t>Balancingchecks</t>
  </si>
  <si>
    <t>Sec1-Agriculture, forestry, fishing, and hunting</t>
  </si>
  <si>
    <t>Sec2-MiningUtilitiesConstruction</t>
  </si>
  <si>
    <t>Sec3-Manufacturing</t>
  </si>
  <si>
    <t>Sec4-Wholesale tradeRetail tradeTransportation and warehousing</t>
  </si>
  <si>
    <t>Sec5-Information</t>
  </si>
  <si>
    <t>Sec6-Finance, insurance, real estate, rental, and leasingProfessional and business servicesEducational services, health care, and social assistanceArts, entertainment, recreation, accommodation, and food servicesOther services, except government</t>
  </si>
  <si>
    <t xml:space="preserve"> </t>
  </si>
  <si>
    <t>Commod-4-Wholesale tradeRetail tradeTransportation and warehousing</t>
  </si>
  <si>
    <t>Commod-5-Information</t>
  </si>
  <si>
    <t>Commod-6-Finance, insurance, real estate, rental, and leasingProfessional and business servicesEducational services, health care, and social assistanceArts, entertainment, recreation, accommodation, and food servicesOther services, except government</t>
  </si>
  <si>
    <t>Commod-1-Agriculture, forestry, fishing, and hunting</t>
  </si>
  <si>
    <t>Commod-2-MiningUtilitiesConstruction</t>
  </si>
  <si>
    <t>Commod-3-Manufacturing</t>
  </si>
  <si>
    <t>Unit is Millions of 2016 US$</t>
  </si>
  <si>
    <t>Unbalanced</t>
  </si>
  <si>
    <t>Re-balance</t>
  </si>
  <si>
    <t>ntoBalanace</t>
  </si>
  <si>
    <t>Unbalanced2</t>
  </si>
  <si>
    <t>Re-balance2</t>
  </si>
  <si>
    <t>ntoBalanace2</t>
  </si>
  <si>
    <t>Unbalanced3</t>
  </si>
  <si>
    <t>Re-balance3</t>
  </si>
  <si>
    <t>ntoBalanace3</t>
  </si>
  <si>
    <t>Unbalanced4</t>
  </si>
  <si>
    <t>Re-balance4</t>
  </si>
  <si>
    <t>ntoBalanace4</t>
  </si>
  <si>
    <t>Unbalanced5</t>
  </si>
  <si>
    <t>Re-balance5</t>
  </si>
  <si>
    <t>ntoBalanace5</t>
  </si>
  <si>
    <t>Unbalanced6</t>
  </si>
  <si>
    <t>Re-balance6</t>
  </si>
  <si>
    <t>ntoBalanace6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</si>
</sst>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%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7.5"/>
      <color rgb="FF000000"/>
      <name val="Arial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14" fillId="0" borderId="0" xfId="42" applyNumberFormat="1" applyFont="1"/>
    <xf numFmtId="164" fontId="0" fillId="0" borderId="0" xfId="42" applyNumberFormat="1" applyFont="1"/>
    <xf numFmtId="164" fontId="14" fillId="0" borderId="0" xfId="42" applyNumberFormat="1" applyFont="1" applyBorder="1"/>
    <xf numFmtId="164" fontId="0" fillId="0" borderId="0" xfId="42" quotePrefix="1" applyNumberFormat="1" applyFont="1"/>
    <xf numFmtId="164" fontId="14" fillId="0" borderId="0" xfId="42" applyNumberFormat="1" applyFont="1" applyFill="1"/>
    <xf numFmtId="164" fontId="20" fillId="0" borderId="0" xfId="42" applyNumberFormat="1" applyFont="1"/>
    <xf numFmtId="164" fontId="20" fillId="34" borderId="0" xfId="42" applyNumberFormat="1" applyFont="1" applyFill="1"/>
    <xf numFmtId="0" fontId="21" fillId="0" borderId="0" xfId="0" applyFont="1" applyBorder="1"/>
    <xf numFmtId="0" fontId="21" fillId="0" borderId="0" xfId="0" applyFont="1"/>
    <xf numFmtId="164" fontId="0" fillId="33" borderId="0" xfId="42" applyNumberFormat="1" applyFont="1" applyFill="1" applyBorder="1"/>
    <xf numFmtId="3" fontId="22" fillId="35" borderId="0" xfId="0" applyNumberFormat="1" applyFont="1" applyFill="1" applyAlignment="1">
      <alignment horizontal="right" vertical="center" wrapText="1"/>
    </xf>
    <xf numFmtId="3" fontId="22" fillId="0" borderId="0" xfId="0" applyNumberFormat="1" applyFont="1" applyAlignment="1">
      <alignment horizontal="right" vertical="center" wrapText="1"/>
    </xf>
    <xf numFmtId="165" fontId="0" fillId="0" borderId="0" xfId="43" applyNumberFormat="1" applyFont="1"/>
    <xf numFmtId="164" fontId="0" fillId="0" borderId="0" xfId="0" applyNumberFormat="1"/>
    <xf numFmtId="164" fontId="14" fillId="33" borderId="0" xfId="42" applyNumberFormat="1" applyFont="1" applyFill="1"/>
    <xf numFmtId="166" fontId="14" fillId="0" borderId="0" xfId="42" applyNumberFormat="1" applyFont="1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164" fontId="20" fillId="0" borderId="0" xfId="42" applyNumberFormat="1" applyFont="1" applyFill="1"/>
    <xf numFmtId="164" fontId="21" fillId="0" borderId="0" xfId="42" applyNumberFormat="1" applyFont="1" applyBorder="1"/>
    <xf numFmtId="38" fontId="21" fillId="0" borderId="0" xfId="42" applyNumberFormat="1" applyFont="1" applyBorder="1"/>
    <xf numFmtId="38" fontId="21" fillId="33" borderId="0" xfId="42" applyNumberFormat="1" applyFont="1" applyFill="1" applyBorder="1"/>
    <xf numFmtId="38" fontId="21" fillId="0" borderId="0" xfId="42" applyNumberFormat="1" applyFont="1" applyFill="1" applyBorder="1"/>
    <xf numFmtId="164" fontId="0" fillId="36" borderId="10" xfId="42" applyNumberFormat="1" applyFont="1" applyFill="1" applyBorder="1"/>
    <xf numFmtId="164" fontId="0" fillId="36" borderId="11" xfId="42" applyNumberFormat="1" applyFont="1" applyFill="1" applyBorder="1"/>
    <xf numFmtId="164" fontId="0" fillId="36" borderId="12" xfId="42" applyNumberFormat="1" applyFont="1" applyFill="1" applyBorder="1"/>
    <xf numFmtId="0" fontId="0" fillId="0" borderId="13" xfId="0" applyBorder="1"/>
    <xf numFmtId="164" fontId="0" fillId="0" borderId="13" xfId="42" applyNumberFormat="1" applyFont="1" applyBorder="1"/>
    <xf numFmtId="0" fontId="16" fillId="0" borderId="13" xfId="42" applyNumberFormat="1" applyFont="1" applyBorder="1"/>
    <xf numFmtId="38" fontId="21" fillId="0" borderId="14" xfId="42" applyNumberFormat="1" applyFont="1" applyBorder="1"/>
    <xf numFmtId="43" fontId="0" fillId="0" borderId="0" xfId="0" applyNumberFormat="1"/>
    <xf numFmtId="164" fontId="0" fillId="0" borderId="13" xfId="42" applyNumberFormat="1" applyFont="1" applyFill="1" applyBorder="1"/>
    <xf numFmtId="164" fontId="0" fillId="0" borderId="0" xfId="42" applyNumberFormat="1" applyFont="1" applyFill="1"/>
    <xf numFmtId="164" fontId="0" fillId="0" borderId="0" xfId="0" applyNumberFormat="1" applyFill="1"/>
    <xf numFmtId="43" fontId="0" fillId="0" borderId="0" xfId="0" applyNumberFormat="1" applyFill="1"/>
    <xf numFmtId="9" fontId="0" fillId="0" borderId="0" xfId="43" applyNumberFormat="1" applyFont="1"/>
    <xf numFmtId="43" fontId="21" fillId="0" borderId="0" xfId="0" applyNumberFormat="1" applyFont="1" applyFill="1"/>
    <xf numFmtId="164" fontId="21" fillId="0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12697</xdr:colOff>
      <xdr:row>16</xdr:row>
      <xdr:rowOff>23017</xdr:rowOff>
    </xdr:from>
    <xdr:ext cx="3352388" cy="15651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9C0997-73B4-45C4-9A94-A6D1975FE4B5}"/>
            </a:ext>
          </a:extLst>
        </xdr:cNvPr>
        <xdr:cNvSpPr txBox="1"/>
      </xdr:nvSpPr>
      <xdr:spPr>
        <a:xfrm>
          <a:off x="3759197" y="3317080"/>
          <a:ext cx="3352388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Gov row of</a:t>
          </a:r>
          <a:r>
            <a:rPr lang="en-AU" sz="1000" b="1" baseline="0">
              <a:solidFill>
                <a:srgbClr val="00B050"/>
              </a:solidFill>
            </a:rPr>
            <a:t> commod use (means gov services to sectors, right?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1</xdr:col>
      <xdr:colOff>79375</xdr:colOff>
      <xdr:row>1</xdr:row>
      <xdr:rowOff>15873</xdr:rowOff>
    </xdr:from>
    <xdr:ext cx="4968668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21A3E2C-BEF7-4A9B-AC15-BDD21D983B1D}"/>
            </a:ext>
          </a:extLst>
        </xdr:cNvPr>
        <xdr:cNvSpPr txBox="1"/>
      </xdr:nvSpPr>
      <xdr:spPr>
        <a:xfrm>
          <a:off x="1190625" y="206373"/>
          <a:ext cx="4968668" cy="172227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AU" sz="1100" b="1">
              <a:solidFill>
                <a:srgbClr val="00B050"/>
              </a:solidFill>
            </a:rPr>
            <a:t>ROWS: Sales</a:t>
          </a:r>
          <a:r>
            <a:rPr lang="en-AU" sz="1100" b="1" baseline="0">
              <a:solidFill>
                <a:srgbClr val="00B050"/>
              </a:solidFill>
            </a:rPr>
            <a:t> = Income = supply by rows, spending by column account on row services</a:t>
          </a:r>
          <a:endParaRPr lang="en-AU" sz="1100" b="1">
            <a:solidFill>
              <a:srgbClr val="00B050"/>
            </a:solidFill>
          </a:endParaRPr>
        </a:p>
      </xdr:txBody>
    </xdr:sp>
    <xdr:clientData/>
  </xdr:oneCellAnchor>
  <xdr:oneCellAnchor>
    <xdr:from>
      <xdr:col>1</xdr:col>
      <xdr:colOff>65080</xdr:colOff>
      <xdr:row>2</xdr:row>
      <xdr:rowOff>49214</xdr:rowOff>
    </xdr:from>
    <xdr:ext cx="681143" cy="8611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6A6232-52A6-4E48-9B73-91173C4A43D5}"/>
            </a:ext>
          </a:extLst>
        </xdr:cNvPr>
        <xdr:cNvSpPr txBox="1"/>
      </xdr:nvSpPr>
      <xdr:spPr>
        <a:xfrm>
          <a:off x="1176330" y="422277"/>
          <a:ext cx="681143" cy="861133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100" b="1">
              <a:solidFill>
                <a:srgbClr val="FFC000"/>
              </a:solidFill>
            </a:rPr>
            <a:t>COLUMNS:</a:t>
          </a:r>
        </a:p>
        <a:p>
          <a:r>
            <a:rPr lang="en-AU" sz="1100" b="1">
              <a:solidFill>
                <a:srgbClr val="FFC000"/>
              </a:solidFill>
            </a:rPr>
            <a:t> Spending: </a:t>
          </a:r>
        </a:p>
        <a:p>
          <a:r>
            <a:rPr lang="en-AU" sz="1100" b="1">
              <a:solidFill>
                <a:srgbClr val="FFC000"/>
              </a:solidFill>
            </a:rPr>
            <a:t>Purchase </a:t>
          </a:r>
        </a:p>
        <a:p>
          <a:r>
            <a:rPr lang="en-AU" sz="1100" b="1">
              <a:solidFill>
                <a:srgbClr val="FFC000"/>
              </a:solidFill>
            </a:rPr>
            <a:t>from </a:t>
          </a:r>
        </a:p>
        <a:p>
          <a:r>
            <a:rPr lang="en-AU" sz="1100" b="1">
              <a:solidFill>
                <a:srgbClr val="FFC000"/>
              </a:solidFill>
            </a:rPr>
            <a:t>row cell</a:t>
          </a:r>
          <a:r>
            <a:rPr lang="en-AU" sz="1100" b="1" baseline="0">
              <a:solidFill>
                <a:srgbClr val="FFC000"/>
              </a:solidFill>
            </a:rPr>
            <a:t> </a:t>
          </a:r>
          <a:endParaRPr lang="en-AU" sz="1100" b="1">
            <a:solidFill>
              <a:srgbClr val="FFC000"/>
            </a:solidFill>
          </a:endParaRPr>
        </a:p>
      </xdr:txBody>
    </xdr:sp>
    <xdr:clientData/>
  </xdr:oneCellAnchor>
  <xdr:oneCellAnchor>
    <xdr:from>
      <xdr:col>15</xdr:col>
      <xdr:colOff>287347</xdr:colOff>
      <xdr:row>1</xdr:row>
      <xdr:rowOff>88890</xdr:rowOff>
    </xdr:from>
    <xdr:ext cx="1912506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7406F2-1C6A-462D-A49A-8E60E71337A0}"/>
            </a:ext>
          </a:extLst>
        </xdr:cNvPr>
        <xdr:cNvSpPr txBox="1"/>
      </xdr:nvSpPr>
      <xdr:spPr>
        <a:xfrm>
          <a:off x="13086566" y="267484"/>
          <a:ext cx="1912506" cy="172227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100" b="1" baseline="0">
              <a:solidFill>
                <a:srgbClr val="00B050"/>
              </a:solidFill>
            </a:rPr>
            <a:t>Ag supply to Gov, income for Ag</a:t>
          </a:r>
          <a:endParaRPr lang="en-AU" sz="1100" b="1">
            <a:solidFill>
              <a:srgbClr val="00B050"/>
            </a:solidFill>
          </a:endParaRPr>
        </a:p>
      </xdr:txBody>
    </xdr:sp>
    <xdr:clientData/>
  </xdr:oneCellAnchor>
  <xdr:oneCellAnchor>
    <xdr:from>
      <xdr:col>14</xdr:col>
      <xdr:colOff>316313</xdr:colOff>
      <xdr:row>1</xdr:row>
      <xdr:rowOff>42850</xdr:rowOff>
    </xdr:from>
    <xdr:ext cx="568100" cy="86113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4F49CC-56AF-4277-8E05-B5CCCED201D3}"/>
            </a:ext>
          </a:extLst>
        </xdr:cNvPr>
        <xdr:cNvSpPr txBox="1"/>
      </xdr:nvSpPr>
      <xdr:spPr>
        <a:xfrm>
          <a:off x="12405126" y="233350"/>
          <a:ext cx="568100" cy="861133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100" b="1">
              <a:solidFill>
                <a:srgbClr val="FFC000"/>
              </a:solidFill>
            </a:rPr>
            <a:t>Gov</a:t>
          </a:r>
        </a:p>
        <a:p>
          <a:r>
            <a:rPr lang="en-AU" sz="1100" b="1">
              <a:solidFill>
                <a:srgbClr val="FFC000"/>
              </a:solidFill>
            </a:rPr>
            <a:t>demand</a:t>
          </a:r>
        </a:p>
        <a:p>
          <a:r>
            <a:rPr lang="en-AU" sz="1100" b="1">
              <a:solidFill>
                <a:srgbClr val="FFC000"/>
              </a:solidFill>
            </a:rPr>
            <a:t>for/</a:t>
          </a:r>
        </a:p>
        <a:p>
          <a:r>
            <a:rPr lang="en-AU" sz="1100" b="1">
              <a:solidFill>
                <a:srgbClr val="FFC000"/>
              </a:solidFill>
            </a:rPr>
            <a:t>spending</a:t>
          </a:r>
        </a:p>
        <a:p>
          <a:r>
            <a:rPr lang="en-AU" sz="1100" b="1">
              <a:solidFill>
                <a:srgbClr val="FFC000"/>
              </a:solidFill>
            </a:rPr>
            <a:t>on Ag</a:t>
          </a:r>
        </a:p>
      </xdr:txBody>
    </xdr:sp>
    <xdr:clientData/>
  </xdr:oneCellAnchor>
  <xdr:oneCellAnchor>
    <xdr:from>
      <xdr:col>2</xdr:col>
      <xdr:colOff>250842</xdr:colOff>
      <xdr:row>19</xdr:row>
      <xdr:rowOff>58733</xdr:rowOff>
    </xdr:from>
    <xdr:ext cx="3159835" cy="15651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22303A4-3CBE-4B8A-BC7C-659E748FC11F}"/>
            </a:ext>
          </a:extLst>
        </xdr:cNvPr>
        <xdr:cNvSpPr txBox="1"/>
      </xdr:nvSpPr>
      <xdr:spPr>
        <a:xfrm>
          <a:off x="2171717" y="3900483"/>
          <a:ext cx="3159835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T(Net) ax</a:t>
          </a:r>
          <a:r>
            <a:rPr lang="en-AU" sz="1000" b="1" baseline="0">
              <a:solidFill>
                <a:srgbClr val="00B050"/>
              </a:solidFill>
            </a:rPr>
            <a:t> on commodities, transposed from Supply Table *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2</xdr:col>
      <xdr:colOff>266717</xdr:colOff>
      <xdr:row>21</xdr:row>
      <xdr:rowOff>81750</xdr:rowOff>
    </xdr:from>
    <xdr:ext cx="3408365" cy="15651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5BA167-5826-4CD8-9261-9ED602769D79}"/>
            </a:ext>
          </a:extLst>
        </xdr:cNvPr>
        <xdr:cNvSpPr txBox="1"/>
      </xdr:nvSpPr>
      <xdr:spPr>
        <a:xfrm>
          <a:off x="2187592" y="4288625"/>
          <a:ext cx="3408365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Import Duties</a:t>
          </a:r>
          <a:r>
            <a:rPr lang="en-AU" sz="1000" b="1" baseline="0">
              <a:solidFill>
                <a:srgbClr val="00B050"/>
              </a:solidFill>
            </a:rPr>
            <a:t> on commodities, transposed from Supply Table *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2</xdr:col>
      <xdr:colOff>368316</xdr:colOff>
      <xdr:row>23</xdr:row>
      <xdr:rowOff>56349</xdr:rowOff>
    </xdr:from>
    <xdr:ext cx="3067053" cy="15651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4BB17EE-79E3-4E73-B3D1-FCEC2DB34652}"/>
            </a:ext>
          </a:extLst>
        </xdr:cNvPr>
        <xdr:cNvSpPr txBox="1"/>
      </xdr:nvSpPr>
      <xdr:spPr>
        <a:xfrm>
          <a:off x="2297129" y="4521193"/>
          <a:ext cx="3067053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Import </a:t>
          </a:r>
          <a:r>
            <a:rPr lang="en-AU" sz="1000" b="1" baseline="0">
              <a:solidFill>
                <a:srgbClr val="00B050"/>
              </a:solidFill>
            </a:rPr>
            <a:t>of commodities, transposed from Supply Table *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3</xdr:col>
      <xdr:colOff>423843</xdr:colOff>
      <xdr:row>15</xdr:row>
      <xdr:rowOff>11897</xdr:rowOff>
    </xdr:from>
    <xdr:ext cx="3593864" cy="15651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914D74F-2E6E-4E0A-801C-034096D39206}"/>
            </a:ext>
          </a:extLst>
        </xdr:cNvPr>
        <xdr:cNvSpPr txBox="1"/>
      </xdr:nvSpPr>
      <xdr:spPr>
        <a:xfrm>
          <a:off x="3257531" y="3123397"/>
          <a:ext cx="3593864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Compensation row of</a:t>
          </a:r>
          <a:r>
            <a:rPr lang="en-AU" sz="1000" b="1" baseline="0">
              <a:solidFill>
                <a:srgbClr val="00B050"/>
              </a:solidFill>
            </a:rPr>
            <a:t> use (means Labour services to sectors, right?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2</xdr:col>
      <xdr:colOff>611924</xdr:colOff>
      <xdr:row>14</xdr:row>
      <xdr:rowOff>20637</xdr:rowOff>
    </xdr:from>
    <xdr:ext cx="4171843" cy="15651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7A4E361-EE77-4391-9A88-BCCABEE383D0}"/>
            </a:ext>
          </a:extLst>
        </xdr:cNvPr>
        <xdr:cNvSpPr txBox="1"/>
      </xdr:nvSpPr>
      <xdr:spPr>
        <a:xfrm>
          <a:off x="2540737" y="2520950"/>
          <a:ext cx="4171843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Gross Operating Surplus row of</a:t>
          </a:r>
          <a:r>
            <a:rPr lang="en-AU" sz="1000" b="1" baseline="0">
              <a:solidFill>
                <a:srgbClr val="00B050"/>
              </a:solidFill>
            </a:rPr>
            <a:t> use (means Kapital 'services' to sectors, right?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8</xdr:col>
      <xdr:colOff>343703</xdr:colOff>
      <xdr:row>11</xdr:row>
      <xdr:rowOff>97619</xdr:rowOff>
    </xdr:from>
    <xdr:ext cx="2831609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385C224-8710-49F8-A195-4D4A6667191E}"/>
            </a:ext>
          </a:extLst>
        </xdr:cNvPr>
        <xdr:cNvSpPr txBox="1"/>
      </xdr:nvSpPr>
      <xdr:spPr>
        <a:xfrm>
          <a:off x="7737484" y="2062150"/>
          <a:ext cx="2831609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??? This is initial</a:t>
          </a:r>
          <a:r>
            <a:rPr lang="en-AU" sz="1100" baseline="0"/>
            <a:t> levels of Commod demad ???</a:t>
          </a:r>
          <a:endParaRPr lang="en-AU" sz="1100"/>
        </a:p>
      </xdr:txBody>
    </xdr:sp>
    <xdr:clientData/>
  </xdr:oneCellAnchor>
  <xdr:oneCellAnchor>
    <xdr:from>
      <xdr:col>24</xdr:col>
      <xdr:colOff>711328</xdr:colOff>
      <xdr:row>2</xdr:row>
      <xdr:rowOff>54714</xdr:rowOff>
    </xdr:from>
    <xdr:ext cx="219163" cy="5837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EC4029E-4666-4200-AE64-40854D4D6EB2}"/>
            </a:ext>
          </a:extLst>
        </xdr:cNvPr>
        <xdr:cNvSpPr txBox="1"/>
      </xdr:nvSpPr>
      <xdr:spPr>
        <a:xfrm rot="5400000">
          <a:off x="20091006" y="594193"/>
          <a:ext cx="583746" cy="219163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400"/>
            <a:t>Exports</a:t>
          </a:r>
        </a:p>
      </xdr:txBody>
    </xdr:sp>
    <xdr:clientData/>
  </xdr:oneCellAnchor>
  <xdr:oneCellAnchor>
    <xdr:from>
      <xdr:col>23</xdr:col>
      <xdr:colOff>484979</xdr:colOff>
      <xdr:row>22</xdr:row>
      <xdr:rowOff>20636</xdr:rowOff>
    </xdr:from>
    <xdr:ext cx="923967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A9567-9968-4AA1-913D-F38D9C0482F9}"/>
            </a:ext>
          </a:extLst>
        </xdr:cNvPr>
        <xdr:cNvSpPr txBox="1"/>
      </xdr:nvSpPr>
      <xdr:spPr>
        <a:xfrm>
          <a:off x="18987292" y="3949699"/>
          <a:ext cx="923967" cy="172227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pPr marL="0" indent="0"/>
          <a:r>
            <a:rPr lang="en-AU" sz="1100">
              <a:solidFill>
                <a:schemeClr val="tx1"/>
              </a:solidFill>
              <a:latin typeface="+mn-lt"/>
              <a:ea typeface="+mn-ea"/>
              <a:cs typeface="+mn-cs"/>
            </a:rPr>
            <a:t>Foreign Savings</a:t>
          </a:r>
        </a:p>
      </xdr:txBody>
    </xdr:sp>
    <xdr:clientData/>
  </xdr:oneCellAnchor>
  <xdr:oneCellAnchor>
    <xdr:from>
      <xdr:col>16</xdr:col>
      <xdr:colOff>145272</xdr:colOff>
      <xdr:row>16</xdr:row>
      <xdr:rowOff>53180</xdr:rowOff>
    </xdr:from>
    <xdr:ext cx="568677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5295B19-8E65-402C-95F8-4C3F12042A12}"/>
            </a:ext>
          </a:extLst>
        </xdr:cNvPr>
        <xdr:cNvSpPr txBox="1"/>
      </xdr:nvSpPr>
      <xdr:spPr>
        <a:xfrm>
          <a:off x="13694585" y="2910680"/>
          <a:ext cx="568677" cy="172227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pPr marL="0" indent="0"/>
          <a:r>
            <a:rPr lang="en-AU" sz="1100">
              <a:solidFill>
                <a:schemeClr val="tx1"/>
              </a:solidFill>
              <a:latin typeface="+mn-lt"/>
              <a:ea typeface="+mn-ea"/>
              <a:cs typeface="+mn-cs"/>
            </a:rPr>
            <a:t>Transfers</a:t>
          </a:r>
        </a:p>
      </xdr:txBody>
    </xdr:sp>
    <xdr:clientData/>
  </xdr:oneCellAnchor>
  <xdr:oneCellAnchor>
    <xdr:from>
      <xdr:col>22</xdr:col>
      <xdr:colOff>400156</xdr:colOff>
      <xdr:row>0</xdr:row>
      <xdr:rowOff>0</xdr:rowOff>
    </xdr:from>
    <xdr:ext cx="438325" cy="290245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174E51C-7120-4DCF-B702-9960DDC51E32}"/>
            </a:ext>
          </a:extLst>
        </xdr:cNvPr>
        <xdr:cNvSpPr txBox="1"/>
      </xdr:nvSpPr>
      <xdr:spPr>
        <a:xfrm rot="5400000">
          <a:off x="18158559" y="1232066"/>
          <a:ext cx="2902457" cy="438325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400"/>
            <a:t>So far, Private Investment</a:t>
          </a:r>
        </a:p>
        <a:p>
          <a:r>
            <a:rPr lang="en-AU" sz="1400"/>
            <a:t>But there's the Gov</a:t>
          </a:r>
          <a:r>
            <a:rPr lang="en-AU" sz="1400" baseline="0"/>
            <a:t> Investment missing</a:t>
          </a:r>
          <a:endParaRPr lang="en-AU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609601</xdr:colOff>
      <xdr:row>1</xdr:row>
      <xdr:rowOff>4764</xdr:rowOff>
    </xdr:from>
    <xdr:ext cx="3721100" cy="10314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2D727A-3715-42B5-B41E-E3D8799CFA17}"/>
            </a:ext>
          </a:extLst>
        </xdr:cNvPr>
        <xdr:cNvSpPr txBox="1"/>
      </xdr:nvSpPr>
      <xdr:spPr>
        <a:xfrm>
          <a:off x="7181851" y="188914"/>
          <a:ext cx="3721100" cy="1031436"/>
        </a:xfrm>
        <a:prstGeom prst="rect">
          <a:avLst/>
        </a:prstGeom>
        <a:solidFill>
          <a:schemeClr val="bg1">
            <a:lumMod val="85000"/>
            <a:alpha val="7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1000" b="1"/>
            <a:t>Intermediate Demand </a:t>
          </a:r>
          <a:r>
            <a:rPr lang="en-AU" sz="1000"/>
            <a:t>(?) Commodity Demand of Industry (Eli)</a:t>
          </a:r>
        </a:p>
        <a:p>
          <a:r>
            <a:rPr lang="en-AU" sz="1000"/>
            <a:t>[from Data Linkages, 1991)</a:t>
          </a:r>
        </a:p>
        <a:p>
          <a:r>
            <a:rPr lang="en-AU" sz="1000"/>
            <a:t>'Intermediate Consumption'</a:t>
          </a:r>
        </a:p>
        <a:p>
          <a:r>
            <a:rPr lang="en-AU" sz="1000">
              <a:hlinkClick xmlns:r="http://schemas.openxmlformats.org/officeDocument/2006/relationships" r:id=""/>
            </a:rPr>
            <a:t>https://www.un.org/en/development/desa/policy/mdg_workshops/eclac_training_mdgs/round_2003_sams_chapter14.pdf</a:t>
          </a:r>
          <a:endParaRPr lang="en-AU" sz="1000"/>
        </a:p>
        <a:p>
          <a:r>
            <a:rPr lang="en-AU" sz="1000"/>
            <a:t>'Production Activity' Burfisher</a:t>
          </a:r>
        </a:p>
      </xdr:txBody>
    </xdr:sp>
    <xdr:clientData/>
  </xdr:oneCellAnchor>
  <xdr:oneCellAnchor>
    <xdr:from>
      <xdr:col>1</xdr:col>
      <xdr:colOff>765126</xdr:colOff>
      <xdr:row>7</xdr:row>
      <xdr:rowOff>73452</xdr:rowOff>
    </xdr:from>
    <xdr:ext cx="3507389" cy="103143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7AC2F7-63AC-4F9A-A830-785349BBF869}"/>
            </a:ext>
          </a:extLst>
        </xdr:cNvPr>
        <xdr:cNvSpPr txBox="1"/>
      </xdr:nvSpPr>
      <xdr:spPr>
        <a:xfrm>
          <a:off x="1876376" y="1332869"/>
          <a:ext cx="3507389" cy="1031436"/>
        </a:xfrm>
        <a:prstGeom prst="rect">
          <a:avLst/>
        </a:prstGeom>
        <a:solidFill>
          <a:schemeClr val="bg1">
            <a:lumMod val="85000"/>
            <a:alpha val="7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1000" b="1"/>
            <a:t>Domestic Supply</a:t>
          </a:r>
          <a:r>
            <a:rPr lang="en-AU" sz="1000"/>
            <a:t> (?) [from Data Linkages, 1991)</a:t>
          </a:r>
        </a:p>
        <a:p>
          <a:r>
            <a:rPr lang="en-AU" sz="1000"/>
            <a:t>Domestic Sales</a:t>
          </a:r>
          <a:r>
            <a:rPr lang="en-AU" sz="1000" baseline="0"/>
            <a:t> </a:t>
          </a:r>
          <a:r>
            <a:rPr lang="en-AU" sz="1000">
              <a:hlinkClick xmlns:r="http://schemas.openxmlformats.org/officeDocument/2006/relationships" r:id=""/>
            </a:rPr>
            <a:t>https://www.un.org/en/development/desa/policy/mdg_workshops/eclac_training_mdgs/round_2003_sams_chapter14.pdf</a:t>
          </a:r>
          <a:endParaRPr lang="en-AU" sz="1000"/>
        </a:p>
        <a:p>
          <a:r>
            <a:rPr lang="en-AU" sz="1000"/>
            <a:t>Activity</a:t>
          </a:r>
          <a:r>
            <a:rPr lang="en-AU" sz="1000" baseline="0"/>
            <a:t> (rows)/Dom Commods (cols) "Where industry sells its output: Burfisher</a:t>
          </a:r>
          <a:endParaRPr lang="en-AU" sz="1000"/>
        </a:p>
      </xdr:txBody>
    </xdr:sp>
    <xdr:clientData/>
  </xdr:oneCellAnchor>
  <xdr:oneCellAnchor>
    <xdr:from>
      <xdr:col>4</xdr:col>
      <xdr:colOff>12697</xdr:colOff>
      <xdr:row>16</xdr:row>
      <xdr:rowOff>23017</xdr:rowOff>
    </xdr:from>
    <xdr:ext cx="3352388" cy="15651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F512787-BF33-4929-AFBE-685E4707968E}"/>
            </a:ext>
          </a:extLst>
        </xdr:cNvPr>
        <xdr:cNvSpPr txBox="1"/>
      </xdr:nvSpPr>
      <xdr:spPr>
        <a:xfrm>
          <a:off x="3762372" y="2921792"/>
          <a:ext cx="3352388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Gov row of</a:t>
          </a:r>
          <a:r>
            <a:rPr lang="en-AU" sz="1000" b="1" baseline="0">
              <a:solidFill>
                <a:srgbClr val="00B050"/>
              </a:solidFill>
            </a:rPr>
            <a:t> commod use (means gov services to sectors, right?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1</xdr:col>
      <xdr:colOff>93133</xdr:colOff>
      <xdr:row>0</xdr:row>
      <xdr:rowOff>178857</xdr:rowOff>
    </xdr:from>
    <xdr:ext cx="4968668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945659D-1CDD-4404-90B5-B0E795E3BC3F}"/>
            </a:ext>
          </a:extLst>
        </xdr:cNvPr>
        <xdr:cNvSpPr txBox="1"/>
      </xdr:nvSpPr>
      <xdr:spPr>
        <a:xfrm>
          <a:off x="1204383" y="178857"/>
          <a:ext cx="4968668" cy="172227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AU" sz="1100" b="1">
              <a:solidFill>
                <a:srgbClr val="00B050"/>
              </a:solidFill>
            </a:rPr>
            <a:t>ROWS: Sales</a:t>
          </a:r>
          <a:r>
            <a:rPr lang="en-AU" sz="1100" b="1" baseline="0">
              <a:solidFill>
                <a:srgbClr val="00B050"/>
              </a:solidFill>
            </a:rPr>
            <a:t> = Income = supply by rows, spending by column account on row services</a:t>
          </a:r>
          <a:endParaRPr lang="en-AU" sz="1100" b="1">
            <a:solidFill>
              <a:srgbClr val="00B050"/>
            </a:solidFill>
          </a:endParaRPr>
        </a:p>
      </xdr:txBody>
    </xdr:sp>
    <xdr:clientData/>
  </xdr:oneCellAnchor>
  <xdr:oneCellAnchor>
    <xdr:from>
      <xdr:col>1</xdr:col>
      <xdr:colOff>78838</xdr:colOff>
      <xdr:row>2</xdr:row>
      <xdr:rowOff>38631</xdr:rowOff>
    </xdr:from>
    <xdr:ext cx="681143" cy="8611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60AE41-8C31-4604-84AD-73D737625E2D}"/>
            </a:ext>
          </a:extLst>
        </xdr:cNvPr>
        <xdr:cNvSpPr txBox="1"/>
      </xdr:nvSpPr>
      <xdr:spPr>
        <a:xfrm>
          <a:off x="1190088" y="398464"/>
          <a:ext cx="681143" cy="861133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100" b="1">
              <a:solidFill>
                <a:srgbClr val="FFC000"/>
              </a:solidFill>
            </a:rPr>
            <a:t>COLUMNS:</a:t>
          </a:r>
        </a:p>
        <a:p>
          <a:r>
            <a:rPr lang="en-AU" sz="1100" b="1">
              <a:solidFill>
                <a:srgbClr val="FFC000"/>
              </a:solidFill>
            </a:rPr>
            <a:t> Spending: </a:t>
          </a:r>
        </a:p>
        <a:p>
          <a:r>
            <a:rPr lang="en-AU" sz="1100" b="1">
              <a:solidFill>
                <a:srgbClr val="FFC000"/>
              </a:solidFill>
            </a:rPr>
            <a:t>Purchase </a:t>
          </a:r>
        </a:p>
        <a:p>
          <a:r>
            <a:rPr lang="en-AU" sz="1100" b="1">
              <a:solidFill>
                <a:srgbClr val="FFC000"/>
              </a:solidFill>
            </a:rPr>
            <a:t>from </a:t>
          </a:r>
        </a:p>
        <a:p>
          <a:r>
            <a:rPr lang="en-AU" sz="1100" b="1">
              <a:solidFill>
                <a:srgbClr val="FFC000"/>
              </a:solidFill>
            </a:rPr>
            <a:t>row cell</a:t>
          </a:r>
          <a:r>
            <a:rPr lang="en-AU" sz="1100" b="1" baseline="0">
              <a:solidFill>
                <a:srgbClr val="FFC000"/>
              </a:solidFill>
            </a:rPr>
            <a:t> </a:t>
          </a:r>
          <a:endParaRPr lang="en-AU" sz="1100" b="1">
            <a:solidFill>
              <a:srgbClr val="FFC000"/>
            </a:solidFill>
          </a:endParaRPr>
        </a:p>
      </xdr:txBody>
    </xdr:sp>
    <xdr:clientData/>
  </xdr:oneCellAnchor>
  <xdr:oneCellAnchor>
    <xdr:from>
      <xdr:col>15</xdr:col>
      <xdr:colOff>287347</xdr:colOff>
      <xdr:row>1</xdr:row>
      <xdr:rowOff>17453</xdr:rowOff>
    </xdr:from>
    <xdr:ext cx="1912506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17E8E26-B92F-4B5E-9712-B7877FC9A814}"/>
            </a:ext>
          </a:extLst>
        </xdr:cNvPr>
        <xdr:cNvSpPr txBox="1"/>
      </xdr:nvSpPr>
      <xdr:spPr>
        <a:xfrm>
          <a:off x="13079422" y="198428"/>
          <a:ext cx="1912506" cy="172227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100" b="1" baseline="0">
              <a:solidFill>
                <a:srgbClr val="00B050"/>
              </a:solidFill>
            </a:rPr>
            <a:t>Ag supply to Gov, income for Ag</a:t>
          </a:r>
          <a:endParaRPr lang="en-AU" sz="1100" b="1">
            <a:solidFill>
              <a:srgbClr val="00B050"/>
            </a:solidFill>
          </a:endParaRPr>
        </a:p>
      </xdr:txBody>
    </xdr:sp>
    <xdr:clientData/>
  </xdr:oneCellAnchor>
  <xdr:oneCellAnchor>
    <xdr:from>
      <xdr:col>14</xdr:col>
      <xdr:colOff>316313</xdr:colOff>
      <xdr:row>1</xdr:row>
      <xdr:rowOff>42850</xdr:rowOff>
    </xdr:from>
    <xdr:ext cx="568100" cy="86113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A2554CB-70FC-46E7-8C0E-5F50FC838490}"/>
            </a:ext>
          </a:extLst>
        </xdr:cNvPr>
        <xdr:cNvSpPr txBox="1"/>
      </xdr:nvSpPr>
      <xdr:spPr>
        <a:xfrm>
          <a:off x="12362263" y="227000"/>
          <a:ext cx="568100" cy="861133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100" b="1">
              <a:solidFill>
                <a:srgbClr val="FFC000"/>
              </a:solidFill>
            </a:rPr>
            <a:t>Gov</a:t>
          </a:r>
        </a:p>
        <a:p>
          <a:r>
            <a:rPr lang="en-AU" sz="1100" b="1">
              <a:solidFill>
                <a:srgbClr val="FFC000"/>
              </a:solidFill>
            </a:rPr>
            <a:t>demand</a:t>
          </a:r>
        </a:p>
        <a:p>
          <a:r>
            <a:rPr lang="en-AU" sz="1100" b="1">
              <a:solidFill>
                <a:srgbClr val="FFC000"/>
              </a:solidFill>
            </a:rPr>
            <a:t>for/</a:t>
          </a:r>
        </a:p>
        <a:p>
          <a:r>
            <a:rPr lang="en-AU" sz="1100" b="1">
              <a:solidFill>
                <a:srgbClr val="FFC000"/>
              </a:solidFill>
            </a:rPr>
            <a:t>spending</a:t>
          </a:r>
        </a:p>
        <a:p>
          <a:r>
            <a:rPr lang="en-AU" sz="1100" b="1">
              <a:solidFill>
                <a:srgbClr val="FFC000"/>
              </a:solidFill>
            </a:rPr>
            <a:t>on Ag</a:t>
          </a:r>
        </a:p>
      </xdr:txBody>
    </xdr:sp>
    <xdr:clientData/>
  </xdr:oneCellAnchor>
  <xdr:oneCellAnchor>
    <xdr:from>
      <xdr:col>2</xdr:col>
      <xdr:colOff>250842</xdr:colOff>
      <xdr:row>19</xdr:row>
      <xdr:rowOff>58733</xdr:rowOff>
    </xdr:from>
    <xdr:ext cx="3159835" cy="15651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2380890-7849-4162-8E95-FDF021BE49A6}"/>
            </a:ext>
          </a:extLst>
        </xdr:cNvPr>
        <xdr:cNvSpPr txBox="1"/>
      </xdr:nvSpPr>
      <xdr:spPr>
        <a:xfrm>
          <a:off x="2178067" y="3497258"/>
          <a:ext cx="3159835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T(Net) ax</a:t>
          </a:r>
          <a:r>
            <a:rPr lang="en-AU" sz="1000" b="1" baseline="0">
              <a:solidFill>
                <a:srgbClr val="00B050"/>
              </a:solidFill>
            </a:rPr>
            <a:t> on commodities, transposed from Supply Table *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2</xdr:col>
      <xdr:colOff>266717</xdr:colOff>
      <xdr:row>21</xdr:row>
      <xdr:rowOff>81750</xdr:rowOff>
    </xdr:from>
    <xdr:ext cx="3408365" cy="15651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67D9DF-0C01-4717-87BB-46ED0394654E}"/>
            </a:ext>
          </a:extLst>
        </xdr:cNvPr>
        <xdr:cNvSpPr txBox="1"/>
      </xdr:nvSpPr>
      <xdr:spPr>
        <a:xfrm>
          <a:off x="2190767" y="3885400"/>
          <a:ext cx="3408365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Import Duties</a:t>
          </a:r>
          <a:r>
            <a:rPr lang="en-AU" sz="1000" b="1" baseline="0">
              <a:solidFill>
                <a:srgbClr val="00B050"/>
              </a:solidFill>
            </a:rPr>
            <a:t> on commodities, transposed from Supply Table *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2</xdr:col>
      <xdr:colOff>368316</xdr:colOff>
      <xdr:row>23</xdr:row>
      <xdr:rowOff>56349</xdr:rowOff>
    </xdr:from>
    <xdr:ext cx="3067053" cy="15651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70716F7-BA3D-456A-8DF5-5EEC99381B21}"/>
            </a:ext>
          </a:extLst>
        </xdr:cNvPr>
        <xdr:cNvSpPr txBox="1"/>
      </xdr:nvSpPr>
      <xdr:spPr>
        <a:xfrm>
          <a:off x="2295541" y="4218774"/>
          <a:ext cx="3067053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Import </a:t>
          </a:r>
          <a:r>
            <a:rPr lang="en-AU" sz="1000" b="1" baseline="0">
              <a:solidFill>
                <a:srgbClr val="00B050"/>
              </a:solidFill>
            </a:rPr>
            <a:t>of commodities, transposed from Supply Table *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3</xdr:col>
      <xdr:colOff>423843</xdr:colOff>
      <xdr:row>15</xdr:row>
      <xdr:rowOff>11897</xdr:rowOff>
    </xdr:from>
    <xdr:ext cx="3593864" cy="15651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114850-2151-41B1-A839-26588C8B6304}"/>
            </a:ext>
          </a:extLst>
        </xdr:cNvPr>
        <xdr:cNvSpPr txBox="1"/>
      </xdr:nvSpPr>
      <xdr:spPr>
        <a:xfrm>
          <a:off x="3265468" y="2723347"/>
          <a:ext cx="3593864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Compensation row of</a:t>
          </a:r>
          <a:r>
            <a:rPr lang="en-AU" sz="1000" b="1" baseline="0">
              <a:solidFill>
                <a:srgbClr val="00B050"/>
              </a:solidFill>
            </a:rPr>
            <a:t> use (means Labour services to sectors, right?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2</xdr:col>
      <xdr:colOff>611924</xdr:colOff>
      <xdr:row>14</xdr:row>
      <xdr:rowOff>20637</xdr:rowOff>
    </xdr:from>
    <xdr:ext cx="4171843" cy="15651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A2E7F06-ECA3-45A4-B647-4316AB8F91DD}"/>
            </a:ext>
          </a:extLst>
        </xdr:cNvPr>
        <xdr:cNvSpPr txBox="1"/>
      </xdr:nvSpPr>
      <xdr:spPr>
        <a:xfrm>
          <a:off x="2535974" y="2554287"/>
          <a:ext cx="4171843" cy="156518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000" b="1">
              <a:solidFill>
                <a:srgbClr val="00B050"/>
              </a:solidFill>
            </a:rPr>
            <a:t>Gross Operating Surplus row of</a:t>
          </a:r>
          <a:r>
            <a:rPr lang="en-AU" sz="1000" b="1" baseline="0">
              <a:solidFill>
                <a:srgbClr val="00B050"/>
              </a:solidFill>
            </a:rPr>
            <a:t> use (means Kapital 'services' to sectors, right?</a:t>
          </a:r>
          <a:endParaRPr lang="en-AU" sz="1000" b="1">
            <a:solidFill>
              <a:srgbClr val="00B050"/>
            </a:solidFill>
          </a:endParaRPr>
        </a:p>
      </xdr:txBody>
    </xdr:sp>
    <xdr:clientData/>
  </xdr:oneCellAnchor>
  <xdr:oneCellAnchor>
    <xdr:from>
      <xdr:col>8</xdr:col>
      <xdr:colOff>343703</xdr:colOff>
      <xdr:row>11</xdr:row>
      <xdr:rowOff>97619</xdr:rowOff>
    </xdr:from>
    <xdr:ext cx="2831609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C061A74-F01F-4822-8157-9C7D69916CB7}"/>
            </a:ext>
          </a:extLst>
        </xdr:cNvPr>
        <xdr:cNvSpPr txBox="1"/>
      </xdr:nvSpPr>
      <xdr:spPr>
        <a:xfrm>
          <a:off x="7725578" y="2088344"/>
          <a:ext cx="2831609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/>
            <a:t>??? This is initial</a:t>
          </a:r>
          <a:r>
            <a:rPr lang="en-AU" sz="1100" baseline="0"/>
            <a:t> levels of Commod demad ???</a:t>
          </a:r>
          <a:endParaRPr lang="en-AU" sz="1100"/>
        </a:p>
      </xdr:txBody>
    </xdr:sp>
    <xdr:clientData/>
  </xdr:oneCellAnchor>
  <xdr:oneCellAnchor>
    <xdr:from>
      <xdr:col>24</xdr:col>
      <xdr:colOff>355733</xdr:colOff>
      <xdr:row>2</xdr:row>
      <xdr:rowOff>54714</xdr:rowOff>
    </xdr:from>
    <xdr:ext cx="219163" cy="58374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9396EF4-5303-4237-BE36-03070E0E78F9}"/>
            </a:ext>
          </a:extLst>
        </xdr:cNvPr>
        <xdr:cNvSpPr txBox="1"/>
      </xdr:nvSpPr>
      <xdr:spPr>
        <a:xfrm rot="5400000">
          <a:off x="19553642" y="598955"/>
          <a:ext cx="583746" cy="219163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400"/>
            <a:t>Exports</a:t>
          </a:r>
        </a:p>
      </xdr:txBody>
    </xdr:sp>
    <xdr:clientData/>
  </xdr:oneCellAnchor>
  <xdr:oneCellAnchor>
    <xdr:from>
      <xdr:col>23</xdr:col>
      <xdr:colOff>484979</xdr:colOff>
      <xdr:row>22</xdr:row>
      <xdr:rowOff>20636</xdr:rowOff>
    </xdr:from>
    <xdr:ext cx="923967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27BB269-11E7-475D-B79C-DA2A9616E9AE}"/>
            </a:ext>
          </a:extLst>
        </xdr:cNvPr>
        <xdr:cNvSpPr txBox="1"/>
      </xdr:nvSpPr>
      <xdr:spPr>
        <a:xfrm>
          <a:off x="19119054" y="4002086"/>
          <a:ext cx="923967" cy="172227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pPr marL="0" indent="0"/>
          <a:r>
            <a:rPr lang="en-AU" sz="1100">
              <a:solidFill>
                <a:schemeClr val="tx1"/>
              </a:solidFill>
              <a:latin typeface="+mn-lt"/>
              <a:ea typeface="+mn-ea"/>
              <a:cs typeface="+mn-cs"/>
            </a:rPr>
            <a:t>Foreign Savings</a:t>
          </a:r>
        </a:p>
      </xdr:txBody>
    </xdr:sp>
    <xdr:clientData/>
  </xdr:oneCellAnchor>
  <xdr:oneCellAnchor>
    <xdr:from>
      <xdr:col>16</xdr:col>
      <xdr:colOff>59547</xdr:colOff>
      <xdr:row>17</xdr:row>
      <xdr:rowOff>78581</xdr:rowOff>
    </xdr:from>
    <xdr:ext cx="568677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7297B1C-3C6D-4FAA-94FC-875B287DBD44}"/>
            </a:ext>
          </a:extLst>
        </xdr:cNvPr>
        <xdr:cNvSpPr txBox="1"/>
      </xdr:nvSpPr>
      <xdr:spPr>
        <a:xfrm>
          <a:off x="13627380" y="3137164"/>
          <a:ext cx="568677" cy="172227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pPr marL="0" indent="0"/>
          <a:r>
            <a:rPr lang="en-AU" sz="1100">
              <a:solidFill>
                <a:schemeClr val="tx1"/>
              </a:solidFill>
              <a:latin typeface="+mn-lt"/>
              <a:ea typeface="+mn-ea"/>
              <a:cs typeface="+mn-cs"/>
            </a:rPr>
            <a:t>Transfers</a:t>
          </a:r>
        </a:p>
      </xdr:txBody>
    </xdr:sp>
    <xdr:clientData/>
  </xdr:oneCellAnchor>
  <xdr:oneCellAnchor>
    <xdr:from>
      <xdr:col>22</xdr:col>
      <xdr:colOff>400156</xdr:colOff>
      <xdr:row>0</xdr:row>
      <xdr:rowOff>0</xdr:rowOff>
    </xdr:from>
    <xdr:ext cx="438325" cy="290245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1A09B5D-4868-4D93-B1C0-603C8B263F57}"/>
            </a:ext>
          </a:extLst>
        </xdr:cNvPr>
        <xdr:cNvSpPr txBox="1"/>
      </xdr:nvSpPr>
      <xdr:spPr>
        <a:xfrm rot="5400000">
          <a:off x="17179865" y="1232066"/>
          <a:ext cx="2902457" cy="438325"/>
        </a:xfrm>
        <a:prstGeom prst="rect">
          <a:avLst/>
        </a:prstGeom>
        <a:solidFill>
          <a:schemeClr val="bg1">
            <a:lumMod val="85000"/>
            <a:alpha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0" rIns="0" bIns="0" rtlCol="0" anchor="t">
          <a:spAutoFit/>
        </a:bodyPr>
        <a:lstStyle/>
        <a:p>
          <a:r>
            <a:rPr lang="en-AU" sz="1400"/>
            <a:t>So far, Private Investment</a:t>
          </a:r>
        </a:p>
        <a:p>
          <a:r>
            <a:rPr lang="en-AU" sz="1400"/>
            <a:t>But there's the Gov</a:t>
          </a:r>
          <a:r>
            <a:rPr lang="en-AU" sz="1400" baseline="0"/>
            <a:t> Investment missing</a:t>
          </a:r>
          <a:endParaRPr lang="en-AU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6"/>
  <sheetViews>
    <sheetView tabSelected="1" zoomScale="80" zoomScaleNormal="80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I2" sqref="AI2"/>
    </sheetView>
  </sheetViews>
  <sheetFormatPr defaultRowHeight="14.5" x14ac:dyDescent="0.35"/>
  <cols>
    <col min="1" max="1" width="15.90625" bestFit="1" customWidth="1"/>
    <col min="2" max="2" width="13.6328125" bestFit="1" customWidth="1"/>
    <col min="3" max="6" width="13.08984375" bestFit="1" customWidth="1"/>
    <col min="7" max="7" width="14.1796875" bestFit="1" customWidth="1"/>
    <col min="8" max="13" width="11.6328125" customWidth="1"/>
    <col min="14" max="14" width="8.81640625" bestFit="1" customWidth="1"/>
    <col min="15" max="15" width="10.6328125" bestFit="1" customWidth="1"/>
    <col min="16" max="16" width="10.7265625" bestFit="1" customWidth="1"/>
    <col min="17" max="17" width="22.453125" bestFit="1" customWidth="1"/>
    <col min="18" max="18" width="14.1796875" bestFit="1" customWidth="1"/>
    <col min="19" max="19" width="8.81640625" bestFit="1" customWidth="1"/>
    <col min="20" max="20" width="10.7265625" bestFit="1" customWidth="1"/>
    <col min="21" max="21" width="8.81640625" bestFit="1" customWidth="1"/>
    <col min="22" max="22" width="10.7265625" bestFit="1" customWidth="1"/>
    <col min="23" max="23" width="8.81640625" bestFit="1" customWidth="1"/>
    <col min="24" max="24" width="13.1796875" bestFit="1" customWidth="1"/>
    <col min="25" max="25" width="11.7265625" bestFit="1" customWidth="1"/>
    <col min="26" max="26" width="14.1796875" bestFit="1" customWidth="1"/>
    <col min="39" max="39" width="11.7265625" bestFit="1" customWidth="1"/>
  </cols>
  <sheetData>
    <row r="1" spans="1:40" x14ac:dyDescent="0.35">
      <c r="A1" t="s">
        <v>35</v>
      </c>
      <c r="B1" s="8" t="str">
        <f>'SAMdataPlus Original'!B1</f>
        <v>Commod-1-Agriculture, forestry, fishing, and hunting</v>
      </c>
      <c r="C1" s="8" t="str">
        <f>'SAMdataPlus Original'!C1</f>
        <v>Commod-2-MiningUtilitiesConstruction</v>
      </c>
      <c r="D1" s="8" t="str">
        <f>'SAMdataPlus Original'!D1</f>
        <v>Commod-3-Manufacturing</v>
      </c>
      <c r="E1" s="8" t="str">
        <f>'SAMdataPlus Original'!E1</f>
        <v>Commod-4-Wholesale tradeRetail tradeTransportation and warehousing</v>
      </c>
      <c r="F1" s="8" t="str">
        <f>'SAMdataPlus Original'!F1</f>
        <v>Commod-5-Information</v>
      </c>
      <c r="G1" s="8" t="str">
        <f>'SAMdataPlus Original'!G1</f>
        <v>Commod-6-Finance, insurance, real estate, rental, and leasingProfessional and business servicesEducational services, health care, and social assistanceArts, entertainment, recreation, accommodation, and food servicesOther services, except government</v>
      </c>
      <c r="H1" s="9" t="str">
        <f>'SAMdataPlus Original'!H1</f>
        <v>Sec1-Agriculture, forestry, fishing, and hunting</v>
      </c>
      <c r="I1" s="9" t="str">
        <f>'SAMdataPlus Original'!I1</f>
        <v>Sec2-MiningUtilitiesConstruction</v>
      </c>
      <c r="J1" s="9" t="str">
        <f>'SAMdataPlus Original'!J1</f>
        <v>Sec3-Manufacturing</v>
      </c>
      <c r="K1" s="9" t="str">
        <f>'SAMdataPlus Original'!K1</f>
        <v>Sec4-Wholesale tradeRetail tradeTransportation and warehousing</v>
      </c>
      <c r="L1" s="9" t="str">
        <f>'SAMdataPlus Original'!L1</f>
        <v>Sec5-Information</v>
      </c>
      <c r="M1" s="9" t="str">
        <f>'SAMdataPlus Original'!M1</f>
        <v>Sec6-Finance, insurance, real estate, rental, and leasingProfessional and business servicesEducational services, health care, and social assistanceArts, entertainment, recreation, accommodation, and food servicesOther services, except government</v>
      </c>
      <c r="N1" s="9" t="str">
        <f>'SAMdataPlus Original'!N1</f>
        <v>Cdi</v>
      </c>
      <c r="O1" s="9" t="str">
        <f>'SAMdataPlus Original'!O1</f>
        <v>Kdi</v>
      </c>
      <c r="P1" s="9" t="str">
        <f>'SAMdataPlus Original'!P1</f>
        <v>Ldi</v>
      </c>
      <c r="Q1" s="9" t="str">
        <f>'SAMdataPlus Original'!Q1</f>
        <v>Gov</v>
      </c>
      <c r="R1" s="9" t="str">
        <f>'SAMdataPlus Original'!R1</f>
        <v>HH</v>
      </c>
      <c r="S1" s="9" t="str">
        <f>'SAMdataPlus Original'!S1</f>
        <v>TaxK</v>
      </c>
      <c r="T1" s="9" t="str">
        <f>'SAMdataPlus Original'!T1</f>
        <v>TaxL</v>
      </c>
      <c r="U1" s="9" t="str">
        <f>'SAMdataPlus Original'!U1</f>
        <v>TaxC</v>
      </c>
      <c r="V1" s="9" t="str">
        <f>'SAMdataPlus Original'!V1</f>
        <v>TaxIn</v>
      </c>
      <c r="W1" s="9" t="str">
        <f>'SAMdataPlus Original'!W1</f>
        <v>TaxImp</v>
      </c>
      <c r="X1" s="9" t="str">
        <f>'SAMdataPlus Original'!X1</f>
        <v>InvSav</v>
      </c>
      <c r="Y1" s="9" t="str">
        <f>'SAMdataPlus Original'!Y1</f>
        <v>RoW</v>
      </c>
      <c r="Z1" s="9" t="str">
        <f>'SAMdataPlus Original'!Z1</f>
        <v>Total</v>
      </c>
      <c r="AA1" s="9" t="str">
        <f>'SAMdataPlus Original'!AA1</f>
        <v>Pr_W_Im_foreignCurri</v>
      </c>
      <c r="AB1" s="9" t="str">
        <f>'SAMdataPlus Original'!AB1</f>
        <v>Pr_W_Exp_foreignCurri</v>
      </c>
      <c r="AC1" s="9" t="str">
        <f>'SAMdataPlus Original'!AC1</f>
        <v>Pr_Commods_toHomei</v>
      </c>
      <c r="AD1" s="9" t="str">
        <f>'SAMdataPlus Original'!AD1</f>
        <v>Pr_CombCommods_toHomei</v>
      </c>
      <c r="AE1" s="9" t="str">
        <f>'SAMdataPlus Original'!AE1</f>
        <v>KLsubselasi</v>
      </c>
      <c r="AF1" s="9" t="str">
        <f>'SAMdataPlus Original'!AF1</f>
        <v>YinelasCommodsi</v>
      </c>
      <c r="AG1" s="9" t="str">
        <f>'SAMdataPlus Original'!AG1</f>
        <v>ArmSubElasi</v>
      </c>
      <c r="AH1" s="9" t="str">
        <f>'SAMdataPlus Original'!AH1</f>
        <v>TransformElasi</v>
      </c>
      <c r="AI1" s="9" t="str">
        <f>'SAMdataPlus Original'!AI1</f>
        <v>numcommonds</v>
      </c>
      <c r="AJ1" s="9" t="str">
        <f>'SAMdataPlus Original'!AJ1</f>
        <v>UnemplBenRate</v>
      </c>
      <c r="AK1" s="9" t="str">
        <f>'SAMdataPlus Original'!AK1</f>
        <v>Frisch</v>
      </c>
      <c r="AL1" s="9" t="str">
        <f>'SAMdataPlus Original'!AL1</f>
        <v>Philli</v>
      </c>
      <c r="AM1" s="9" t="str">
        <f>'SAMdataPlus Original'!AM1</f>
        <v>Unempli</v>
      </c>
      <c r="AN1" s="9" t="str">
        <f>'SAMdataPlus Original'!AN1</f>
        <v>Xchangei</v>
      </c>
    </row>
    <row r="2" spans="1:40" x14ac:dyDescent="0.35">
      <c r="A2" s="8" t="str">
        <f>'SAMdataPlus Original'!A2</f>
        <v>Commod-1-Agriculture, forestry, fishing, and hunting</v>
      </c>
      <c r="B2" s="2"/>
      <c r="C2" s="2"/>
      <c r="D2" s="2"/>
      <c r="E2" s="2"/>
      <c r="F2" s="2"/>
      <c r="G2" s="2"/>
      <c r="H2" s="22">
        <f>INT('SAMdataPlus Original'!H2+$B$28/$B$30-$H$28/$H$30+$B$31/$B$33-$H$31/$H$33+$B$34/$B$36-$H$34/$H$36+$B$37/$B$39-$H$37/$H$39+$B$40/$B$42-$H$40/$H$42+$B$43/$B$45-$H$43/$H$45)</f>
        <v>61740</v>
      </c>
      <c r="I2" s="22">
        <f>INT('SAMdataPlus Original'!I2-$I$28/$I$30+$B$31/$B$33-$I$31/$I$33+$B$34/$B$36-$I$34/$I$36+$B$37/$B$39-$I$37/$I$39+$B$40/$B$42-$I$40/$I$42+$B$43/$B$45-$I$43/$I$45)</f>
        <v>80216</v>
      </c>
      <c r="J2" s="22">
        <f>INT('SAMdataPlus Original'!J2+$B$28/$B$30-$J$28/$J$30+$B$31/$B$33-$J$31/$J$33+$B$34/$B$36-$J$34/$J$36+$B$37/$B$39-$J$37/$J$39+$B$40/$B$42-$J$40/$J$42+$B$43/$B$45-$J$43/$J$45)</f>
        <v>275402</v>
      </c>
      <c r="K2" s="22">
        <f>INT('SAMdataPlus Original'!K2-$K$28/$K$30+$B$31/$B$33-$K$31/$K$33+$B$34/$B$36-$K$34/$K$36+$B$37/$B$39-$K$37/$K$39+$B$40/$B$42-$K$40/$K$42+$B$43/$B$45-$K$43/$K$45)</f>
        <v>135125</v>
      </c>
      <c r="L2" s="22">
        <f>INT('SAMdataPlus Original'!L2+$B$37/$B$39+$B$40/$B$42-$L$40/$L$42+$B$43/$B$45-$L$43/$L$45)</f>
        <v>113</v>
      </c>
      <c r="M2" s="22">
        <f>INT('SAMdataPlus Original'!M2-$M$28/$M$30-$M$31/$M$33+$B$34/$B$36-$M$34/$M$36+$B$37/$B$39-$M$37/$M$39+$B$40/$B$42-$M$40/$M$42+$B$43/$B$45-$M$43/$M$45)</f>
        <v>6450</v>
      </c>
      <c r="N2" s="2"/>
      <c r="O2" s="2"/>
      <c r="P2" s="2"/>
      <c r="Q2" s="22">
        <f>'SAMdataPlus Original'!Q2+$B$34/$B$36-$Q$34/$Q$36+$B$37/$B$39-$Q$37/$Q$39+$B$40/$B$42-$Q$40/$Q$42+$B$43/$B$45-$Q$43/$Q$45</f>
        <v>11227.903308037479</v>
      </c>
      <c r="R2" s="22">
        <f>'SAMdataPlus Original'!R2+$B$28/$B$30+$B$31/$B$33-$R$31/$R$33+$B$34/$B$36-$R$34/$R$36+$B$37/$B$39-$R$37/$R$39+$B$40/$B$42-$R$40/$R$42+$B$43/$B$45-$R$43/$R$45</f>
        <v>115058.94840501447</v>
      </c>
      <c r="S2" s="2"/>
      <c r="T2" s="2"/>
      <c r="U2" s="2"/>
      <c r="V2" s="2"/>
      <c r="W2" s="2"/>
      <c r="X2" s="25">
        <f>'SAMdataPlus Original'!X2+$B$37/$B$39+$B$40/$B$42+$B$43/$B$45</f>
        <v>95.227854410045495</v>
      </c>
      <c r="Y2" s="21">
        <f>'SAMdataPlus Original'!Y2+$B$28/$B$30+$B$31/$B$33+$B$34/$B$36+$B$37/$B$39+$B$40/$B$42+$B$43/$B$45</f>
        <v>47645.774342697863</v>
      </c>
      <c r="Z2" s="2">
        <f>SUM(B2:Y2)</f>
        <v>733073.85391015979</v>
      </c>
      <c r="AA2">
        <f>'SAMdataPlus Original'!AA2</f>
        <v>1</v>
      </c>
      <c r="AB2">
        <f>'SAMdataPlus Original'!AB2</f>
        <v>1</v>
      </c>
      <c r="AC2">
        <f>'SAMdataPlus Original'!AC2</f>
        <v>1</v>
      </c>
      <c r="AD2">
        <f>'SAMdataPlus Original'!AD2</f>
        <v>1</v>
      </c>
      <c r="AE2">
        <f>'SAMdataPlus Original'!AE2</f>
        <v>0.8</v>
      </c>
      <c r="AF2">
        <f>'SAMdataPlus Original'!AF2</f>
        <v>0.9</v>
      </c>
      <c r="AG2">
        <f>'SAMdataPlus Original'!AG2</f>
        <v>2</v>
      </c>
      <c r="AH2">
        <f>'SAMdataPlus Original'!AH2</f>
        <v>-2</v>
      </c>
      <c r="AI2">
        <f>'SAMdataPlus Original'!AI2</f>
        <v>6</v>
      </c>
      <c r="AJ2">
        <f>'SAMdataPlus Original'!AJ2</f>
        <v>0.5</v>
      </c>
      <c r="AK2">
        <f>'SAMdataPlus Original'!AK2</f>
        <v>-1.1000000000000001</v>
      </c>
      <c r="AL2">
        <f>'SAMdataPlus Original'!AL2</f>
        <v>-0.1</v>
      </c>
      <c r="AM2" s="14">
        <f>'SAMdataPlus Original'!AM2</f>
        <v>402432.25</v>
      </c>
      <c r="AN2">
        <f>'SAMdataPlus Original'!AN2</f>
        <v>1</v>
      </c>
    </row>
    <row r="3" spans="1:40" x14ac:dyDescent="0.35">
      <c r="A3" s="8" t="str">
        <f>'SAMdataPlus Original'!A3</f>
        <v>Commod-2-MiningUtilitiesConstruction</v>
      </c>
      <c r="B3" s="2"/>
      <c r="C3" s="2"/>
      <c r="D3" s="2"/>
      <c r="E3" s="2"/>
      <c r="F3" s="2"/>
      <c r="G3" s="2"/>
      <c r="H3" s="22">
        <f>INT('SAMdataPlus Original'!H3+$C$28/16-$H$28/$H$30+$C$31/$C$33-$H$31/$H$33+$C$34/$C$36-$H$34/$H$36+$C$37/$C$39-$H$37/$H$39+$C$40/$C$42-$H$40/$H$42+$C$43/$C$45-$H$43/$H$45)</f>
        <v>4089</v>
      </c>
      <c r="I3" s="22">
        <f>INT('SAMdataPlus Original'!I3+$C$28/16-$I$28/$I$30+$C$31/$C$33-$I$31/$I$33+$C$34/$C$36-$I$34/$I$36+$C$37/$C$39-$I$37/$I$39+$C$40/$C$42-$I$40/$I$42+$C$43/$C$45-$I$43/$I$45)</f>
        <v>229224</v>
      </c>
      <c r="J3" s="22">
        <f>INT('SAMdataPlus Original'!J3+$C$28/16-$J$28/$J$30+$C$31/$C$33-$J$31/$J$33+$C$34/$C$36-$J$34/$J$36+$C$37/$C$39-$J$37/$J$39+$C$40/$C$42-$J$40/$J$42+$C$43/$C$45-$J$43/$J$45)</f>
        <v>367632</v>
      </c>
      <c r="K3" s="22">
        <f>INT('SAMdataPlus Original'!K3+$C$28/16-$K$28/$K$30+$C$31/$C$33-$K$31/$K$33+$C$34/$C$36-$K$34/$K$36+$C$37/$C$39-$K$37/$K$39+$C$40/$C$42-$K$40/$K$42+$C$43/$C$45-$K$43/$K$45)</f>
        <v>212263</v>
      </c>
      <c r="L3" s="22">
        <f>INT('SAMdataPlus Original'!L3+$C$28/16+$C$31/$C$33-$L$31/$L$33+$C$34/$C$36-$L$34/$L$36+$C$37/$C$39-$L$37/$L$39+$C$40/$C$42-$L$40/$L$42+$C$43/$C$45-$L$43/$L$45)</f>
        <v>12378</v>
      </c>
      <c r="M3" s="22">
        <f>INT('SAMdataPlus Original'!M3+$C$28/16-$M$28/$M$30+$C$31/$C$33-$M$31/$M$33+$C$34/$C$36-$M$34/$M$36+$C$37/$C$39-$M$37/$M$39+$C$40/$C$42-$M$40/$M$42+$C$43/$C$45-$M$43/$M$45)</f>
        <v>324571</v>
      </c>
      <c r="N3" s="2"/>
      <c r="O3" s="2"/>
      <c r="P3" s="2"/>
      <c r="Q3" s="22">
        <f>'SAMdataPlus Original'!Q3+$C$28/16-$Q$28/$Q$30+$C$31/$C$33-$Q$31/$Q$33+$C$34/$C$36-$Q$34/$Q$36+$C$37/$C$39-$Q$37/$Q$39+$C$40/$C$42-$Q$40/$Q$42+$C$43/$C$45-$Q$43/$Q$45</f>
        <v>121617.04233475124</v>
      </c>
      <c r="R3" s="22">
        <f>'SAMdataPlus Original'!R3+$C$28/16-$R$28/$R$30+$C$31/$C$33-$R$31/$R$33+$C$34/$C$36-$R$34/$R$36+$C$37/$C$39-$R$37/$R$39+$C$40/$C$42-$R$40/$R$42+$C$43/$C$45-$R$43/$R$45</f>
        <v>32587.334960813641</v>
      </c>
      <c r="S3" s="2"/>
      <c r="T3" s="2"/>
      <c r="U3" s="2"/>
      <c r="V3" s="2"/>
      <c r="W3" s="2"/>
      <c r="X3" s="26">
        <f>'SAMdataPlus Original'!X3+$C$28/16+$C$31/$C$33+$C$34/$C$36+$C$37/$C$39+$C$40/$C$42+$C$43/$C$45</f>
        <v>1058007.9757589211</v>
      </c>
      <c r="Y3" s="21">
        <f>'SAMdataPlus Original'!Y3+$C$28/16+$C$31/$C$33+$C$34/$C$36+$C$37/$C$39+$C$40/$C$42+$C$43/$C$45</f>
        <v>43621.975758921428</v>
      </c>
      <c r="Z3" s="2">
        <f t="shared" ref="Z3:Z25" si="0">SUM(B3:Y3)</f>
        <v>2405991.3288134076</v>
      </c>
      <c r="AA3">
        <f>'SAMdataPlus Original'!AA3</f>
        <v>1</v>
      </c>
      <c r="AB3">
        <f>'SAMdataPlus Original'!AB3</f>
        <v>1</v>
      </c>
      <c r="AC3">
        <f>'SAMdataPlus Original'!AC3</f>
        <v>1</v>
      </c>
      <c r="AD3">
        <f>'SAMdataPlus Original'!AD3</f>
        <v>1</v>
      </c>
      <c r="AE3">
        <f>'SAMdataPlus Original'!AE3</f>
        <v>1.1000000000000001</v>
      </c>
      <c r="AF3">
        <f>'SAMdataPlus Original'!AF3</f>
        <v>1</v>
      </c>
      <c r="AG3">
        <f>'SAMdataPlus Original'!AG3</f>
        <v>4</v>
      </c>
      <c r="AH3">
        <f>'SAMdataPlus Original'!AH3</f>
        <v>-2</v>
      </c>
    </row>
    <row r="4" spans="1:40" x14ac:dyDescent="0.35">
      <c r="A4" s="8" t="str">
        <f>'SAMdataPlus Original'!A4</f>
        <v>Commod-3-Manufacturing</v>
      </c>
      <c r="B4" s="2"/>
      <c r="C4" s="2"/>
      <c r="D4" s="2"/>
      <c r="E4" s="2"/>
      <c r="F4" s="2"/>
      <c r="G4" s="2"/>
      <c r="H4" s="22">
        <f>INT('SAMdataPlus Original'!H4+$H$28/$H$30-$H$28/$H$30+$D$31/$D$33-$H$31/$H$33+$D$34/$D$36-$H$34/$H$36+$D$37/$D$39-$H$37/$H$39+$D$40/$D$42-$H$40/$H$42+$D$43/$D$45-$H$43/$H$45)</f>
        <v>99865</v>
      </c>
      <c r="I4" s="22">
        <f>INT('SAMdataPlus Original'!I4+$D$28/17-$I$28/$I$30+$D$31/$D$33-$I$31/$I$33+$D$34/$D$36-$I$34/$I$36+$D$37/$D$39-$I$37/$I$39+$D$40/$D$42-$I$40/$I$42+$D$43/$D$45-$I$43/$I$45)</f>
        <v>526191</v>
      </c>
      <c r="J4" s="22">
        <f>INT('SAMdataPlus Original'!J4+$D$28/17-$J$28/$J$30+$D$31/$D$33-$J$31/$J$33+$D$34/$D$36-$J$34/$J$36+$D$37/$D$39-$J$37/$J$39+$D$40/$D$42-$J$40/$J$42+$D$43/$D$45-$J$43/$J$45)</f>
        <v>2070596</v>
      </c>
      <c r="K4" s="22">
        <f>INT('SAMdataPlus Original'!K4+$D$28/17-$K$28/$K$30+$D$31/$D$33-$K$31/$K$33+$D$34/$D$36-$K$34/$K$36+$D$37/$D$39-$K$37/$K$39+$D$40/$D$42-$K$40/$K$42+$D$43/$D$45-$K$43/$K$45)</f>
        <v>261682</v>
      </c>
      <c r="L4" s="22">
        <f>INT('SAMdataPlus Original'!L4-$L$28/$L$30+$D$31/$D$33-$L$31/$L$33+$D$34/$D$36-$L$34/$L$36+$D$37/$D$39-$L$37/$L$39+$D$40/$D$42-$L$40/$L$42+$D$43/$D$45-$L$43/$L$45)</f>
        <v>57533</v>
      </c>
      <c r="M4" s="22">
        <f>INT('SAMdataPlus Original'!M4+$D$28/17-$M$28/$M$30+$D$31/$D$33-$M$31/$M$33+$D$34/$D$36-$M$34/$M$36+$D$37/$D$39-$M$37/$M$39+$D$40/$D$42-$M$40/$M$42+$D$43/$D$45-$M$43/$M$45)</f>
        <v>551619</v>
      </c>
      <c r="N4" s="2"/>
      <c r="O4" s="2"/>
      <c r="P4" s="2"/>
      <c r="Q4" s="22">
        <f>'SAMdataPlus Original'!Q4+$D$28/17-$Q$28/$Q$30+$D$31/$D$33-$Q$31/$Q$33+$D$34/$D$36-$Q$34/$Q$36+$D$37/$D$39-$Q$37/$Q$39+$D$40/$D$42-$Q$40/$Q$42+$D$43/$D$45-$Q$43/$Q$45</f>
        <v>218816.48008447536</v>
      </c>
      <c r="R4" s="22">
        <f>'SAMdataPlus Original'!R4+$D$28/17-$R$28/$R$30+$D$31/$D$33-$R$31/$R$33+$D$34/$D$36-$R$34/$R$36+$D$37/$D$39-$R$37/$R$39+$D$40/$D$42-$R$40/$R$42+$D$43/$D$45-$R$43/$R$45</f>
        <v>3131813.7727105375</v>
      </c>
      <c r="S4" s="2"/>
      <c r="T4" s="2"/>
      <c r="U4" s="2"/>
      <c r="V4" s="2"/>
      <c r="W4" s="2"/>
      <c r="X4" s="26">
        <f>'SAMdataPlus Original'!X4+$D$28/17+$D$31/$D$33+$D$34/$D$36+$D$37/$D$39+$D$40/$D$42+$D$43/$D$45</f>
        <v>996515.41350864561</v>
      </c>
      <c r="Y4" s="21">
        <f>'SAMdataPlus Original'!Y4+$D$28/17+$D$31/$D$33+$D$34/$D$36+$D$37/$D$39+$D$40/$D$42+$D$43/$D$45</f>
        <v>908377.41350864561</v>
      </c>
      <c r="Z4" s="2">
        <f t="shared" si="0"/>
        <v>8823009.0798123032</v>
      </c>
      <c r="AA4">
        <f>'SAMdataPlus Original'!AA4</f>
        <v>1</v>
      </c>
      <c r="AB4">
        <f>'SAMdataPlus Original'!AB4</f>
        <v>1</v>
      </c>
      <c r="AC4">
        <f>'SAMdataPlus Original'!AC4</f>
        <v>1</v>
      </c>
      <c r="AD4">
        <f>'SAMdataPlus Original'!AD4</f>
        <v>1</v>
      </c>
      <c r="AE4">
        <f>'SAMdataPlus Original'!AE4</f>
        <v>1.2</v>
      </c>
      <c r="AF4">
        <f>'SAMdataPlus Original'!AF4</f>
        <v>1.1000000000000001</v>
      </c>
      <c r="AG4">
        <f>'SAMdataPlus Original'!AG4</f>
        <v>2</v>
      </c>
      <c r="AH4">
        <f>'SAMdataPlus Original'!AH4</f>
        <v>-4</v>
      </c>
    </row>
    <row r="5" spans="1:40" x14ac:dyDescent="0.35">
      <c r="A5" s="8" t="str">
        <f>'SAMdataPlus Original'!A5</f>
        <v>Commod-4-Wholesale tradeRetail tradeTransportation and warehousing</v>
      </c>
      <c r="B5" s="2"/>
      <c r="C5" s="2"/>
      <c r="D5" s="2"/>
      <c r="E5" s="2"/>
      <c r="F5" s="2"/>
      <c r="G5" s="2"/>
      <c r="H5" s="22">
        <f>INT('SAMdataPlus Original'!H5+$E$28/$E$30-$H$28/$H$30+$E$31/$E$33-$H$31/$H$33+$E$34/$E$36-$H$34/$H$36+$E$37/$E$39-$H$37/$H$39+$E$40/$E$42-$H$40/$H$42+$E$43/$E$45-$H$43/$H$45)</f>
        <v>307130</v>
      </c>
      <c r="I5" s="22">
        <f>INT('SAMdataPlus Original'!I5+$E$28/$E$30-$I$28/$I$30+$E$31/$E$33-$I$31/$I$33+$E$34/$E$36-$I$34/$I$36+$E$37/$E$39-$I$37/$I$39+$E$40/$E$42-$I$40/$I$42+$E$43/$E$45-$I$43/$I$45)</f>
        <v>412704</v>
      </c>
      <c r="J5" s="22">
        <f>INT('SAMdataPlus Original'!J5+$E$28/$E$30-$J$28/$J$30+$E$31/$E$33-$J$31/$J$33+$E$34/$E$36-$J$34/$J$36+$E$37/$E$39-$J$37/$J$39+$E$40/$E$42-$J$40/$J$42+$E$43/$E$45-$J$43/$J$45)</f>
        <v>338823</v>
      </c>
      <c r="K5" s="22">
        <f>INT('SAMdataPlus Original'!K5+$E$28/$E$30-$K$28/$K$30+$E$31/$E$33-$K$31/$K$33+$E$34/$E$36-$K$34/$K$36+$E$37/$E$39-$K$37/$K$39+$E$40/$E$42-$K$40/$K$42+$E$43/$E$45-$K$43/$K$45)</f>
        <v>801148</v>
      </c>
      <c r="L5" s="22">
        <f>INT('SAMdataPlus Original'!L5+$E$28/$E$30-$L$28/$L$30+$E$31/$E$33-$L$31/$L$33+$E$34/$E$36-$L$34/$L$36+$E$37/$E$39-$L$37/$L$39+$E$40/$E$42-$L$40/$L$42+$E$43/$E$45-$L$43/$L$45)</f>
        <v>293672</v>
      </c>
      <c r="M5" s="22">
        <f>INT('SAMdataPlus Original'!M5+$E$28/$E$30-$M$28/$M$30+$E$31/$E$33-$M$31/$M$33+$E$34/$E$36-$M$34/$M$36+$E$37/$E$39-$M$37/$M$39+$E$40/$E$42-$M$40/$M$42+$E$43/$E$45-$M$43/$M$45)</f>
        <v>426207</v>
      </c>
      <c r="N5" s="2"/>
      <c r="O5" s="2"/>
      <c r="P5" s="2"/>
      <c r="Q5" s="22">
        <f>'SAMdataPlus Original'!Q5+$E$28/$E$30-$Q$28/$Q$30+$E$31/$E$33-$Q$31/$Q$33+$E$34/$E$36-$Q$34/$Q$36+$E$37/$E$39-$Q$37/$Q$39+$E$40/$E$42-$Q$40/$Q$42+$E$43/$E$45-$Q$43/$Q$45</f>
        <v>320922.67753095011</v>
      </c>
      <c r="R5" s="22">
        <f>'SAMdataPlus Original'!R5+$E$28/$E$30-$R$28/$R$30+$E$31/$E$33-$R$31/$R$33+$E$34/$E$36-$R$34/$R$36+$E$37/$E$39-$R$37/$R$39+$E$40/$E$42-$R$40/$R$42+$E$43/$E$45-$R$43/$R$45</f>
        <v>303945.9701570124</v>
      </c>
      <c r="S5" s="2"/>
      <c r="T5" s="2"/>
      <c r="U5" s="2"/>
      <c r="V5" s="2"/>
      <c r="W5" s="2"/>
      <c r="X5" s="26">
        <f>'SAMdataPlus Original'!X5+$E$28/$E$30+$E$31/$E$33+$E$34/$E$36+$E$37/$E$39+$E$40/$E$42+$E$43/$E$45</f>
        <v>313058.61095512024</v>
      </c>
      <c r="Y5" s="21">
        <f>'SAMdataPlus Original'!Y5+$E$28/$E$30+$E$31/$E$33+$E$34/$E$36+$E$37/$E$39+$E$40/$E$42+$E$43/$E$45</f>
        <v>376271.61095512024</v>
      </c>
      <c r="Z5" s="2">
        <f t="shared" si="0"/>
        <v>3893882.8695982024</v>
      </c>
      <c r="AA5">
        <f>'SAMdataPlus Original'!AA5</f>
        <v>1</v>
      </c>
      <c r="AB5">
        <f>'SAMdataPlus Original'!AB5</f>
        <v>1</v>
      </c>
      <c r="AC5">
        <f>'SAMdataPlus Original'!AC5</f>
        <v>1</v>
      </c>
      <c r="AD5">
        <f>'SAMdataPlus Original'!AD5</f>
        <v>1</v>
      </c>
      <c r="AE5">
        <f>'SAMdataPlus Original'!AE5</f>
        <v>0.9</v>
      </c>
      <c r="AF5">
        <f>'SAMdataPlus Original'!AF5</f>
        <v>1</v>
      </c>
      <c r="AG5">
        <f>'SAMdataPlus Original'!AG5</f>
        <v>5</v>
      </c>
      <c r="AH5">
        <f>'SAMdataPlus Original'!AH5</f>
        <v>-3</v>
      </c>
    </row>
    <row r="6" spans="1:40" x14ac:dyDescent="0.35">
      <c r="A6" s="8" t="str">
        <f>'SAMdataPlus Original'!A6</f>
        <v>Commod-5-Information</v>
      </c>
      <c r="B6" s="2"/>
      <c r="C6" s="2"/>
      <c r="D6" s="2"/>
      <c r="E6" s="2"/>
      <c r="F6" s="2"/>
      <c r="G6" s="2"/>
      <c r="H6" s="22">
        <f>INT('SAMdataPlus Original'!H6+$F$28/$F$30-$H$28/$H$30+$F$31/$F$33-$H$31/$H$33+$F$34/$F$36-$H$34/$H$36+$F$37/$F$39-$H$37/$H$39+$F$40/$F$42-$H$40/$H$42+$F$43/$F$45-$H$43/$H$45)</f>
        <v>19770</v>
      </c>
      <c r="I6" s="22">
        <f>INT('SAMdataPlus Original'!I6+$F$28/$F$30-$I$28/$I$30+$F$31/$F$33-$I$31/$I$33+$F$34/$F$36-$I$34/$I$36+$F$37/$F$39-$I$37/$I$39+$F$40/$F$42-$I$40/$I$42+$F$43/$F$45-$I$43/$I$45)</f>
        <v>128412</v>
      </c>
      <c r="J6" s="22">
        <f>INT('SAMdataPlus Original'!J6+$F$28/$F$30-$J$28/$J$30+$F$31/$F$33-$J$31/$J$33+$F$34/$F$36-$J$34/$J$36+$F$37/$F$39-$J$37/$J$39+$F$40/$F$42-$J$40/$J$42+$F$43/$F$45-$J$43/$J$45)</f>
        <v>24743</v>
      </c>
      <c r="K6" s="22">
        <f>INT('SAMdataPlus Original'!K6+$F$28/$F$30-$K$28/$K$30+$F$31/$F$33-$K$31/$K$33+$F$34/$F$36-$K$34/$K$36+$F$37/$F$39-$K$37/$K$39+$F$40/$F$42-$K$40/$K$42+$F$43/$F$45-$K$43/$K$45)</f>
        <v>221329</v>
      </c>
      <c r="L6" s="22">
        <f>INT('SAMdataPlus Original'!L6+$F$28/$F$30-$L$28/$L$30+$F$31/$F$33-$L$31/$L$33+$F$34/$F$36-$L$34/$L$36+$F$37/$F$39-$L$37/$L$39+$F$40/$F$42-$L$40/$L$42+$F$43/$F$45-$L$43/$L$45)</f>
        <v>200678</v>
      </c>
      <c r="M6" s="22">
        <f>INT('SAMdataPlus Original'!M6+$F$28/$F$30-$M$28/$M$30+$F$31/$F$33-$M$31/$M$33+$F$34/$F$36-$M$34/$M$36+$F$37/$F$39-$M$37/$M$39+$F$40/$F$42-$M$40/$M$42+$F$43/$F$45-$M$43/$M$45)</f>
        <v>246554</v>
      </c>
      <c r="N6" s="2"/>
      <c r="O6" s="2"/>
      <c r="P6" s="2"/>
      <c r="Q6" s="22">
        <f>'SAMdataPlus Original'!Q6+$F$28/$F$30-$Q$28/$Q$30+$F$31/$F$33-$Q$31/$Q$33+$F$34/$F$36-$Q$34/$Q$36+$F$37/$F$39-$Q$37/$Q$39+$F$40/$F$42-$Q$40/$Q$42+$F$43/$F$45-$Q$43/$Q$45</f>
        <v>94217.303458610651</v>
      </c>
      <c r="R6" s="22">
        <f>'SAMdataPlus Original'!R6+$F$28/$F$30-$R$28/$R$30+$F$31/$F$33-$R$31/$R$33+$F$34/$F$36-$R$34/$R$36+$F$37/$F$39-$R$37/$R$39+$F$40/$F$42-$R$40/$R$42+$F$43/$F$45-$R$43/$R$45</f>
        <v>340314.59608467307</v>
      </c>
      <c r="S6" s="2"/>
      <c r="T6" s="2"/>
      <c r="U6" s="2"/>
      <c r="V6" s="2"/>
      <c r="W6" s="2"/>
      <c r="X6" s="26">
        <f>'SAMdataPlus Original'!X6+$F$28/$F$30+$F$31/$F$33+$F$34/$F$36+$F$37/$F$39+$F$40/$F$42+$F$43/$F$45</f>
        <v>234931.23688278082</v>
      </c>
      <c r="Y6" s="21">
        <f>'SAMdataPlus Original'!Y6+$F$28/$F$30+$F$31/$F$33+$F$34/$F$36+$F$37/$F$39+$F$40/$F$42+$F$43/$F$45</f>
        <v>109400.23688278082</v>
      </c>
      <c r="Z6" s="2">
        <f t="shared" si="0"/>
        <v>1620349.3733088456</v>
      </c>
      <c r="AA6">
        <f>'SAMdataPlus Original'!AA6</f>
        <v>1</v>
      </c>
      <c r="AB6">
        <f>'SAMdataPlus Original'!AB6</f>
        <v>1</v>
      </c>
      <c r="AC6">
        <f>'SAMdataPlus Original'!AC6</f>
        <v>1</v>
      </c>
      <c r="AD6">
        <f>'SAMdataPlus Original'!AD6</f>
        <v>1</v>
      </c>
      <c r="AE6">
        <f>'SAMdataPlus Original'!AE6</f>
        <v>0.8</v>
      </c>
      <c r="AF6">
        <f>'SAMdataPlus Original'!AF6</f>
        <v>0.9</v>
      </c>
      <c r="AG6">
        <f>'SAMdataPlus Original'!AG6</f>
        <v>3</v>
      </c>
      <c r="AH6">
        <f>'SAMdataPlus Original'!AH6</f>
        <v>-1</v>
      </c>
    </row>
    <row r="7" spans="1:40" x14ac:dyDescent="0.35">
      <c r="A7" s="8" t="str">
        <f>'SAMdataPlus Original'!A7</f>
        <v>Commod-6-Finance, insurance, real estate, rental, and leasingProfessional and business servicesEducational services, health care, and social assistanceArts, entertainment, recreation, accommodation, and food servicesOther services, except government</v>
      </c>
      <c r="B7" s="2"/>
      <c r="C7" s="2"/>
      <c r="D7" s="2"/>
      <c r="E7" s="2"/>
      <c r="F7" s="2"/>
      <c r="G7" s="2"/>
      <c r="H7" s="22">
        <f>INT('SAMdataPlus Original'!H7-$H$28/$H$30+$G$31/$G$33-$H$31/$H$33+$G$34/$G$36-$H$34/$H$36+$G$37/$G$39-$H$37/$H$39+$G$40/$G$42-$H$40/$H$42+$G$43/$G$45-$H$43/$H$45)</f>
        <v>39247</v>
      </c>
      <c r="I7" s="22">
        <f>INT('SAMdataPlus Original'!I7+$G$28/$G$30-$I$28/$I$30+$G$31/$G$33-$I$31/$I$33+$G$34/$G$36-$I$34/$I$36+$G$37/$G$39-$I$37/$I$39+$G$40/$G$42-$I$40/$I$42+$G$43/$G$45-$I$43/$I$45)</f>
        <v>307471</v>
      </c>
      <c r="J7" s="22">
        <f>INT('SAMdataPlus Original'!J7+$G$28/$G$30-$J$28/$J$30+$G$31/$G$33-$J$31/$J$33+$G$34/$G$36-$J$34/$J$36+$G$37/$G$39-$J$37/$J$39+$G$40/$G$42-$J$40/$J$42+$G$43/$G$45-$J$43/$J$45)</f>
        <v>321488</v>
      </c>
      <c r="K7" s="22">
        <f>INT('SAMdataPlus Original'!K7+$G$28/$G$30-$K$28/$K$30+$G$31/$G$33-$K$31/$K$33+$G$34/$G$36-$K$34/$K$36+$G$37/$G$39-$K$37/$K$39+$G$40/$G$42-$K$40/$K$42+$G$43/$G$45-$K$43/$K$45)</f>
        <v>1150272</v>
      </c>
      <c r="L7" s="22">
        <f>INT('SAMdataPlus Original'!L7+$G$28/$G$30-$L$28/$L$30+$G$31/$G$33-$L$31/$L$33+$G$34/$G$36-$L$34/$L$36+$G$37/$G$39-$L$37/$L$39+$G$40/$G$42-$L$40/$L$42+$G$43/$G$45-$L$43/$L$45)</f>
        <v>253352</v>
      </c>
      <c r="M7" s="22">
        <f>INT('SAMdataPlus Original'!M7+$G$28/$G$30-$M$28/$M$30-$M$28/$M$30+$G$31/$G$33-$M$31/$M$33+$G$34/$G$36-$M$34/$M$36+$G$37/$G$39-$M$37/$M$39+$G$40/$G$42-$M$40/$M$42+$G$43/$G$45-$M$43/$M$45)</f>
        <v>3903823</v>
      </c>
      <c r="N7" s="2"/>
      <c r="O7" s="2"/>
      <c r="P7" s="2"/>
      <c r="Q7" s="22">
        <f>'SAMdataPlus Original'!Q7+$G$28/$G$30-$Q$28/$Q$30+$G$31/$G$33-$Q$31/$Q$33+$G$34/$G$36-$Q$34/$Q$36+$G$37/$G$39-$Q$37/$Q$39+$G$40/$G$42-$Q$40/$Q$42+$G$43/$G$45-$Q$43/$Q$45</f>
        <v>449127.71717777452</v>
      </c>
      <c r="R7" s="22">
        <f>'SAMdataPlus Original'!R7+$G$28/$G$30-$R$28/$R$30+$G$31/$G$33-$R$31/$R$33+$G$34/$G$36-$R$34/$R$36+$G$37/$G$39-$R$37/$R$39+$G$40/$G$42-$R$40/$R$42+$G$43/$G$45-$R$43/$R$45</f>
        <v>7613573.0098038372</v>
      </c>
      <c r="S7" s="2"/>
      <c r="T7" s="2"/>
      <c r="U7" s="2"/>
      <c r="V7" s="2"/>
      <c r="W7" s="2"/>
      <c r="X7" s="27">
        <f>'SAMdataPlus Original'!X7+$G$28/$G$30+$G$31/$G$33+$G$34/$G$36+$G$37/$G$39+$G$40/$G$42+$G$43/$G$45</f>
        <v>773250.65060194454</v>
      </c>
      <c r="Y7" s="21">
        <f>'SAMdataPlus Original'!Y7+$G$28/$G$30+$G$31/$G$33+$G$34/$G$36+$G$37/$G$39+$G$40/$G$42+$G$43/$G$45</f>
        <v>323265.65060194465</v>
      </c>
      <c r="Z7" s="2">
        <f t="shared" si="0"/>
        <v>15134870.0281855</v>
      </c>
      <c r="AA7">
        <f>'SAMdataPlus Original'!AA7</f>
        <v>1</v>
      </c>
      <c r="AB7">
        <f>'SAMdataPlus Original'!AB7</f>
        <v>1</v>
      </c>
      <c r="AC7">
        <f>'SAMdataPlus Original'!AC7</f>
        <v>1</v>
      </c>
      <c r="AD7">
        <f>'SAMdataPlus Original'!AD7</f>
        <v>1</v>
      </c>
      <c r="AE7">
        <f>'SAMdataPlus Original'!AE7</f>
        <v>0.7</v>
      </c>
      <c r="AF7">
        <f>'SAMdataPlus Original'!AF7</f>
        <v>0.8</v>
      </c>
      <c r="AG7">
        <f>'SAMdataPlus Original'!AG7</f>
        <v>1.1000000000000001</v>
      </c>
      <c r="AH7">
        <f>'SAMdataPlus Original'!AH7</f>
        <v>-1.5</v>
      </c>
    </row>
    <row r="8" spans="1:40" x14ac:dyDescent="0.35">
      <c r="A8" s="8" t="str">
        <f>'SAMdataPlus Original'!A8</f>
        <v>Sec1-Agriculture, forestry, fishing, and hunting</v>
      </c>
      <c r="B8" s="22">
        <f>'SAMdataPlus Original'!B8-$B$28/$B$30+$H$28/$H$30-$B$31/$B$33+$H$31/$H$33-$B$34/$B$36+$H$34/$H$36-$B$37/$B$39+$H$37/$H$39-$B$40/$B$42+$H$40/$H$42-$B$43/$B$45+$H$43/$H$45</f>
        <v>465025.79233264417</v>
      </c>
      <c r="C8" s="22">
        <f>'SAMdataPlus Original'!C8+$H$28/$H$30-$C$31/$C$33+$H$31/$H$33-$C$34/$C$36+$H$34/$H$36-$C$37/$C$39+$H$37/$H$39-$C$40/$C$42+$H$40/$H$42-$C$43/$C$45+$H$43/$H$45</f>
        <v>5892.8409164205968</v>
      </c>
      <c r="D8" s="22">
        <f>'SAMdataPlus Original'!D8-$D$28/17+$H$28/$H$30-$D$31/$D$33+$H$31/$H$33-$D$34/$D$36+$H$34/$H$36-$D$37/$D$39+$H$37/$H$39-$D$40/$D$42+$H$40/$H$42-$D$43/$D$45+$H$43/$H$45</f>
        <v>160074.15316669646</v>
      </c>
      <c r="E8" s="22">
        <f>'SAMdataPlus Original'!E8+$H$28/$H$30-$E$31/$E$33+$H$31/$H$33-$E$34/$E$36+$H$34/$H$36-$E$37/$E$39+$H$37/$H$39-$E$40/$E$42+$H$40/$H$42-$E$43/$E$45+$H$43/$H$45</f>
        <v>9030.0466293125901</v>
      </c>
      <c r="F8" s="22">
        <f>'SAMdataPlus Original'!F8+$H$28/$H$30+$H$31/$H$33-$F$34/$F$36+$H$34/$H$36-$F$37/$F$39+$H$37/$H$39-$F$40/$F$42+$H$40/$H$42-$F$43/$F$45+$H$43/$H$45</f>
        <v>8971.3486597725496</v>
      </c>
      <c r="G8" s="22">
        <f>'SAMdataPlus Original'!G8-$G$28/$G$30+$H$28/$H$30-$G$31/$G$33+$H$31/$H$33-$G$34/$G$36+$H$34/$H$36-$G$37/$G$39+$H$37/$H$39-$G$40/$G$42+$H$40/$H$42-$G$43/$G$45+$H$43/$H$45</f>
        <v>71455.916073397428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Z8" s="2">
        <f t="shared" si="0"/>
        <v>720450.09777824371</v>
      </c>
    </row>
    <row r="9" spans="1:40" x14ac:dyDescent="0.35">
      <c r="A9" s="9" t="str">
        <f>'SAMdataPlus Original'!A9</f>
        <v>Sec2-MiningUtilitiesConstruction</v>
      </c>
      <c r="B9" s="22">
        <f>'SAMdataPlus Original'!B9-$B$28/$B$30-$B$31/$B$33+$I$31/$I$33-$B$34/$B$36+$I$34/$I$36-$B$37/$B$39+$I$37/$I$39-$B$40/$B$42+$I$40/$I$42-$B$43/$B$45+$I$43/$I$45</f>
        <v>19205.491700387316</v>
      </c>
      <c r="C9" s="22">
        <f>'SAMdataPlus Original'!C9-$C$28/16+$I$28/$I$30-$C$31/$C$33+$I$31/$I$33-$C$34/$C$36+$I$34/$I$36-$C$37/$C$39+$I$37/$I$39-$C$40/$C$42+$I$40/$I$42-$C$43/$C$45+$I$43/$I$45</f>
        <v>2177369.2481396962</v>
      </c>
      <c r="D9" s="22">
        <f>'SAMdataPlus Original'!D9-$D$28/17+$I$28/$I$30-$D$31/$D$33+$I$31/$I$33-$D$34/$D$36+$I$34/$I$36-$D$37/$D$39+$I$37/$I$39-$D$40/$D$42+$I$40/$I$42-$D$43/$D$45+$I$43/$I$45</f>
        <v>76971.810389972467</v>
      </c>
      <c r="E9" s="22">
        <f>'SAMdataPlus Original'!E9-$E$31/$E$33+$I$31/$I$33-$E$34/$E$36+$I$34/$I$36-$E$37/$E$39+$I$37/$I$39-$E$40/$E$42+$I$40/$I$42-$E$43/$E$45+$I$43/$I$45</f>
        <v>11381.745997055756</v>
      </c>
      <c r="F9" s="22">
        <f>'SAMdataPlus Original'!F9-$F$34/$F$36+$I$34/$I$36-$F$37/$F$39+$I$37/$I$39-$F$40/$F$42+$I$40/$I$42-$F$43/$F$45+$I$43/$I$45</f>
        <v>2563.7157306624135</v>
      </c>
      <c r="G9" s="22">
        <f>'SAMdataPlus Original'!G9-$G$28/$G$30+$I$28/$I$30-$G$31/$G$33+$I$31/$I$33-$G$34/$G$36+$I$34/$I$36-$G$37/$G$39+$I$37/$I$39-$G$40/$G$42+$I$40/$I$42-$G$43/$G$45+$I$43/$I$45</f>
        <v>8423.5732966734231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Z9" s="2">
        <f t="shared" si="0"/>
        <v>2295915.5852544475</v>
      </c>
    </row>
    <row r="10" spans="1:40" x14ac:dyDescent="0.35">
      <c r="A10" s="9" t="str">
        <f>'SAMdataPlus Original'!A10</f>
        <v>Sec3-Manufacturing</v>
      </c>
      <c r="B10" s="22">
        <f>'SAMdataPlus Original'!B10-$B$28/$B$30+$J$28/$J$30-$B$31/$B$33+$J$31/$J$33-$B$34/$B$36+$J$34/$J$36-$B$37/$B$39+$J$37/$J$39-$B$40/$B$42+$J$40/$J$42-$B$43/$B$45+$J$43/$J$45</f>
        <v>38770.633228076251</v>
      </c>
      <c r="C10" s="22">
        <f>'SAMdataPlus Original'!C10-$C$28/16+$J$28/$J$30-$C$31/$C$33+$J$31/$J$33-$C$34/$C$36+$J$34/$J$36-$C$37/$C$39+$J$37/$J$39-$C$40/$C$42+$J$40/$J$42-$C$43/$C$45+$J$43/$J$45</f>
        <v>31306.431811852697</v>
      </c>
      <c r="D10" s="22">
        <f>'SAMdataPlus Original'!D10-$D$28/17+$J$28/$J$30-$D$31/$D$33+$J$31/$J$33-$D$34/$D$36+$J$34/$J$36-$D$37/$D$39+$J$37/$J$39-$D$40/$D$42+$J$40/$J$42-$D$43/$D$45+$J$43/$J$45</f>
        <v>5427246.9940621285</v>
      </c>
      <c r="E10" s="22">
        <f>'SAMdataPlus Original'!E10+$J$28/$J$30-$E$31/$E$33+$J$31/$J$33-$E$34/$E$36+$J$34/$J$36-$E$37/$E$39+$J$37/$J$39-$E$40/$E$42+$J$40/$J$42-$E$43/$E$45+$J$43/$J$45</f>
        <v>36384.887524744685</v>
      </c>
      <c r="F10" s="22">
        <f>'SAMdataPlus Original'!F10+$J$28/$J$30-$F$31/$F$33+$J$31/$J$33-$F$34/$F$36+$J$34/$J$36-$F$37/$F$39+$J$37/$J$39-$F$40/$F$42+$J$40/$J$42-$F$43/$F$45+$J$43/$J$45</f>
        <v>8051.6706879932954</v>
      </c>
      <c r="G10" s="22">
        <f>'SAMdataPlus Original'!G10-$G$28/$G$30+$J$28/$J$30-$G$31/$G$33+$J$31/$J$33-$G$34/$G$36+$J$34/$J$36-$G$37/$G$39+$J$37/$J$39-$G$40/$G$42+$J$40/$J$42-$G$43/$G$45+$J$43/$J$45</f>
        <v>83904.756968829504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Z10" s="2">
        <f t="shared" si="0"/>
        <v>5625665.3742836248</v>
      </c>
    </row>
    <row r="11" spans="1:40" x14ac:dyDescent="0.35">
      <c r="A11" s="9" t="str">
        <f>'SAMdataPlus Original'!A11</f>
        <v>Sec4-Wholesale tradeRetail tradeTransportation and warehousing</v>
      </c>
      <c r="B11" s="22">
        <f>'SAMdataPlus Original'!B11-$B$28/$B$30-$B$31/$B$33+$K$31/$K$33-$B$34/$B$36+$K$34/$K$36-$B$37/$B$39+$K$37/$K$39-$B$40/$B$42+$K$40/$K$42-$B$43/$B$45+$K$43/$K$45</f>
        <v>18027.772137872253</v>
      </c>
      <c r="C11" s="22">
        <f>'SAMdataPlus Original'!C11-$C$28/16-$C$34/$C$36+$K$34/$K$36-$C$37/$C$39+$K$37/$K$39-$C$40/$C$42+$K$40/$K$42-$C$43/$C$45+$K$43/$K$45</f>
        <v>3417.5461845345735</v>
      </c>
      <c r="D11" s="22">
        <f>'SAMdataPlus Original'!D11-$D$28/17+$K$28/$K$30-$D$31/$D$33+$K$31/$K$33-$D$34/$D$36+$K$34/$K$36-$D$37/$D$39+$K$37/$K$39-$D$40/$D$42+$K$40/$K$42-$D$43/$D$45+$K$43/$K$45</f>
        <v>69875.347320963803</v>
      </c>
      <c r="E11" s="22">
        <f>'SAMdataPlus Original'!E11-$E$28/$E$30+$K$28/$K$30-$E$31/$E$33+$K$31/$K$33-$E$34/$E$36+$K$34/$K$36-$E$37/$E$39+$K$37/$K$39-$E$40/$E$42+$K$40/$K$42-$E$43/$E$45+$K$43/$K$45</f>
        <v>3497678.1498744888</v>
      </c>
      <c r="F11" s="22">
        <f>'SAMdataPlus Original'!F11-$F$28/$F$30-$F$34/$F$36+$K$34/$K$36-$F$37/$F$39+$K$37/$K$39-$F$40/$F$42+$K$40/$K$42-$F$43/$F$45+$K$43/$K$45</f>
        <v>1376.040574553132</v>
      </c>
      <c r="G11" s="22">
        <f>'SAMdataPlus Original'!G11-$G$28/$G$30-$G$31/$G$33+$K$31/$K$33-$G$34/$G$36+$K$34/$K$36-$G$37/$G$39+$K$37/$K$39-$G$40/$G$42+$K$40/$K$42-$G$43/$G$45+$K$43/$K$45</f>
        <v>96273.89587862551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Z11" s="2">
        <f t="shared" si="0"/>
        <v>3686648.7519710381</v>
      </c>
    </row>
    <row r="12" spans="1:40" x14ac:dyDescent="0.35">
      <c r="A12" s="9" t="str">
        <f>'SAMdataPlus Original'!A12</f>
        <v>Sec5-Information</v>
      </c>
      <c r="B12" s="22">
        <f>'SAMdataPlus Original'!B12-$B$28/$B$30+$L$28/$L$30-$B$31/$B$33-$L$31/$L$33-$B$34/$B$36+$L$34/$L$36-$B$37/$B$39+$L$37/$L$39-$B$40/$B$42+$L$40/$L$42-$B$43/$B$45+$L$43/$L$45</f>
        <v>55937.220744136575</v>
      </c>
      <c r="C12" s="22">
        <f>'SAMdataPlus Original'!C12+$L$28/$L$30-$C$31/$C$33-$L$31/$L$33-$C$34/$C$36+$L$34/$L$36-$C$37/$C$39+$L$37/$L$39-$C$40/$C$42+$L$40/$L$42-$C$43/$C$45+$L$43/$L$45</f>
        <v>32185.269327913014</v>
      </c>
      <c r="D12" s="22">
        <f>'SAMdataPlus Original'!D12-$D$28/17+$L$28/$L$30-$D$31/$D$33-$L$31/$L$33-$D$34/$D$36+$L$34/$L$36-$D$37/$D$39+$L$37/$L$39-$D$40/$D$42+$L$40/$L$42-$D$43/$D$45+$L$43/$L$45</f>
        <v>186366.58157818893</v>
      </c>
      <c r="E12" s="22">
        <f>'SAMdataPlus Original'!E12+$L$28/$L$30-$E$31/$E$33-$L$31/$L$33-$E$34/$E$36+$L$34/$L$36-$E$37/$E$39+$L$37/$L$39-$E$40/$E$42+$L$40/$L$42-$E$43/$E$45+$L$43/$L$45</f>
        <v>34338.475040805002</v>
      </c>
      <c r="F12" s="22">
        <f>'SAMdataPlus Original'!F12-$F$28/$F$30+$L$28/$L$30-$F$31/$F$33-$L$31/$L$33-$F$34/$F$36+$L$34/$L$36-$F$37/$F$39+$L$37/$L$39-$F$40/$F$42+$L$40/$L$42-$F$43/$F$45+$L$43/$L$45</f>
        <v>1290555.7582040534</v>
      </c>
      <c r="G12" s="22">
        <f>'SAMdataPlus Original'!G12-$G$28/$G$30+$L$28/$L$30-$G$31/$G$33+$L$31/$L$33-$G$34/$G$36+$L$34/$L$36-$G$37/$G$39+$L$37/$L$39-$G$40/$G$42+$L$40/$L$42-$G$43/$G$45+$L$43/$L$45</f>
        <v>117497.40750025473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Z12" s="2">
        <f t="shared" si="0"/>
        <v>1716880.7123953516</v>
      </c>
    </row>
    <row r="13" spans="1:40" x14ac:dyDescent="0.35">
      <c r="A13" s="9" t="str">
        <f>'SAMdataPlus Original'!A13</f>
        <v>Sec6-Finance, insurance, real estate, rental, and leasingProfessional and business servicesEducational services, health care, and social assistanceArts, entertainment, recreation, accommodation, and food servicesOther services, except government</v>
      </c>
      <c r="B13" s="22">
        <f>'SAMdataPlus Original'!B13-$B$28/$B$30+$M$28/$M$30-$B$31/$B$33+$M$31/$M$33-$B$34/$B$36+$M$34/$M$36-$B$37/$B$39+$M$37/$M$39-$B$40/$B$42+$M$40/$M$42-$B$43/$B$45+$M$43/$M$45</f>
        <v>27435.082501751938</v>
      </c>
      <c r="C13" s="22">
        <f>'SAMdataPlus Original'!C13-$C$28/16+$M$28/$M$30-$C$31/$C$33+$M$31/$M$33-$C$34/$C$36+$M$34/$M$36-$C$37/$C$39+$M$37/$M$39-$C$40/$C$42+$M$40/$M$42-$C$43/$C$45+$M$43/$M$45</f>
        <v>3701.8810855283887</v>
      </c>
      <c r="D13" s="22">
        <f>'SAMdataPlus Original'!D13-$D$28/17+$M$28/$M$30-$D$31/$D$33+$M$31/$M$33-$D$34/$D$36+$M$34/$M$36-$D$37/$D$39+$M$37/$M$39-$D$40/$D$42+$M$40/$M$42-$D$43/$D$45+$M$43/$M$45</f>
        <v>347667.44333580427</v>
      </c>
      <c r="E13" s="22">
        <f>'SAMdataPlus Original'!E13+$M$28/$M$30-$E$31/$E$33+$M$31/$M$33-$E$34/$E$36+$M$34/$M$36-$E$37/$E$39+$M$37/$M$39-$E$40/$E$42+$M$40/$M$42-$E$43/$E$45+$M$43/$M$45</f>
        <v>255650.33679842041</v>
      </c>
      <c r="F13" s="22">
        <f>'SAMdataPlus Original'!F13-$F$28/$F$30+$M$28/$M$30-$F$31/$F$33+$M$31/$M$33-$F$34/$F$36+$M$34/$M$36-$F$37/$F$39+$M$37/$M$39-$F$40/$F$42+$M$40/$M$42-$F$43/$F$45+$M$43/$M$45</f>
        <v>298662.61996166897</v>
      </c>
      <c r="G13" s="22">
        <f>'SAMdataPlus Original'!G13-$G$28/$G$30+$M$28/$M$30-$G$31/$G$33+$M$31/$M$33-$G$34/$G$36+$M$34/$M$36-$G$37/$G$39+$M$37/$M$39-$G$40/$G$42+$M$40/$M$42-$G$43/$G$45+$M$43/$M$45</f>
        <v>14341930.206242504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Z13" s="2">
        <f t="shared" si="0"/>
        <v>15275047.569925677</v>
      </c>
    </row>
    <row r="14" spans="1:40" x14ac:dyDescent="0.35">
      <c r="A14" t="str">
        <f>'SAMdataPlus Original'!A14</f>
        <v>Cdi</v>
      </c>
      <c r="B14" s="2"/>
      <c r="C14" s="2"/>
      <c r="D14" s="2"/>
      <c r="E14" s="2"/>
      <c r="F14" s="2"/>
      <c r="G14" s="2"/>
      <c r="H14" s="10"/>
      <c r="I14" s="10"/>
      <c r="J14" s="10"/>
      <c r="K14" s="10"/>
      <c r="L14" s="10"/>
      <c r="M14" s="1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f t="shared" si="0"/>
        <v>0</v>
      </c>
    </row>
    <row r="15" spans="1:40" x14ac:dyDescent="0.35">
      <c r="A15" t="str">
        <f>'SAMdataPlus Original'!A15</f>
        <v>Kdi</v>
      </c>
      <c r="B15" s="2"/>
      <c r="C15" s="2"/>
      <c r="D15" s="2"/>
      <c r="E15" s="2"/>
      <c r="F15" s="2"/>
      <c r="G15" s="2"/>
      <c r="H15" s="22">
        <f>'SAMdataPlus Original'!H15-$H$28/$H$30-$H$31/$H$33-$H$34/$H$36-$H$37/$H$39-$H$40/$H$42-$H$43/$H$45</f>
        <v>102457.43332465798</v>
      </c>
      <c r="I15" s="22">
        <f>'SAMdataPlus Original'!I15-$I$28/$I$30-$I$31/$I$33-$I$34/$I$36-$I$37/$I$39-$I$40/$I$42-$I$43/$I$45</f>
        <v>190562.77610138193</v>
      </c>
      <c r="J15" s="22">
        <f>'SAMdataPlus Original'!J15-$J$28/$J$30-$J$31/$J$33-$J$34/$J$36-$J$37/$J$39-$J$40/$J$42-$J$43/$J$45</f>
        <v>985394.5924292258</v>
      </c>
      <c r="K15" s="22">
        <f>'SAMdataPlus Original'!K15-$K$28/$K$30-$K$31/$K$33-$K$34/$K$36-$K$37/$K$39-$K$40/$K$42-$K$43/$K$45</f>
        <v>243319.23917039062</v>
      </c>
      <c r="L15" s="22">
        <f>'SAMdataPlus Original'!L15-$L$28/$L$30-$L$31/$L$33-$L$34/$L$36-$L$37/$L$39-$L$40/$L$42-$L$43/$L$45</f>
        <v>544043.94189780066</v>
      </c>
      <c r="M15" s="22">
        <f>'SAMdataPlus Original'!M15-$M$28/$M$30-$M$31/$M$33-$M$34/$M$36-$M$37/$M$39-$M$40/$M$42-$M$43/$M$45</f>
        <v>3892482.1431555501</v>
      </c>
      <c r="N15" s="2"/>
      <c r="O15" s="2"/>
      <c r="P15" s="4"/>
      <c r="Q15" s="22">
        <f>'SAMdataPlus Original'!Q15+$O$28/$O$30-$Q$28/$Q$30-$Q$31/$Q$33-$Q$34/$Q$36-$Q$37/$Q$39-$Q$40/$Q$42-$Q$43/$Q$45</f>
        <v>473510.99776284833</v>
      </c>
      <c r="R15" s="2"/>
      <c r="S15" s="2"/>
      <c r="T15" s="2"/>
      <c r="U15" s="2"/>
      <c r="V15" s="2"/>
      <c r="W15" s="2"/>
      <c r="X15" s="2"/>
      <c r="Y15" s="2"/>
      <c r="Z15" s="2">
        <f t="shared" si="0"/>
        <v>6431771.1238418557</v>
      </c>
    </row>
    <row r="16" spans="1:40" x14ac:dyDescent="0.35">
      <c r="A16" t="str">
        <f>'SAMdataPlus Original'!A16</f>
        <v>Ldi</v>
      </c>
      <c r="B16" s="2"/>
      <c r="C16" s="2"/>
      <c r="D16" s="2"/>
      <c r="E16" s="2"/>
      <c r="F16" s="2"/>
      <c r="G16" s="2"/>
      <c r="H16" s="22">
        <f>'SAMdataPlus Original'!H16-$H$28/$H$30-$H$31/$H$33-$H$34/$H$36-$H$37/$H$39-$H$40/$H$42-$H$43/$H$45</f>
        <v>45330.43332465797</v>
      </c>
      <c r="I16" s="22">
        <f>'SAMdataPlus Original'!I16-$I$28/$I$30-$I$31/$I$33-$I$34/$I$36-$I$37/$I$39-$I$40/$I$42-$I$43/$I$45</f>
        <v>159830.77610138193</v>
      </c>
      <c r="J16" s="22">
        <f>'SAMdataPlus Original'!J16-$J$28/$J$30-$J$31/$J$33-$J$34/$J$36-$J$37/$J$39-$J$40/$J$42-$J$43/$J$45</f>
        <v>995145.5924292258</v>
      </c>
      <c r="K16" s="22">
        <f>'SAMdataPlus Original'!K16-$K$28/$K$30-$K$31/$K$33-$K$34/$K$36-$K$37/$K$39-$K$40/$K$42-$K$43/$K$45</f>
        <v>212587.23917039062</v>
      </c>
      <c r="L16" s="22">
        <f>'SAMdataPlus Original'!L16-$L$28/$L$30-$L$31/$L$33-$L$34/$L$36-$L$37/$L$39-$L$40/$L$42-$L$43/$L$45</f>
        <v>293077.9418978006</v>
      </c>
      <c r="M16" s="22">
        <f>'SAMdataPlus Original'!M16-$M$28/$M$30-$M$31/$M$33-$M$34/$M$36-$M$37/$M$39-$M$40/$M$42-$M$43/$M$45</f>
        <v>4610792.1431555506</v>
      </c>
      <c r="N16" s="2"/>
      <c r="O16" s="2"/>
      <c r="P16" s="2"/>
      <c r="Q16" s="22">
        <f>'SAMdataPlus Original'!Q16+$P$28/$P$30-$Q$28/$Q$30-$Q$31/$Q$33-$Q$34/$Q$36-$Q$37/$Q$39-$Q$40/$Q$42-$Q$43/$Q$45</f>
        <v>1836733.9977628484</v>
      </c>
      <c r="R16" s="2"/>
      <c r="S16" s="2"/>
      <c r="T16" s="2"/>
      <c r="U16" s="2"/>
      <c r="V16" s="2"/>
      <c r="W16" s="2"/>
      <c r="X16" s="2"/>
      <c r="Y16" s="2"/>
      <c r="Z16" s="2">
        <f t="shared" si="0"/>
        <v>8153498.1238418566</v>
      </c>
    </row>
    <row r="17" spans="1:26" x14ac:dyDescent="0.35">
      <c r="A17" t="str">
        <f>'SAMdataPlus Original'!A17</f>
        <v>Gov</v>
      </c>
      <c r="B17" s="2"/>
      <c r="C17" s="2"/>
      <c r="D17" s="2"/>
      <c r="E17" s="2"/>
      <c r="F17" s="2"/>
      <c r="G17" s="2"/>
      <c r="H17" s="22">
        <f>'SAMdataPlus Original'!H17+$Q$28/$Q$30-$H$31/$H$33+$Q$31/$Q$33-$H$34/$H$36+$Q$34/$Q$36-$H$37/$H$39+$Q$37/$Q$39-$H$40/$H$42+$Q$40/$Q$42-$H$43/$H$45+$Q$43/$Q$45</f>
        <v>31630.530800572022</v>
      </c>
      <c r="I17" s="22">
        <f>'SAMdataPlus Original'!I17-$I$28/$I$30+$Q$28/$Q$30-$I$31/$I$33+$Q$31/$Q$33-$I$34/$I$36+$Q$34/$Q$36-$I$37/$I$39+$Q$37/$Q$39-$I$40/$I$42+$Q$40/$Q$42-$I$43/$I$45+$Q$43/$Q$45</f>
        <v>121743.70952555213</v>
      </c>
      <c r="J17" s="22">
        <f>'SAMdataPlus Original'!J17+$Q$28/$Q$30-$J$31/$J$33+$Q$31/$Q$33-$J$34/$J$36+$Q$34/$Q$36-$J$37/$J$39+$Q$37/$Q$39-$J$40/$J$42+$Q$40/$Q$42-$J$43/$J$45+$Q$43/$Q$45</f>
        <v>38271.833743042749</v>
      </c>
      <c r="K17" s="22">
        <f>'SAMdataPlus Original'!K17-$K$28/$K$30+$Q$28/$Q$30-$K$31/$K$33+$Q$31/$Q$33-$K$34/$K$36+$Q$34/$Q$36-$K$37/$K$39+$Q$37/$Q$39-$K$40/$K$42+$Q$40/$Q$42-$K$43/$K$45+$Q$43/$Q$45</f>
        <v>203849.17259456083</v>
      </c>
      <c r="L17" s="22">
        <f>'SAMdataPlus Original'!L17+$Q$28/$Q$30-$L$31/$L$33+$Q$31/$Q$33-$L$34/$L$36+$Q$34/$Q$36-$L$37/$L$39+$Q$37/$Q$39-$L$40/$L$42+$Q$40/$Q$42-$L$43/$L$45+$Q$43/$Q$45</f>
        <v>34615.816996013069</v>
      </c>
      <c r="M17" s="22">
        <f>'SAMdataPlus Original'!M17-$M$28/$M$30+$Q$28/$Q$30-$M$31/$M$33+$Q$31/$Q$33-$M$34/$M$36+$Q$34/$Q$36-$M$37/$M$39+$Q$37/$Q$39-$M$40/$M$42+$Q$40/$Q$42-$M$43/$M$45+$Q$43/$Q$45</f>
        <v>74025.076579720364</v>
      </c>
      <c r="N17" s="2"/>
      <c r="O17" s="6"/>
      <c r="P17" s="6"/>
      <c r="Q17" s="2"/>
      <c r="R17" s="22">
        <f>'SAMdataPlus Original'!R17</f>
        <v>76812</v>
      </c>
      <c r="S17" s="7">
        <f>SUM(H19:R19)</f>
        <v>569243.64438813587</v>
      </c>
      <c r="T17" s="7">
        <f>SUM(H20:R20)</f>
        <v>1268065.644388136</v>
      </c>
      <c r="U17" s="7">
        <f>SUM(B21:R21)</f>
        <v>618448.32264983002</v>
      </c>
      <c r="V17" s="7">
        <f>SUM(H22:R22)</f>
        <v>2312409.5</v>
      </c>
      <c r="W17" s="7">
        <f>SUM(B23:R23)</f>
        <v>273921.01335119031</v>
      </c>
      <c r="X17" s="2"/>
      <c r="Y17" s="22">
        <f>'SAMdataPlus Original'!Y17</f>
        <v>548</v>
      </c>
      <c r="Z17" s="2">
        <f t="shared" si="0"/>
        <v>5623584.2650167523</v>
      </c>
    </row>
    <row r="18" spans="1:26" x14ac:dyDescent="0.35">
      <c r="A18" t="str">
        <f>'SAMdataPlus Original'!A18</f>
        <v>HH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7">
        <f>SUM(H15:Q15)</f>
        <v>6431771.1238418557</v>
      </c>
      <c r="P18" s="7">
        <f>SUM(H16:Q16)</f>
        <v>8153498.1238418566</v>
      </c>
      <c r="Q18" s="31">
        <f>'SAMdataPlus Original'!Q18</f>
        <v>2717105</v>
      </c>
      <c r="R18" s="2"/>
      <c r="S18" s="12"/>
      <c r="T18" s="11"/>
      <c r="U18" s="2"/>
      <c r="V18" s="2"/>
      <c r="W18" s="2"/>
      <c r="X18" s="2"/>
      <c r="Y18" s="2"/>
      <c r="Z18" s="2">
        <f t="shared" si="0"/>
        <v>17302374.247683711</v>
      </c>
    </row>
    <row r="19" spans="1:26" x14ac:dyDescent="0.35">
      <c r="A19" t="str">
        <f>'SAMdataPlus Original'!A19</f>
        <v>TaxK</v>
      </c>
      <c r="B19" s="2"/>
      <c r="C19" s="2"/>
      <c r="D19" s="2"/>
      <c r="E19" s="2"/>
      <c r="F19" s="2"/>
      <c r="G19" s="2"/>
      <c r="H19" s="22">
        <f>'SAMdataPlus Original'!H19-$H$28/$H$30-$H$31/$H$33-$H$34/$H$36-$H$37/$H$39-$H$40/$H$42-$H$43/$H$45</f>
        <v>1827.632444484633</v>
      </c>
      <c r="I19" s="22">
        <f>'SAMdataPlus Original'!I19-$I$28/$I$30+$S$28/$S$30-$I$31/$I$33-$I$34/$I$36-$I$37/$I$39-$I$40/$I$42-$I$43/$I$45</f>
        <v>61257.495251816224</v>
      </c>
      <c r="J19" s="22">
        <f>'SAMdataPlus Original'!J19-$J$28/$J$30+$S$28/$S$30-$J$31/$J$33-$J$34/$J$36-$J$37/$J$39-$J$40/$J$42-$J$43/$J$45</f>
        <v>42997.260616485735</v>
      </c>
      <c r="K19" s="22">
        <f>'SAMdataPlus Original'!K19-$K$28/$K$30+$S$28/$S$30-$K$31/$K$33-$K$34/$K$36-$K$37/$K$39-$K$40/$K$42-$K$43/$K$45</f>
        <v>114013.95832082488</v>
      </c>
      <c r="L19" s="22">
        <f>'SAMdataPlus Original'!L19-$L$28/$L$30-$L$31/$L$33-$L$34/$L$36-$L$37/$L$39-$L$40/$L$42-$L$43/$L$45</f>
        <v>18853.814638801123</v>
      </c>
      <c r="M19" s="22">
        <f>'SAMdataPlus Original'!M19-$M$28/$M$30+$S$28/$S$30-$M$31/$M$33-$M$34/$M$36-$M$37/$M$39-$M$40/$M$42-$M$43/$M$45</f>
        <v>330293.48311572324</v>
      </c>
      <c r="N19" s="2"/>
      <c r="O19" s="2"/>
      <c r="P19" s="2"/>
      <c r="Q19" s="22"/>
      <c r="R19" s="2"/>
      <c r="S19" s="2"/>
      <c r="T19" s="12"/>
      <c r="U19" s="2"/>
      <c r="V19" s="2"/>
      <c r="W19" s="2"/>
      <c r="X19" s="2"/>
      <c r="Y19" s="2"/>
      <c r="Z19" s="2">
        <f t="shared" si="0"/>
        <v>569243.64438813587</v>
      </c>
    </row>
    <row r="20" spans="1:26" x14ac:dyDescent="0.35">
      <c r="A20" t="str">
        <f>'SAMdataPlus Original'!A20</f>
        <v>TaxL</v>
      </c>
      <c r="B20" s="2"/>
      <c r="C20" s="2"/>
      <c r="D20" s="2"/>
      <c r="E20" s="2"/>
      <c r="F20" s="2"/>
      <c r="G20" s="2"/>
      <c r="H20" s="22">
        <f>'SAMdataPlus Original'!H20-$H$28/$H$30-$H$31/$H$33-$H$34/$H$36-$H$37/$H$39-$H$40/$H$42-$H$43/$H$45</f>
        <v>2259.7102810485694</v>
      </c>
      <c r="I20" s="22">
        <f>'SAMdataPlus Original'!I20-$I$28/$I$30+$T$28/$T$30-$I$31/$I$33-$I$34/$I$36-$I$37/$I$39-$I$40/$I$42-$I$43/$I$45</f>
        <v>73198.371676720737</v>
      </c>
      <c r="J20" s="22">
        <f>'SAMdataPlus Original'!J20-$J$28/$J$30+$T$28/$T$30-$J$31/$J$33-$J$34/$J$36-$J$37/$J$39-$J$40/$J$42-$J$43/$J$45</f>
        <v>160067.75522463</v>
      </c>
      <c r="K20" s="22">
        <f>'SAMdataPlus Original'!K20-$K$28/$K$30+$T$28/$T$30-$K$31/$K$33-$K$34/$K$36-$K$37/$K$39-$K$40/$K$42-$K$43/$K$45</f>
        <v>125954.83474572937</v>
      </c>
      <c r="L20" s="22">
        <f>'SAMdataPlus Original'!L20-$L$28/$L$30+$T$28/$T$30-$L$31/$L$33-$L$34/$L$36-$L$37/$L$39-$L$40/$L$42-$L$43/$L$45</f>
        <v>3458.1159997207374</v>
      </c>
      <c r="M20" s="22">
        <f>'SAMdataPlus Original'!M20-$M$28/$M$30+$T$28/$T$30-$M$31/$M$33-$M$34/$M$36-$M$37/$M$39-$M$40/$M$42-$M$43/$M$45</f>
        <v>903126.85646028642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f t="shared" si="0"/>
        <v>1268065.644388136</v>
      </c>
    </row>
    <row r="21" spans="1:26" x14ac:dyDescent="0.35">
      <c r="A21" t="str">
        <f>'SAMdataPlus Original'!A21</f>
        <v>TaxC</v>
      </c>
      <c r="B21" s="23">
        <f>'SAMdataPlus Original'!B21-$B$28/$B$30-$B$31/$B$33-$B$34/$B$36-$B$37/$B$39-$B$40/$B$42-$B$43/$B$45</f>
        <v>16026.22565730213</v>
      </c>
      <c r="C21" s="22">
        <f>'SAMdataPlus Original'!C21-$C$28/16-$C$31/$C$33-$C$34/$C$36-$C$37/$C$39-$C$40/$C$42-$C$43/$C$45</f>
        <v>39122.024241078572</v>
      </c>
      <c r="D21" s="22">
        <f>'SAMdataPlus Original'!D21-$D$28/17+$U$28/$U$30-$D$31/$D$33-$D$34/$D$36-$D$37/$D$39-$D$40/$D$42-$D$43/$D$45</f>
        <v>415713.53338677931</v>
      </c>
      <c r="E21" s="22">
        <f>'SAMdataPlus Original'!E21-$E$31/$E$33-$E$34/$E$36-$E$37/$E$39-$E$40/$E$42-$E$43/$E$45</f>
        <v>18889.479953970564</v>
      </c>
      <c r="F21" s="22">
        <f>'SAMdataPlus Original'!F21-$F$28/$F$30-$F$31/$F$33-$F$34/$F$36-$F$37/$F$39-$F$40/$F$42-$F$43/$F$45</f>
        <v>14011.763117219174</v>
      </c>
      <c r="G21" s="22">
        <f>'SAMdataPlus Original'!G21-$G$28/$G$30+$U$28/$U$30-$G$31/$G$33-$G$34/$G$36-$G$37/$G$39-$G$40/$G$42-$G$43/$G$45</f>
        <v>114685.29629348025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f t="shared" si="0"/>
        <v>618448.32264983002</v>
      </c>
    </row>
    <row r="22" spans="1:26" x14ac:dyDescent="0.35">
      <c r="A22" t="str">
        <f>'SAMdataPlus Original'!A22</f>
        <v>TaxIn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1">
        <f>'SAMdataPlus Original'!R22</f>
        <v>2312409.5</v>
      </c>
      <c r="S22" s="2"/>
      <c r="T22" s="2"/>
      <c r="U22" s="2"/>
      <c r="V22" s="2"/>
      <c r="W22" s="2"/>
      <c r="X22" s="2"/>
      <c r="Y22" s="2"/>
      <c r="Z22" s="2">
        <f t="shared" si="0"/>
        <v>2312409.5</v>
      </c>
    </row>
    <row r="23" spans="1:26" x14ac:dyDescent="0.35">
      <c r="A23" t="str">
        <f>'SAMdataPlus Original'!A23</f>
        <v>TaxImp</v>
      </c>
      <c r="B23" s="24">
        <f>'SAMdataPlus Original'!B23-$B$28/$B$30-$B$31/$B$33-$B$34/$B$36-$B$37/$B$39-$B$40/$B$42-$B$43/$B$45</f>
        <v>21025.225657302126</v>
      </c>
      <c r="C23" s="24">
        <f>'SAMdataPlus Original'!C23-$C$37/$C$39-$C$43/$C$45</f>
        <v>24.373201932120867</v>
      </c>
      <c r="D23" s="24">
        <f>'SAMdataPlus Original'!D23-$D$28/17-$D$31/$D$33-$D$34/$D$36-$D$37/$D$39-$D$40/$D$42-$D$43/$D$45</f>
        <v>188664.58649135442</v>
      </c>
      <c r="E23" s="24">
        <f>'SAMdataPlus Original'!E23-$E$34/$E$36-$E$37/$E$39-$E$40/$E$42-$E$43/$E$45</f>
        <v>1122.6966181157011</v>
      </c>
      <c r="F23" s="24">
        <f>'SAMdataPlus Original'!F23-$F$34/$F$36-$F$37/$F$39-$F$40/$F$42-$F$43/$F$45</f>
        <v>299.78198443052946</v>
      </c>
      <c r="G23" s="24">
        <f>'SAMdataPlus Original'!G23-$G$28/$G$30-$G$31/$G$33-$G$34/$G$36-$G$37/$G$39-$G$40/$G$42-$G$43/$G$45</f>
        <v>62784.349398055383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f t="shared" si="0"/>
        <v>273921.01335119031</v>
      </c>
    </row>
    <row r="24" spans="1:26" x14ac:dyDescent="0.35">
      <c r="A24" t="str">
        <f>'SAMdataPlus Original'!A24</f>
        <v>SavInv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2">
        <f>'SAMdataPlus Original'!Q24-$Q$28/$Q$30+$X$28/$X$30-$Q$31/$Q$33+$X$31/$X$33-$Q$34/$Q$36+$X$34/$X$36-$Q$37/$Q$39+$X$37/$X$39-$Q$40/$Q$42+$X$40/$X$42-$Q$43/$Q$45+$X$43/$X$45</f>
        <v>-624819.2668088699</v>
      </c>
      <c r="R24" s="20">
        <f>SUM(X2:X7)</f>
        <v>3375859.115561822</v>
      </c>
      <c r="S24" s="2"/>
      <c r="T24" s="2"/>
      <c r="U24" s="2"/>
      <c r="V24" s="2"/>
      <c r="W24" s="2"/>
      <c r="X24" s="2"/>
      <c r="Y24" s="7">
        <f>SUM(B25:G25)-SUM(Y2:Y17)</f>
        <v>624819.26680886978</v>
      </c>
      <c r="Z24" s="2">
        <f t="shared" si="0"/>
        <v>3375859.115561822</v>
      </c>
    </row>
    <row r="25" spans="1:26" x14ac:dyDescent="0.35">
      <c r="A25" t="str">
        <f>'SAMdataPlus Original'!A25</f>
        <v>RoW</v>
      </c>
      <c r="B25" s="24">
        <f>'SAMdataPlus Original'!B25-$B$28/$B$30-$B$31/$B$33-$B$34/$B$36-$B$37/$B$39-$B$40/$B$42-$B$43/$B$45</f>
        <v>77578.225657302144</v>
      </c>
      <c r="C25" s="24">
        <f>'SAMdataPlus Original'!C25-$C$28/16-$C$31/$C$33-$C$34/$C$36-$C$37/$C$39-$C$40/$C$42-$C$43/$C$45</f>
        <v>118931.02424107857</v>
      </c>
      <c r="D25" s="24">
        <f>'SAMdataPlus Original'!D25-$D$28/17-$D$31/$D$33-$D$34/$D$36-$D$37/$D$39-$D$40/$D$42-$D$43/$D$45</f>
        <v>1956386.5864913543</v>
      </c>
      <c r="E25" s="24">
        <f>'SAMdataPlus Original'!E25-$E$31/$E$33-$E$34/$E$36-$E$37/$E$39-$E$40/$E$42-$E$43/$E$45</f>
        <v>35365.479953970564</v>
      </c>
      <c r="F25" s="24">
        <f>'SAMdataPlus Original'!F25-$F$31/$F$33-$F$34/$F$36-$F$37/$F$39-$F$40/$F$42-$F$43/$F$45</f>
        <v>1815.263117219175</v>
      </c>
      <c r="G25" s="24">
        <f>'SAMdataPlus Original'!G25-$G$28/$G$30-$G$31/$G$33-$G$34/$G$36-$G$37/$G$39-$G$40/$G$42-$G$43/$G$45</f>
        <v>243873.34939805538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f>'SAMdataPlus Original'!R25</f>
        <v>0</v>
      </c>
      <c r="S25" s="2"/>
      <c r="T25" s="2"/>
      <c r="U25" s="2"/>
      <c r="V25" s="2"/>
      <c r="W25" s="2"/>
      <c r="X25" s="2"/>
      <c r="Y25" s="2"/>
      <c r="Z25" s="2">
        <f t="shared" si="0"/>
        <v>2433949.9288589805</v>
      </c>
    </row>
    <row r="26" spans="1:26" x14ac:dyDescent="0.35">
      <c r="A26" s="28" t="str">
        <f>'SAMdataPlus Original'!A26</f>
        <v>Total</v>
      </c>
      <c r="B26" s="33">
        <f>SUM(B2:B25)</f>
        <v>739031.66961677501</v>
      </c>
      <c r="C26" s="29">
        <f t="shared" ref="C26:Y26" si="1">SUM(C2:C25)</f>
        <v>2411950.6391500356</v>
      </c>
      <c r="D26" s="29">
        <f t="shared" si="1"/>
        <v>8828967.0362232421</v>
      </c>
      <c r="E26" s="29">
        <f t="shared" si="1"/>
        <v>3899841.298390884</v>
      </c>
      <c r="F26" s="29">
        <f t="shared" si="1"/>
        <v>1626307.9620375724</v>
      </c>
      <c r="G26" s="29">
        <f t="shared" si="1"/>
        <v>15140828.751049876</v>
      </c>
      <c r="H26" s="29">
        <f t="shared" si="1"/>
        <v>715346.74017542112</v>
      </c>
      <c r="I26" s="29">
        <f t="shared" si="1"/>
        <v>2290811.128656853</v>
      </c>
      <c r="J26" s="29">
        <f t="shared" si="1"/>
        <v>5620561.034442611</v>
      </c>
      <c r="K26" s="29">
        <f t="shared" si="1"/>
        <v>3681543.4440018963</v>
      </c>
      <c r="L26" s="29">
        <f t="shared" si="1"/>
        <v>1711775.6314301363</v>
      </c>
      <c r="M26" s="29">
        <f t="shared" si="1"/>
        <v>15269943.702466831</v>
      </c>
      <c r="N26" s="29">
        <f t="shared" si="1"/>
        <v>0</v>
      </c>
      <c r="O26" s="29">
        <f t="shared" si="1"/>
        <v>6431771.1238418557</v>
      </c>
      <c r="P26" s="29">
        <f t="shared" si="1"/>
        <v>8153498.1238418566</v>
      </c>
      <c r="Q26" s="29">
        <f t="shared" si="1"/>
        <v>5618459.8526114253</v>
      </c>
      <c r="R26" s="29">
        <f t="shared" si="1"/>
        <v>17302374.247683708</v>
      </c>
      <c r="S26" s="29">
        <f t="shared" si="1"/>
        <v>569243.64438813587</v>
      </c>
      <c r="T26" s="29">
        <f t="shared" si="1"/>
        <v>1268065.644388136</v>
      </c>
      <c r="U26" s="29">
        <f t="shared" si="1"/>
        <v>618448.32264983002</v>
      </c>
      <c r="V26" s="29">
        <f t="shared" si="1"/>
        <v>2312409.5</v>
      </c>
      <c r="W26" s="29">
        <f t="shared" si="1"/>
        <v>273921.01335119031</v>
      </c>
      <c r="X26" s="29">
        <f t="shared" si="1"/>
        <v>3375859.115561822</v>
      </c>
      <c r="Y26" s="29">
        <f t="shared" si="1"/>
        <v>2433949.9288589805</v>
      </c>
      <c r="Z26" s="30">
        <f>SUM(Z2:Z25)-SUM(B26:Y26)</f>
        <v>0</v>
      </c>
    </row>
    <row r="27" spans="1:26" x14ac:dyDescent="0.35">
      <c r="A27" s="28" t="str">
        <f>'SAMdataPlus Original'!A27</f>
        <v>Balancingchecks</v>
      </c>
      <c r="B27" s="24">
        <f t="shared" ref="B27:I27" si="2">B26-INDEX($Z$2:$Z$26,COLUMN(B27)-1,1)</f>
        <v>5957.8157066152198</v>
      </c>
      <c r="C27" s="24">
        <f t="shared" si="2"/>
        <v>5959.3103366279975</v>
      </c>
      <c r="D27" s="24">
        <f t="shared" si="2"/>
        <v>5957.9564109388739</v>
      </c>
      <c r="E27" s="24">
        <f t="shared" si="2"/>
        <v>5958.428792681545</v>
      </c>
      <c r="F27" s="24">
        <f t="shared" si="2"/>
        <v>5958.5887287268415</v>
      </c>
      <c r="G27" s="24">
        <f t="shared" si="2"/>
        <v>5958.722864376381</v>
      </c>
      <c r="H27" s="24">
        <f t="shared" si="2"/>
        <v>-5103.3576028225943</v>
      </c>
      <c r="I27" s="24">
        <f t="shared" si="2"/>
        <v>-5104.4565975945443</v>
      </c>
      <c r="J27" s="24">
        <f t="shared" ref="J27:Z27" si="3">J26-INDEX($Z$2:$Z$26,COLUMN(J27)-1,1)</f>
        <v>-5104.3398410137743</v>
      </c>
      <c r="K27" s="24">
        <f t="shared" si="3"/>
        <v>-5105.3079691417515</v>
      </c>
      <c r="L27" s="24">
        <f t="shared" si="3"/>
        <v>-5105.0809652153403</v>
      </c>
      <c r="M27" s="24">
        <f t="shared" si="3"/>
        <v>-5103.86745884642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>Q26-INDEX($Z$2:$Z$26,COLUMN(Q27)-1,1)</f>
        <v>-5124.4124053269625</v>
      </c>
      <c r="R27" s="2">
        <f t="shared" si="3"/>
        <v>0</v>
      </c>
      <c r="S27" s="2">
        <f t="shared" si="3"/>
        <v>0</v>
      </c>
      <c r="T27" s="2">
        <f t="shared" si="3"/>
        <v>0</v>
      </c>
      <c r="U27" s="2">
        <f t="shared" si="3"/>
        <v>0</v>
      </c>
      <c r="V27" s="2">
        <f t="shared" si="3"/>
        <v>0</v>
      </c>
      <c r="W27" s="2">
        <f t="shared" si="3"/>
        <v>0</v>
      </c>
      <c r="X27" s="2">
        <f t="shared" si="3"/>
        <v>0</v>
      </c>
      <c r="Y27" s="2">
        <f t="shared" si="3"/>
        <v>0</v>
      </c>
      <c r="Z27" s="2">
        <f t="shared" si="3"/>
        <v>0</v>
      </c>
    </row>
    <row r="28" spans="1:26" x14ac:dyDescent="0.35">
      <c r="A28" t="s">
        <v>43</v>
      </c>
      <c r="B28" s="24">
        <v>-159367</v>
      </c>
      <c r="C28" s="22">
        <v>14020</v>
      </c>
      <c r="D28" s="22">
        <v>-2427080</v>
      </c>
      <c r="E28" s="24">
        <v>3427040</v>
      </c>
      <c r="F28" s="22">
        <v>230447</v>
      </c>
      <c r="G28" s="22">
        <v>-1115648</v>
      </c>
      <c r="H28" s="22">
        <v>111422.460776158</v>
      </c>
      <c r="I28" s="22">
        <v>-1159144.59002254</v>
      </c>
      <c r="J28" s="22">
        <v>311428.92623434699</v>
      </c>
      <c r="K28" s="22">
        <v>-1891788.9991134501</v>
      </c>
      <c r="L28" s="22">
        <v>490741.183436591</v>
      </c>
      <c r="M28" s="22">
        <v>93927.648516593501</v>
      </c>
      <c r="N28" s="22">
        <v>-203048.7345096069</v>
      </c>
      <c r="O28" s="22">
        <v>-136010.4816908706</v>
      </c>
      <c r="P28" s="22">
        <v>-136010.4816908706</v>
      </c>
      <c r="Q28" s="22">
        <v>292120.01460614242</v>
      </c>
      <c r="R28" s="22">
        <v>1106289.074302122</v>
      </c>
      <c r="S28" s="22">
        <v>-136010.48169087141</v>
      </c>
      <c r="T28" s="22">
        <v>-136010.4816908713</v>
      </c>
      <c r="U28" s="22">
        <v>-199672.10620915028</v>
      </c>
      <c r="V28" s="22">
        <v>172503.48706013709</v>
      </c>
      <c r="W28" s="22">
        <v>-217008.85620915031</v>
      </c>
      <c r="X28" s="22">
        <v>309054.09381980076</v>
      </c>
      <c r="Y28" s="22"/>
      <c r="Z28" s="22">
        <v>0</v>
      </c>
    </row>
    <row r="29" spans="1:26" x14ac:dyDescent="0.35">
      <c r="A29" t="s">
        <v>44</v>
      </c>
      <c r="B29" s="34">
        <f>B28/13</f>
        <v>-12259</v>
      </c>
      <c r="C29" s="2">
        <f>C28/16</f>
        <v>876.25</v>
      </c>
      <c r="D29" s="2">
        <f>D28/17</f>
        <v>-142769.41176470587</v>
      </c>
      <c r="E29" s="34">
        <f>E28/11</f>
        <v>311549.09090909088</v>
      </c>
      <c r="F29" s="2">
        <f>F28/14</f>
        <v>16460.5</v>
      </c>
      <c r="G29" s="2">
        <f>G28/18</f>
        <v>-61980.444444444445</v>
      </c>
      <c r="H29" s="2">
        <f>H28/15</f>
        <v>7428.1640517438664</v>
      </c>
      <c r="I29" s="2">
        <f>I28/14</f>
        <v>-82796.042144467137</v>
      </c>
      <c r="J29" s="2">
        <f>J28/16</f>
        <v>19464.307889646687</v>
      </c>
      <c r="K29" s="2">
        <f>K28/14</f>
        <v>-135127.78565096072</v>
      </c>
      <c r="L29" s="2">
        <f>L28/14</f>
        <v>35052.941674042217</v>
      </c>
      <c r="M29" s="2">
        <f>M28/18</f>
        <v>5218.2026953663053</v>
      </c>
      <c r="N29" s="2">
        <f>N28/6</f>
        <v>-33841.455751601148</v>
      </c>
      <c r="O29" s="2">
        <f>O28/7</f>
        <v>-19430.068812981513</v>
      </c>
      <c r="P29" s="2">
        <f>P28/7</f>
        <v>-19430.068812981513</v>
      </c>
      <c r="Q29" s="2">
        <f>Q28/14</f>
        <v>20865.715329010174</v>
      </c>
      <c r="R29" s="2">
        <f>R28/5</f>
        <v>221257.81486042441</v>
      </c>
      <c r="S29" s="2">
        <f>S28/4</f>
        <v>-34002.620422717853</v>
      </c>
      <c r="T29" s="2">
        <f>T28/5</f>
        <v>-27202.096338174259</v>
      </c>
      <c r="U29" s="2">
        <f>U28/2</f>
        <v>-99836.053104575141</v>
      </c>
      <c r="V29" s="2">
        <f>V28/1</f>
        <v>172503.48706013709</v>
      </c>
      <c r="W29" s="2">
        <f>W28/1</f>
        <v>-217008.85620915031</v>
      </c>
      <c r="X29" s="2">
        <f>X28/1</f>
        <v>309054.09381980076</v>
      </c>
      <c r="Y29" s="2">
        <f>Y28/18</f>
        <v>0</v>
      </c>
    </row>
    <row r="30" spans="1:26" x14ac:dyDescent="0.35">
      <c r="A30" t="s">
        <v>45</v>
      </c>
      <c r="B30" s="35">
        <f>B28/B29</f>
        <v>13</v>
      </c>
      <c r="C30" s="14">
        <f>C28/C29</f>
        <v>16</v>
      </c>
      <c r="D30" s="14">
        <f t="shared" ref="D30:M30" si="4">D28/D29</f>
        <v>17</v>
      </c>
      <c r="E30" s="35">
        <f t="shared" si="4"/>
        <v>11.000000000000002</v>
      </c>
      <c r="F30" s="14">
        <f t="shared" si="4"/>
        <v>14</v>
      </c>
      <c r="G30" s="14">
        <f t="shared" si="4"/>
        <v>18</v>
      </c>
      <c r="H30" s="14">
        <f>H28/H29</f>
        <v>15</v>
      </c>
      <c r="I30" s="14">
        <f t="shared" si="4"/>
        <v>14</v>
      </c>
      <c r="J30" s="14">
        <f t="shared" si="4"/>
        <v>16</v>
      </c>
      <c r="K30" s="14">
        <f t="shared" si="4"/>
        <v>14</v>
      </c>
      <c r="L30" s="14">
        <f t="shared" si="4"/>
        <v>14</v>
      </c>
      <c r="M30" s="14">
        <f t="shared" si="4"/>
        <v>18</v>
      </c>
      <c r="N30" s="14">
        <f t="shared" ref="N30:Y30" si="5">N28/N29</f>
        <v>6</v>
      </c>
      <c r="O30" s="14">
        <f t="shared" si="5"/>
        <v>7</v>
      </c>
      <c r="P30" s="14">
        <f t="shared" si="5"/>
        <v>7</v>
      </c>
      <c r="Q30" s="14">
        <f t="shared" si="5"/>
        <v>13.999999999999998</v>
      </c>
      <c r="R30" s="14">
        <f t="shared" si="5"/>
        <v>5</v>
      </c>
      <c r="S30" s="14">
        <f t="shared" si="5"/>
        <v>4</v>
      </c>
      <c r="T30" s="14">
        <f t="shared" si="5"/>
        <v>5</v>
      </c>
      <c r="U30" s="14">
        <f t="shared" si="5"/>
        <v>2</v>
      </c>
      <c r="V30" s="14">
        <f t="shared" si="5"/>
        <v>1</v>
      </c>
      <c r="W30" s="14">
        <f t="shared" si="5"/>
        <v>1</v>
      </c>
      <c r="X30" s="14">
        <f t="shared" si="5"/>
        <v>1</v>
      </c>
      <c r="Y30" s="14" t="e">
        <f t="shared" si="5"/>
        <v>#DIV/0!</v>
      </c>
    </row>
    <row r="31" spans="1:26" x14ac:dyDescent="0.35">
      <c r="A31" t="s">
        <v>46</v>
      </c>
      <c r="B31" s="24">
        <v>-103976.74718126445</v>
      </c>
      <c r="C31" s="22">
        <v>60872.977006667759</v>
      </c>
      <c r="D31" s="22">
        <v>-137160.65166483633</v>
      </c>
      <c r="E31" s="24">
        <v>47379.899954612367</v>
      </c>
      <c r="F31" s="22">
        <v>172852.78300817031</v>
      </c>
      <c r="G31" s="22">
        <v>872.20167986862361</v>
      </c>
      <c r="H31" s="22">
        <v>16602.148569034645</v>
      </c>
      <c r="I31" s="22">
        <v>-44602.683250347152</v>
      </c>
      <c r="J31" s="22">
        <v>-33078.481036240235</v>
      </c>
      <c r="K31" s="22">
        <v>-48183.181643287186</v>
      </c>
      <c r="L31" s="22">
        <v>7856.5041229191702</v>
      </c>
      <c r="M31" s="22">
        <v>-26147.520617669448</v>
      </c>
      <c r="N31" s="22">
        <v>-203048.7345096069</v>
      </c>
      <c r="Q31">
        <v>240219.89481114782</v>
      </c>
      <c r="R31">
        <v>2788.201494410634</v>
      </c>
      <c r="X31">
        <v>24421.842763630208</v>
      </c>
    </row>
    <row r="32" spans="1:26" x14ac:dyDescent="0.35">
      <c r="A32" t="s">
        <v>47</v>
      </c>
      <c r="B32" s="34">
        <f>B31/15</f>
        <v>-6931.7831454176303</v>
      </c>
      <c r="C32" s="2">
        <f>C31/17</f>
        <v>3580.7633533333974</v>
      </c>
      <c r="D32" s="2">
        <f>D31/19</f>
        <v>-7218.9816665703329</v>
      </c>
      <c r="E32" s="34">
        <f>E31/18</f>
        <v>2632.2166641451313</v>
      </c>
      <c r="F32" s="2">
        <f>F31/15</f>
        <v>11523.518867211355</v>
      </c>
      <c r="G32" s="2">
        <f>G31/19</f>
        <v>45.905351572032821</v>
      </c>
      <c r="H32" s="2">
        <f>H31/17</f>
        <v>976.59697464909675</v>
      </c>
      <c r="I32" s="2">
        <f>I31/16</f>
        <v>-2787.667703146697</v>
      </c>
      <c r="J32" s="2">
        <f>J31/17</f>
        <v>-1945.7930021317786</v>
      </c>
      <c r="K32" s="2">
        <f>K31/15</f>
        <v>-3212.212109552479</v>
      </c>
      <c r="L32" s="2">
        <f>L31/16</f>
        <v>491.03150768244814</v>
      </c>
      <c r="M32" s="2">
        <f>M31/16</f>
        <v>-1634.2200386043405</v>
      </c>
      <c r="N32" s="2">
        <f>N31/15</f>
        <v>-13536.582300640461</v>
      </c>
      <c r="Q32" s="2">
        <f>Q31/14</f>
        <v>17158.563915081988</v>
      </c>
      <c r="R32" s="2">
        <f>R31/6</f>
        <v>464.70024906843901</v>
      </c>
      <c r="X32" s="2">
        <f>X31/1</f>
        <v>24421.842763630208</v>
      </c>
    </row>
    <row r="33" spans="1:26" x14ac:dyDescent="0.35">
      <c r="A33" t="s">
        <v>48</v>
      </c>
      <c r="B33" s="35">
        <f>B31/B32</f>
        <v>15</v>
      </c>
      <c r="C33" s="14">
        <f t="shared" ref="C33:N33" si="6">C31/C32</f>
        <v>17</v>
      </c>
      <c r="D33" s="14">
        <f t="shared" si="6"/>
        <v>19</v>
      </c>
      <c r="E33" s="35">
        <f t="shared" si="6"/>
        <v>18</v>
      </c>
      <c r="F33" s="14">
        <f t="shared" si="6"/>
        <v>15</v>
      </c>
      <c r="G33" s="14">
        <f t="shared" si="6"/>
        <v>19</v>
      </c>
      <c r="H33" s="14">
        <f t="shared" si="6"/>
        <v>17</v>
      </c>
      <c r="I33" s="14">
        <f t="shared" si="6"/>
        <v>16</v>
      </c>
      <c r="J33" s="14">
        <f t="shared" si="6"/>
        <v>17</v>
      </c>
      <c r="K33" s="14">
        <f t="shared" si="6"/>
        <v>15</v>
      </c>
      <c r="L33" s="14">
        <f t="shared" si="6"/>
        <v>16</v>
      </c>
      <c r="M33" s="14">
        <f t="shared" si="6"/>
        <v>16</v>
      </c>
      <c r="N33" s="14">
        <f t="shared" si="6"/>
        <v>15</v>
      </c>
      <c r="Q33" s="14">
        <f>Q31/Q32</f>
        <v>14</v>
      </c>
      <c r="R33" s="14">
        <f>R31/R32</f>
        <v>6</v>
      </c>
      <c r="X33" s="14">
        <f>X31/X32</f>
        <v>1</v>
      </c>
    </row>
    <row r="34" spans="1:26" x14ac:dyDescent="0.35">
      <c r="A34" t="s">
        <v>49</v>
      </c>
      <c r="B34" s="24">
        <v>-31903.396227007266</v>
      </c>
      <c r="C34" s="22">
        <v>-16563.643643666524</v>
      </c>
      <c r="D34" s="22">
        <v>-29081.683015495539</v>
      </c>
      <c r="E34" s="24">
        <v>-23561.756888241507</v>
      </c>
      <c r="F34" s="22">
        <v>-7907.7067142880987</v>
      </c>
      <c r="G34" s="22">
        <v>-18357.940748421475</v>
      </c>
      <c r="H34" s="22">
        <v>3257.8297773083905</v>
      </c>
      <c r="I34" s="22">
        <v>3258.139852645807</v>
      </c>
      <c r="J34" s="22">
        <v>3258.7124487245455</v>
      </c>
      <c r="K34" s="22">
        <v>3255.3617638978176</v>
      </c>
      <c r="L34" s="22">
        <v>5136.1784016971942</v>
      </c>
      <c r="M34" s="22">
        <v>3260.0738474074751</v>
      </c>
      <c r="N34" s="22">
        <v>0</v>
      </c>
      <c r="O34" s="22">
        <v>0</v>
      </c>
      <c r="P34" s="22">
        <v>0</v>
      </c>
      <c r="Q34" s="22">
        <v>8329.8573327660561</v>
      </c>
      <c r="R34" s="22">
        <v>-8354.1405596807599</v>
      </c>
      <c r="S34" s="22"/>
      <c r="T34" s="22"/>
      <c r="U34" s="22"/>
      <c r="V34" s="22"/>
      <c r="W34" s="22"/>
      <c r="X34" s="22">
        <v>-13344.641482484993</v>
      </c>
      <c r="Y34" s="22">
        <v>0</v>
      </c>
      <c r="Z34" s="22">
        <v>0</v>
      </c>
    </row>
    <row r="35" spans="1:26" x14ac:dyDescent="0.35">
      <c r="A35" t="s">
        <v>50</v>
      </c>
      <c r="B35" s="36">
        <f>B34/17</f>
        <v>-1876.6703662945451</v>
      </c>
      <c r="C35" s="32">
        <f>C34/18</f>
        <v>-920.20242464814021</v>
      </c>
      <c r="D35" s="32">
        <f>D34/19</f>
        <v>-1530.6148955523968</v>
      </c>
      <c r="E35" s="36">
        <f>E34/19</f>
        <v>-1240.0924678021845</v>
      </c>
      <c r="F35" s="32">
        <f>F34/19</f>
        <v>-416.1950902256894</v>
      </c>
      <c r="G35" s="32">
        <f>G34/19</f>
        <v>-966.20740781165659</v>
      </c>
      <c r="H35" s="32">
        <f>H34/17</f>
        <v>191.63704572402298</v>
      </c>
      <c r="I35" s="32">
        <f>I34/17</f>
        <v>191.65528544975336</v>
      </c>
      <c r="J35" s="32">
        <f>J34/17</f>
        <v>191.68896757203208</v>
      </c>
      <c r="K35" s="32">
        <f>K34/17</f>
        <v>191.49186846457749</v>
      </c>
      <c r="L35" s="32">
        <f>L34/16</f>
        <v>321.01115010607464</v>
      </c>
      <c r="M35" s="32">
        <f>M34/17</f>
        <v>191.76904984749854</v>
      </c>
      <c r="N35" s="32">
        <f>N34/15</f>
        <v>0</v>
      </c>
      <c r="O35" s="32">
        <f>O34/15</f>
        <v>0</v>
      </c>
      <c r="P35" s="32">
        <f>P34/15</f>
        <v>0</v>
      </c>
      <c r="Q35" s="32">
        <f>Q34/15</f>
        <v>555.32382218440375</v>
      </c>
      <c r="R35" s="32">
        <f>R34/6</f>
        <v>-1392.3567599467933</v>
      </c>
      <c r="S35" s="32"/>
      <c r="T35" s="32"/>
      <c r="U35" s="32"/>
      <c r="V35" s="32"/>
      <c r="W35" s="32"/>
      <c r="X35" s="32">
        <f>X34/1</f>
        <v>-13344.641482484993</v>
      </c>
      <c r="Y35" s="32">
        <f>Y34/15</f>
        <v>0</v>
      </c>
    </row>
    <row r="36" spans="1:26" x14ac:dyDescent="0.35">
      <c r="A36" t="s">
        <v>51</v>
      </c>
      <c r="B36" s="35">
        <f>B34/B35</f>
        <v>17</v>
      </c>
      <c r="C36" s="14">
        <f t="shared" ref="C36:Y36" si="7">C34/C35</f>
        <v>18</v>
      </c>
      <c r="D36" s="14">
        <f t="shared" si="7"/>
        <v>19</v>
      </c>
      <c r="E36" s="35">
        <f t="shared" si="7"/>
        <v>19</v>
      </c>
      <c r="F36" s="14">
        <f t="shared" si="7"/>
        <v>19</v>
      </c>
      <c r="G36" s="14">
        <f t="shared" si="7"/>
        <v>19</v>
      </c>
      <c r="H36" s="14">
        <f t="shared" si="7"/>
        <v>17</v>
      </c>
      <c r="I36" s="14">
        <f t="shared" si="7"/>
        <v>17</v>
      </c>
      <c r="J36" s="14">
        <f t="shared" si="7"/>
        <v>17</v>
      </c>
      <c r="K36" s="14">
        <f t="shared" si="7"/>
        <v>17</v>
      </c>
      <c r="L36" s="14">
        <f t="shared" si="7"/>
        <v>16</v>
      </c>
      <c r="M36" s="14">
        <f t="shared" si="7"/>
        <v>17</v>
      </c>
      <c r="N36" s="14" t="e">
        <f t="shared" si="7"/>
        <v>#DIV/0!</v>
      </c>
      <c r="O36" s="14" t="e">
        <f t="shared" si="7"/>
        <v>#DIV/0!</v>
      </c>
      <c r="P36" s="14" t="e">
        <f t="shared" si="7"/>
        <v>#DIV/0!</v>
      </c>
      <c r="Q36" s="14">
        <f t="shared" si="7"/>
        <v>15</v>
      </c>
      <c r="R36" s="14">
        <f t="shared" si="7"/>
        <v>6</v>
      </c>
      <c r="S36" s="14"/>
      <c r="T36" s="14"/>
      <c r="U36" s="14"/>
      <c r="V36" s="14"/>
      <c r="W36" s="14"/>
      <c r="X36" s="14">
        <f t="shared" si="7"/>
        <v>1</v>
      </c>
      <c r="Y36" s="14" t="e">
        <f t="shared" si="7"/>
        <v>#DIV/0!</v>
      </c>
    </row>
    <row r="37" spans="1:26" x14ac:dyDescent="0.35">
      <c r="A37" t="s">
        <v>52</v>
      </c>
      <c r="B37" s="24">
        <v>1399.8685979286674</v>
      </c>
      <c r="C37" s="22">
        <v>1722.0058815134689</v>
      </c>
      <c r="D37" s="22">
        <v>1721.5310560874641</v>
      </c>
      <c r="E37" s="24">
        <v>1721.6656225877814</v>
      </c>
      <c r="F37" s="22">
        <v>1723.0498880473897</v>
      </c>
      <c r="G37" s="22">
        <v>1720.9759825300425</v>
      </c>
      <c r="H37" s="22">
        <v>1608.9406769858906</v>
      </c>
      <c r="I37" s="22">
        <v>1609.0501153413206</v>
      </c>
      <c r="J37" s="22">
        <v>1609.3446758762002</v>
      </c>
      <c r="K37" s="22">
        <v>1610.0696134297177</v>
      </c>
      <c r="L37" s="22">
        <v>1608.1741531721782</v>
      </c>
      <c r="M37" s="22">
        <v>1607.7327017281204</v>
      </c>
      <c r="N37" s="22">
        <v>0</v>
      </c>
      <c r="O37" s="22">
        <v>0</v>
      </c>
      <c r="P37" s="22">
        <v>0</v>
      </c>
      <c r="Q37" s="22">
        <v>-10042.994890329428</v>
      </c>
      <c r="R37" s="22">
        <v>862.03174272552133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384.05616822559386</v>
      </c>
      <c r="Y37" s="22">
        <v>0</v>
      </c>
      <c r="Z37" s="22">
        <v>0</v>
      </c>
    </row>
    <row r="38" spans="1:26" x14ac:dyDescent="0.35">
      <c r="A38" t="s">
        <v>53</v>
      </c>
      <c r="B38" s="36">
        <f t="shared" ref="B38:G38" si="8">B37/19</f>
        <v>73.677294627824608</v>
      </c>
      <c r="C38" s="32">
        <f t="shared" si="8"/>
        <v>90.631888500708897</v>
      </c>
      <c r="D38" s="32">
        <f t="shared" si="8"/>
        <v>90.606897688813902</v>
      </c>
      <c r="E38" s="36">
        <f t="shared" si="8"/>
        <v>90.613980136199018</v>
      </c>
      <c r="F38" s="32">
        <f t="shared" si="8"/>
        <v>90.686836213020513</v>
      </c>
      <c r="G38" s="32">
        <f t="shared" si="8"/>
        <v>90.577683291054868</v>
      </c>
      <c r="H38" s="32">
        <f>H37/17</f>
        <v>94.643569234464152</v>
      </c>
      <c r="I38" s="32">
        <f>I37/17</f>
        <v>94.650006784783571</v>
      </c>
      <c r="J38" s="32">
        <f>J37/17</f>
        <v>94.667333875070597</v>
      </c>
      <c r="K38" s="32">
        <f>K37/17</f>
        <v>94.709977260571634</v>
      </c>
      <c r="L38" s="32">
        <f>L37/16</f>
        <v>100.51088457326114</v>
      </c>
      <c r="M38" s="32">
        <f>M37/17</f>
        <v>94.572511866360031</v>
      </c>
      <c r="Q38" s="32">
        <f>Q37/15</f>
        <v>-669.5329926886285</v>
      </c>
      <c r="R38" s="32">
        <f>R37/6</f>
        <v>143.67195712092021</v>
      </c>
      <c r="X38" s="32">
        <f>X37/1</f>
        <v>384.05616822559386</v>
      </c>
    </row>
    <row r="39" spans="1:26" x14ac:dyDescent="0.35">
      <c r="A39" t="s">
        <v>54</v>
      </c>
      <c r="B39" s="35">
        <f t="shared" ref="B39:M39" si="9">B37/B38</f>
        <v>19</v>
      </c>
      <c r="C39" s="14">
        <f t="shared" si="9"/>
        <v>19</v>
      </c>
      <c r="D39" s="14">
        <f t="shared" si="9"/>
        <v>19</v>
      </c>
      <c r="E39" s="35">
        <f t="shared" si="9"/>
        <v>19</v>
      </c>
      <c r="F39" s="14">
        <f t="shared" si="9"/>
        <v>19</v>
      </c>
      <c r="G39" s="14">
        <f t="shared" si="9"/>
        <v>19</v>
      </c>
      <c r="H39" s="14">
        <f t="shared" si="9"/>
        <v>17</v>
      </c>
      <c r="I39" s="14">
        <f t="shared" si="9"/>
        <v>17</v>
      </c>
      <c r="J39" s="14">
        <f t="shared" si="9"/>
        <v>17</v>
      </c>
      <c r="K39" s="14">
        <f t="shared" si="9"/>
        <v>17</v>
      </c>
      <c r="L39" s="14">
        <f t="shared" si="9"/>
        <v>16</v>
      </c>
      <c r="M39" s="14">
        <f t="shared" si="9"/>
        <v>17</v>
      </c>
      <c r="Q39" s="14">
        <f>Q37/Q38</f>
        <v>15</v>
      </c>
      <c r="R39" s="14">
        <f>R37/R38</f>
        <v>6</v>
      </c>
      <c r="X39" s="14">
        <f>X37/X38</f>
        <v>1</v>
      </c>
    </row>
    <row r="40" spans="1:26" x14ac:dyDescent="0.35">
      <c r="A40" t="s">
        <v>55</v>
      </c>
      <c r="B40" s="24">
        <v>521.95701579400338</v>
      </c>
      <c r="C40" s="24">
        <v>621.68457902921364</v>
      </c>
      <c r="D40" s="24">
        <v>621.53463415615261</v>
      </c>
      <c r="E40" s="24">
        <v>622.57712884573266</v>
      </c>
      <c r="F40" s="24">
        <v>621.01426530536264</v>
      </c>
      <c r="G40" s="24">
        <v>622.35934777744114</v>
      </c>
      <c r="H40" s="24">
        <v>-284.74184027744923</v>
      </c>
      <c r="I40" s="24">
        <v>-282.70321497507393</v>
      </c>
      <c r="J40" s="24">
        <v>-284.59925243258476</v>
      </c>
      <c r="K40" s="24">
        <v>-284.34339212067425</v>
      </c>
      <c r="L40" s="24">
        <v>-282.04883281840011</v>
      </c>
      <c r="M40" s="24">
        <v>-283.16818448901176</v>
      </c>
      <c r="Q40" s="24">
        <v>628.02416169643402</v>
      </c>
      <c r="R40" s="24">
        <v>269.40723865479231</v>
      </c>
      <c r="S40" s="24"/>
      <c r="T40" s="24"/>
      <c r="U40" s="24"/>
      <c r="V40" s="24"/>
      <c r="W40" s="24"/>
      <c r="X40" s="24">
        <v>427.72775145526975</v>
      </c>
      <c r="Y40" s="24"/>
    </row>
    <row r="41" spans="1:26" x14ac:dyDescent="0.35">
      <c r="A41" t="s">
        <v>56</v>
      </c>
      <c r="B41" s="36">
        <f>B40/19</f>
        <v>27.471421883894916</v>
      </c>
      <c r="C41" s="32">
        <f>C40/18</f>
        <v>34.538032168289647</v>
      </c>
      <c r="D41" s="32">
        <f>D40/19</f>
        <v>32.712349166113292</v>
      </c>
      <c r="E41" s="36">
        <f>E40/19</f>
        <v>32.767217307670137</v>
      </c>
      <c r="F41" s="32">
        <f>F40/19</f>
        <v>32.684961331861189</v>
      </c>
      <c r="G41" s="32">
        <f>G40/19</f>
        <v>32.755755146181116</v>
      </c>
      <c r="H41" s="32">
        <f t="shared" ref="H41:M41" si="10">H40/17</f>
        <v>-16.749520016320542</v>
      </c>
      <c r="I41" s="32">
        <f t="shared" si="10"/>
        <v>-16.629600880886702</v>
      </c>
      <c r="J41" s="32">
        <f t="shared" si="10"/>
        <v>-16.741132496034396</v>
      </c>
      <c r="K41" s="32">
        <f t="shared" si="10"/>
        <v>-16.726081889451425</v>
      </c>
      <c r="L41" s="32">
        <f t="shared" si="10"/>
        <v>-16.591107812847067</v>
      </c>
      <c r="M41" s="32">
        <f t="shared" si="10"/>
        <v>-16.656952028765399</v>
      </c>
      <c r="Q41" s="32">
        <f>Q40/15</f>
        <v>41.868277446428934</v>
      </c>
      <c r="R41" s="32">
        <f>R40/6</f>
        <v>44.901206442465387</v>
      </c>
      <c r="X41" s="32">
        <f>X40/1</f>
        <v>427.72775145526975</v>
      </c>
    </row>
    <row r="42" spans="1:26" x14ac:dyDescent="0.35">
      <c r="A42" t="s">
        <v>57</v>
      </c>
      <c r="B42" s="35">
        <f t="shared" ref="B42:M42" si="11">B40/B41</f>
        <v>19</v>
      </c>
      <c r="C42" s="14">
        <f t="shared" si="11"/>
        <v>18</v>
      </c>
      <c r="D42" s="14">
        <f t="shared" si="11"/>
        <v>19.000000000000004</v>
      </c>
      <c r="E42" s="35">
        <f t="shared" si="11"/>
        <v>19</v>
      </c>
      <c r="F42" s="14">
        <f t="shared" si="11"/>
        <v>19</v>
      </c>
      <c r="G42" s="14">
        <f t="shared" si="11"/>
        <v>19</v>
      </c>
      <c r="H42" s="14">
        <f t="shared" si="11"/>
        <v>17</v>
      </c>
      <c r="I42" s="14">
        <f t="shared" si="11"/>
        <v>17</v>
      </c>
      <c r="J42" s="14">
        <f t="shared" si="11"/>
        <v>17</v>
      </c>
      <c r="K42" s="14">
        <f t="shared" si="11"/>
        <v>17</v>
      </c>
      <c r="L42" s="14">
        <f t="shared" si="11"/>
        <v>17</v>
      </c>
      <c r="M42" s="14">
        <f t="shared" si="11"/>
        <v>17</v>
      </c>
      <c r="Q42" s="14">
        <f>Q40/Q41</f>
        <v>15</v>
      </c>
      <c r="R42" s="14">
        <f>R40/R41</f>
        <v>6</v>
      </c>
      <c r="X42" s="14">
        <f>X40/X41</f>
        <v>1</v>
      </c>
    </row>
    <row r="43" spans="1:26" x14ac:dyDescent="0.35">
      <c r="A43" t="s">
        <v>58</v>
      </c>
      <c r="B43" s="24">
        <v>-112.49637993180659</v>
      </c>
      <c r="C43" s="24">
        <v>-114.09671822376549</v>
      </c>
      <c r="D43" s="24">
        <v>-112.05081623420119</v>
      </c>
      <c r="E43" s="24">
        <v>-113.72160739032552</v>
      </c>
      <c r="F43" s="24">
        <v>-113.21514324471354</v>
      </c>
      <c r="G43" s="24">
        <v>-112.79038036242127</v>
      </c>
      <c r="H43" s="24">
        <v>-29.332581882830709</v>
      </c>
      <c r="I43" s="24">
        <v>-29.613067070022225</v>
      </c>
      <c r="J43" s="24">
        <v>-29.282256761565804</v>
      </c>
      <c r="K43" s="24">
        <v>-29.191953122615814</v>
      </c>
      <c r="L43" s="24">
        <v>-31.382108660880476</v>
      </c>
      <c r="M43" s="24">
        <v>-30.777173953130841</v>
      </c>
      <c r="N43" s="24"/>
      <c r="O43" s="24"/>
      <c r="P43" s="24"/>
      <c r="Q43" s="24">
        <v>-76575.073902962729</v>
      </c>
      <c r="R43" s="24">
        <v>66509.455709990114</v>
      </c>
      <c r="X43" s="24">
        <v>-4628.4124053264968</v>
      </c>
    </row>
    <row r="44" spans="1:26" x14ac:dyDescent="0.35">
      <c r="A44" t="s">
        <v>59</v>
      </c>
      <c r="B44" s="36">
        <f t="shared" ref="B44:G44" si="12">B43/19</f>
        <v>-5.9208621016740306</v>
      </c>
      <c r="C44" s="32">
        <f t="shared" si="12"/>
        <v>-6.0050904328297632</v>
      </c>
      <c r="D44" s="32">
        <f t="shared" si="12"/>
        <v>-5.8974113807474309</v>
      </c>
      <c r="E44" s="38">
        <f t="shared" si="12"/>
        <v>-5.9853477573855534</v>
      </c>
      <c r="F44" s="32">
        <f t="shared" si="12"/>
        <v>-5.9586917497217655</v>
      </c>
      <c r="G44" s="32">
        <f t="shared" si="12"/>
        <v>-5.9363358085484883</v>
      </c>
      <c r="H44" s="32">
        <f t="shared" ref="H44:M44" si="13">H43/17</f>
        <v>-1.7254459931076889</v>
      </c>
      <c r="I44" s="32">
        <f t="shared" si="13"/>
        <v>-1.7419451217660133</v>
      </c>
      <c r="J44" s="32">
        <f t="shared" si="13"/>
        <v>-1.7224856918568121</v>
      </c>
      <c r="K44" s="32">
        <f t="shared" si="13"/>
        <v>-1.717173713095048</v>
      </c>
      <c r="L44" s="32">
        <f t="shared" si="13"/>
        <v>-1.8460063918164986</v>
      </c>
      <c r="M44" s="32">
        <f t="shared" si="13"/>
        <v>-1.8104219972429907</v>
      </c>
      <c r="Q44" s="32">
        <f>Q43/15</f>
        <v>-5105.0049268641824</v>
      </c>
      <c r="R44" s="32">
        <f>R43/6</f>
        <v>11084.909284998352</v>
      </c>
      <c r="X44" s="32">
        <f>X43/1</f>
        <v>-4628.4124053264968</v>
      </c>
    </row>
    <row r="45" spans="1:26" x14ac:dyDescent="0.35">
      <c r="A45" t="s">
        <v>60</v>
      </c>
      <c r="B45" s="35">
        <f t="shared" ref="B45:M45" si="14">B43/B44</f>
        <v>19</v>
      </c>
      <c r="C45" s="14">
        <f t="shared" si="14"/>
        <v>19</v>
      </c>
      <c r="D45" s="14">
        <f t="shared" si="14"/>
        <v>19</v>
      </c>
      <c r="E45" s="39">
        <f t="shared" si="14"/>
        <v>19</v>
      </c>
      <c r="F45" s="14">
        <f t="shared" si="14"/>
        <v>19</v>
      </c>
      <c r="G45" s="14">
        <f t="shared" si="14"/>
        <v>19</v>
      </c>
      <c r="H45" s="14">
        <f t="shared" si="14"/>
        <v>17</v>
      </c>
      <c r="I45" s="14">
        <f t="shared" si="14"/>
        <v>17</v>
      </c>
      <c r="J45" s="14">
        <f t="shared" si="14"/>
        <v>17</v>
      </c>
      <c r="K45" s="14">
        <f t="shared" si="14"/>
        <v>17</v>
      </c>
      <c r="L45" s="14">
        <f t="shared" si="14"/>
        <v>17</v>
      </c>
      <c r="M45" s="14">
        <f t="shared" si="14"/>
        <v>17</v>
      </c>
      <c r="Q45" s="14">
        <f>Q43/Q44</f>
        <v>14.999999999999998</v>
      </c>
      <c r="R45" s="14">
        <f>R43/R44</f>
        <v>6</v>
      </c>
      <c r="X45" s="14">
        <f>X43/X44</f>
        <v>1</v>
      </c>
    </row>
    <row r="46" spans="1:26" x14ac:dyDescent="0.35">
      <c r="Q46" s="32"/>
      <c r="R46" s="14"/>
      <c r="X46" s="32"/>
    </row>
  </sheetData>
  <phoneticPr fontId="23" type="noConversion"/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A7FC-CC76-4CDC-B172-D873E10785FB}">
  <dimension ref="A1:AF30"/>
  <sheetViews>
    <sheetView topLeftCell="A6" workbookViewId="0">
      <selection activeCell="B26" sqref="B26"/>
    </sheetView>
  </sheetViews>
  <sheetFormatPr defaultRowHeight="14.5" x14ac:dyDescent="0.35"/>
  <cols>
    <col min="2" max="2" width="11.08984375" bestFit="1" customWidth="1"/>
    <col min="3" max="3" width="10.08984375" bestFit="1" customWidth="1"/>
    <col min="4" max="4" width="12.54296875" bestFit="1" customWidth="1"/>
    <col min="5" max="5" width="11.08984375" bestFit="1" customWidth="1"/>
    <col min="6" max="6" width="10.08984375" bestFit="1" customWidth="1"/>
    <col min="7" max="7" width="10.36328125" customWidth="1"/>
    <col min="8" max="8" width="11.08984375" bestFit="1" customWidth="1"/>
    <col min="9" max="9" width="12.54296875" bestFit="1" customWidth="1"/>
    <col min="10" max="10" width="11.08984375" bestFit="1" customWidth="1"/>
    <col min="11" max="11" width="12.54296875" bestFit="1" customWidth="1"/>
    <col min="12" max="13" width="11.08984375" bestFit="1" customWidth="1"/>
    <col min="14" max="14" width="8.90625" bestFit="1" customWidth="1"/>
    <col min="15" max="16" width="10.08984375" bestFit="1" customWidth="1"/>
    <col min="17" max="18" width="11.08984375" bestFit="1" customWidth="1"/>
    <col min="19" max="20" width="10.08984375" bestFit="1" customWidth="1"/>
    <col min="21" max="21" width="9.08984375" bestFit="1" customWidth="1"/>
    <col min="22" max="22" width="8.90625" bestFit="1" customWidth="1"/>
    <col min="23" max="25" width="11.08984375" bestFit="1" customWidth="1"/>
    <col min="26" max="26" width="12.54296875" bestFit="1" customWidth="1"/>
  </cols>
  <sheetData>
    <row r="1" spans="1:32" x14ac:dyDescent="0.35">
      <c r="A1" t="str">
        <f>'SAMdataPlus Original'!A1</f>
        <v xml:space="preserve"> </v>
      </c>
      <c r="B1" t="str">
        <f>'SAMdataPlus Original'!B1</f>
        <v>Commod-1-Agriculture, forestry, fishing, and hunting</v>
      </c>
      <c r="C1" t="str">
        <f>'SAMdataPlus Original'!C1</f>
        <v>Commod-2-MiningUtilitiesConstruction</v>
      </c>
      <c r="D1" t="str">
        <f>'SAMdataPlus Original'!D1</f>
        <v>Commod-3-Manufacturing</v>
      </c>
      <c r="E1" t="str">
        <f>'SAMdataPlus Original'!E1</f>
        <v>Commod-4-Wholesale tradeRetail tradeTransportation and warehousing</v>
      </c>
      <c r="F1" t="str">
        <f>'SAMdataPlus Original'!F1</f>
        <v>Commod-5-Information</v>
      </c>
      <c r="G1" t="str">
        <f>'SAMdataPlus Original'!G1</f>
        <v>Commod-6-Finance, insurance, real estate, rental, and leasingProfessional and business servicesEducational services, health care, and social assistanceArts, entertainment, recreation, accommodation, and food servicesOther services, except government</v>
      </c>
      <c r="H1" t="str">
        <f>'SAMdataPlus Original'!H1</f>
        <v>Sec1-Agriculture, forestry, fishing, and hunting</v>
      </c>
      <c r="I1" t="str">
        <f>'SAMdataPlus Original'!I1</f>
        <v>Sec2-MiningUtilitiesConstruction</v>
      </c>
      <c r="J1" t="str">
        <f>'SAMdataPlus Original'!J1</f>
        <v>Sec3-Manufacturing</v>
      </c>
      <c r="K1" t="str">
        <f>'SAMdataPlus Original'!K1</f>
        <v>Sec4-Wholesale tradeRetail tradeTransportation and warehousing</v>
      </c>
      <c r="L1" t="str">
        <f>'SAMdataPlus Original'!L1</f>
        <v>Sec5-Information</v>
      </c>
      <c r="M1" t="str">
        <f>'SAMdataPlus Original'!M1</f>
        <v>Sec6-Finance, insurance, real estate, rental, and leasingProfessional and business servicesEducational services, health care, and social assistanceArts, entertainment, recreation, accommodation, and food servicesOther services, except government</v>
      </c>
      <c r="N1" t="str">
        <f>'SAMdataPlus Original'!N1</f>
        <v>Cdi</v>
      </c>
      <c r="O1" t="str">
        <f>'SAMdataPlus Original'!O1</f>
        <v>Kdi</v>
      </c>
      <c r="P1" t="str">
        <f>'SAMdataPlus Original'!P1</f>
        <v>Ldi</v>
      </c>
      <c r="Q1" t="str">
        <f>'SAMdataPlus Original'!Q1</f>
        <v>Gov</v>
      </c>
      <c r="R1" t="str">
        <f>'SAMdataPlus Original'!R1</f>
        <v>HH</v>
      </c>
      <c r="S1" t="str">
        <f>'SAMdataPlus Original'!S1</f>
        <v>TaxK</v>
      </c>
      <c r="T1" t="str">
        <f>'SAMdataPlus Original'!T1</f>
        <v>TaxL</v>
      </c>
      <c r="U1" t="str">
        <f>'SAMdataPlus Original'!U1</f>
        <v>TaxC</v>
      </c>
      <c r="V1" t="str">
        <f>'SAMdataPlus Original'!V1</f>
        <v>TaxIn</v>
      </c>
      <c r="W1" t="str">
        <f>'SAMdataPlus Original'!W1</f>
        <v>TaxImp</v>
      </c>
      <c r="X1" t="str">
        <f>'SAMdataPlus Original'!X1</f>
        <v>InvSav</v>
      </c>
      <c r="Y1" t="str">
        <f>'SAMdataPlus Original'!Y1</f>
        <v>RoW</v>
      </c>
      <c r="Z1" t="str">
        <f>'SAMdataPlus Original'!Z1</f>
        <v>Total</v>
      </c>
      <c r="AA1" t="str">
        <f>'SAMdataPlus Original'!AA1</f>
        <v>Pr_W_Im_foreignCurri</v>
      </c>
      <c r="AB1" t="str">
        <f>'SAMdataPlus Original'!AB1</f>
        <v>Pr_W_Exp_foreignCurri</v>
      </c>
      <c r="AC1" t="str">
        <f>'SAMdataPlus Original'!AC1</f>
        <v>Pr_Commods_toHomei</v>
      </c>
      <c r="AD1" t="str">
        <f>'SAMdataPlus Original'!AD1</f>
        <v>Pr_CombCommods_toHomei</v>
      </c>
      <c r="AE1" t="str">
        <f>'SAMdataPlus Original'!AE1</f>
        <v>KLsubselasi</v>
      </c>
      <c r="AF1" t="str">
        <f>'SAMdataPlus Original'!AF1</f>
        <v>YinelasCommodsi</v>
      </c>
    </row>
    <row r="2" spans="1:32" x14ac:dyDescent="0.35">
      <c r="A2" t="str">
        <f>'SAMdataPlus Original'!A2</f>
        <v>Commod-1-Agriculture, forestry, fishing, and hunting</v>
      </c>
      <c r="B2" s="2" t="str">
        <f>IFERROR(SAMdataPlus!B2-'SAMdataPlus Original'!B2,"")</f>
        <v/>
      </c>
      <c r="C2" s="2">
        <f>IFERROR(SAMdataPlus!C2-'SAMdataPlus Original'!C2,"")</f>
        <v>0</v>
      </c>
      <c r="D2" s="2">
        <f>IFERROR(SAMdataPlus!D2-'SAMdataPlus Original'!D2,"")</f>
        <v>0</v>
      </c>
      <c r="E2" s="2">
        <f>IFERROR(SAMdataPlus!E2-'SAMdataPlus Original'!E2,"")</f>
        <v>0</v>
      </c>
      <c r="F2" s="2">
        <f>IFERROR(SAMdataPlus!F2-'SAMdataPlus Original'!F2,"")</f>
        <v>0</v>
      </c>
      <c r="G2" s="2">
        <f>IFERROR(SAMdataPlus!G2-'SAMdataPlus Original'!G2,"")</f>
        <v>0</v>
      </c>
      <c r="H2" s="2">
        <f>IFERROR(SAMdataPlus!H2-'SAMdataPlus Original'!H2,"")</f>
        <v>-29645</v>
      </c>
      <c r="I2" s="2">
        <f>IFERROR(SAMdataPlus!I2-'SAMdataPlus Original'!I2,"")</f>
        <v>76602</v>
      </c>
      <c r="J2" s="2">
        <f>IFERROR(SAMdataPlus!J2-'SAMdataPlus Original'!J2,"")</f>
        <v>-38759</v>
      </c>
      <c r="K2" s="2">
        <f>IFERROR(SAMdataPlus!K2-'SAMdataPlus Original'!K2,"")</f>
        <v>129359</v>
      </c>
      <c r="L2" s="2">
        <f>IFERROR(SAMdataPlus!L2-'SAMdataPlus Original'!L2,"")</f>
        <v>113</v>
      </c>
      <c r="M2" s="2">
        <f>IFERROR(SAMdataPlus!M2-'SAMdataPlus Original'!M2,"")</f>
        <v>-5634</v>
      </c>
      <c r="N2" s="2">
        <f>IFERROR(SAMdataPlus!N2-'SAMdataPlus Original'!N2,"")</f>
        <v>0</v>
      </c>
      <c r="O2" s="2">
        <f>IFERROR(SAMdataPlus!O2-'SAMdataPlus Original'!O2,"")</f>
        <v>0</v>
      </c>
      <c r="P2" s="2">
        <f>IFERROR(SAMdataPlus!P2-'SAMdataPlus Original'!P2,"")</f>
        <v>0</v>
      </c>
      <c r="Q2" s="2">
        <f>IFERROR(SAMdataPlus!Q2-'SAMdataPlus Original'!Q2,"")</f>
        <v>3395.9033080374793</v>
      </c>
      <c r="R2" s="2">
        <f>IFERROR(SAMdataPlus!R2-'SAMdataPlus Original'!R2,"")</f>
        <v>-31318.051594985533</v>
      </c>
      <c r="S2" s="2">
        <f>IFERROR(SAMdataPlus!S2-'SAMdataPlus Original'!S2,"")</f>
        <v>0</v>
      </c>
      <c r="T2" s="2">
        <f>IFERROR(SAMdataPlus!T2-'SAMdataPlus Original'!T2,"")</f>
        <v>0</v>
      </c>
      <c r="U2" s="2">
        <f>IFERROR(SAMdataPlus!U2-'SAMdataPlus Original'!U2,"")</f>
        <v>0</v>
      </c>
      <c r="V2" s="2">
        <f>IFERROR(SAMdataPlus!V2-'SAMdataPlus Original'!V2,"")</f>
        <v>0</v>
      </c>
      <c r="W2" s="2">
        <f>IFERROR(SAMdataPlus!W2-'SAMdataPlus Original'!W2,"")</f>
        <v>0</v>
      </c>
      <c r="X2" s="2">
        <f>IFERROR(SAMdataPlus!X2-'SAMdataPlus Original'!X2,"")</f>
        <v>95.227854410045495</v>
      </c>
      <c r="Y2" s="2">
        <f>IFERROR(SAMdataPlus!Y2-'SAMdataPlus Original'!Y2,"")</f>
        <v>-20972.225657302137</v>
      </c>
      <c r="Z2" s="2">
        <f>IFERROR(SAMdataPlus!Z2-'SAMdataPlus Original'!Z2,"")</f>
        <v>83236.853910159785</v>
      </c>
    </row>
    <row r="3" spans="1:32" x14ac:dyDescent="0.35">
      <c r="A3" t="str">
        <f>'SAMdataPlus Original'!A3</f>
        <v>Commod-2-MiningUtilitiesConstruction</v>
      </c>
      <c r="B3" s="2" t="str">
        <f>IFERROR(SAMdataPlus!B3-'SAMdataPlus Original'!B3,"")</f>
        <v/>
      </c>
      <c r="C3" s="2">
        <f>IFERROR(SAMdataPlus!C3-'SAMdataPlus Original'!C3,"")</f>
        <v>0</v>
      </c>
      <c r="D3" s="2">
        <f>IFERROR(SAMdataPlus!D3-'SAMdataPlus Original'!D3,"")</f>
        <v>0</v>
      </c>
      <c r="E3" s="2">
        <f>IFERROR(SAMdataPlus!E3-'SAMdataPlus Original'!E3,"")</f>
        <v>0</v>
      </c>
      <c r="F3" s="2">
        <f>IFERROR(SAMdataPlus!F3-'SAMdataPlus Original'!F3,"")</f>
        <v>0</v>
      </c>
      <c r="G3" s="2">
        <f>IFERROR(SAMdataPlus!G3-'SAMdataPlus Original'!G3,"")</f>
        <v>0</v>
      </c>
      <c r="H3" s="2">
        <f>IFERROR(SAMdataPlus!H3-'SAMdataPlus Original'!H3,"")</f>
        <v>-5017</v>
      </c>
      <c r="I3" s="2">
        <f>IFERROR(SAMdataPlus!I3-'SAMdataPlus Original'!I3,"")</f>
        <v>88971</v>
      </c>
      <c r="J3" s="2">
        <f>IFERROR(SAMdataPlus!J3-'SAMdataPlus Original'!J3,"")</f>
        <v>-14131</v>
      </c>
      <c r="K3" s="2">
        <f>IFERROR(SAMdataPlus!K3-'SAMdataPlus Original'!K3,"")</f>
        <v>141728</v>
      </c>
      <c r="L3" s="2">
        <f>IFERROR(SAMdataPlus!L3-'SAMdataPlus Original'!L3,"")</f>
        <v>2761</v>
      </c>
      <c r="M3" s="2">
        <f>IFERROR(SAMdataPlus!M3-'SAMdataPlus Original'!M3,"")</f>
        <v>-196</v>
      </c>
      <c r="N3" s="2">
        <f>IFERROR(SAMdataPlus!N3-'SAMdataPlus Original'!N3,"")</f>
        <v>0</v>
      </c>
      <c r="O3" s="2">
        <f>IFERROR(SAMdataPlus!O3-'SAMdataPlus Original'!O3,"")</f>
        <v>0</v>
      </c>
      <c r="P3" s="2">
        <f>IFERROR(SAMdataPlus!P3-'SAMdataPlus Original'!P3,"")</f>
        <v>0</v>
      </c>
      <c r="Q3" s="2">
        <f>IFERROR(SAMdataPlus!Q3-'SAMdataPlus Original'!Q3,"")</f>
        <v>-29190.957665248759</v>
      </c>
      <c r="R3" s="2">
        <f>IFERROR(SAMdataPlus!R3-'SAMdataPlus Original'!R3,"")</f>
        <v>-227947.66503918637</v>
      </c>
      <c r="S3" s="2">
        <f>IFERROR(SAMdataPlus!S3-'SAMdataPlus Original'!S3,"")</f>
        <v>0</v>
      </c>
      <c r="T3" s="2">
        <f>IFERROR(SAMdataPlus!T3-'SAMdataPlus Original'!T3,"")</f>
        <v>0</v>
      </c>
      <c r="U3" s="2">
        <f>IFERROR(SAMdataPlus!U3-'SAMdataPlus Original'!U3,"")</f>
        <v>0</v>
      </c>
      <c r="V3" s="2">
        <f>IFERROR(SAMdataPlus!V3-'SAMdataPlus Original'!V3,"")</f>
        <v>0</v>
      </c>
      <c r="W3" s="2">
        <f>IFERROR(SAMdataPlus!W3-'SAMdataPlus Original'!W3,"")</f>
        <v>0</v>
      </c>
      <c r="X3" s="2">
        <f>IFERROR(SAMdataPlus!X3-'SAMdataPlus Original'!X3,"")</f>
        <v>3655.9757589211222</v>
      </c>
      <c r="Y3" s="2">
        <f>IFERROR(SAMdataPlus!Y3-'SAMdataPlus Original'!Y3,"")</f>
        <v>3655.9757589214278</v>
      </c>
      <c r="Z3" s="2">
        <f>IFERROR(SAMdataPlus!Z3-'SAMdataPlus Original'!Z3,"")</f>
        <v>-35710.67118659243</v>
      </c>
    </row>
    <row r="4" spans="1:32" x14ac:dyDescent="0.35">
      <c r="A4" t="str">
        <f>'SAMdataPlus Original'!A4</f>
        <v>Commod-3-Manufacturing</v>
      </c>
      <c r="B4" s="2" t="str">
        <f>IFERROR(SAMdataPlus!B4-'SAMdataPlus Original'!B4,"")</f>
        <v/>
      </c>
      <c r="C4" s="2">
        <f>IFERROR(SAMdataPlus!C4-'SAMdataPlus Original'!C4,"")</f>
        <v>0</v>
      </c>
      <c r="D4" s="2">
        <f>IFERROR(SAMdataPlus!D4-'SAMdataPlus Original'!D4,"")</f>
        <v>0</v>
      </c>
      <c r="E4" s="2">
        <f>IFERROR(SAMdataPlus!E4-'SAMdataPlus Original'!E4,"")</f>
        <v>0</v>
      </c>
      <c r="F4" s="2">
        <f>IFERROR(SAMdataPlus!F4-'SAMdataPlus Original'!F4,"")</f>
        <v>0</v>
      </c>
      <c r="G4" s="2">
        <f>IFERROR(SAMdataPlus!G4-'SAMdataPlus Original'!G4,"")</f>
        <v>0</v>
      </c>
      <c r="H4" s="2">
        <f>IFERROR(SAMdataPlus!H4-'SAMdataPlus Original'!H4,"")</f>
        <v>-9877</v>
      </c>
      <c r="I4" s="2">
        <f>IFERROR(SAMdataPlus!I4-'SAMdataPlus Original'!I4,"")</f>
        <v>-66086</v>
      </c>
      <c r="J4" s="2">
        <f>IFERROR(SAMdataPlus!J4-'SAMdataPlus Original'!J4,"")</f>
        <v>-169188</v>
      </c>
      <c r="K4" s="2">
        <f>IFERROR(SAMdataPlus!K4-'SAMdataPlus Original'!K4,"")</f>
        <v>-13330</v>
      </c>
      <c r="L4" s="2">
        <f>IFERROR(SAMdataPlus!L4-'SAMdataPlus Original'!L4,"")</f>
        <v>-44580</v>
      </c>
      <c r="M4" s="2">
        <f>IFERROR(SAMdataPlus!M4-'SAMdataPlus Original'!M4,"")</f>
        <v>-155254</v>
      </c>
      <c r="N4" s="2">
        <f>IFERROR(SAMdataPlus!N4-'SAMdataPlus Original'!N4,"")</f>
        <v>0</v>
      </c>
      <c r="O4" s="2">
        <f>IFERROR(SAMdataPlus!O4-'SAMdataPlus Original'!O4,"")</f>
        <v>0</v>
      </c>
      <c r="P4" s="2">
        <f>IFERROR(SAMdataPlus!P4-'SAMdataPlus Original'!P4,"")</f>
        <v>0</v>
      </c>
      <c r="Q4" s="2">
        <f>IFERROR(SAMdataPlus!Q4-'SAMdataPlus Original'!Q4,"")</f>
        <v>-184248.51991552464</v>
      </c>
      <c r="R4" s="2">
        <f>IFERROR(SAMdataPlus!R4-'SAMdataPlus Original'!R4,"")</f>
        <v>-383005.22728946246</v>
      </c>
      <c r="S4" s="2">
        <f>IFERROR(SAMdataPlus!S4-'SAMdataPlus Original'!S4,"")</f>
        <v>0</v>
      </c>
      <c r="T4" s="2">
        <f>IFERROR(SAMdataPlus!T4-'SAMdataPlus Original'!T4,"")</f>
        <v>0</v>
      </c>
      <c r="U4" s="2">
        <f>IFERROR(SAMdataPlus!U4-'SAMdataPlus Original'!U4,"")</f>
        <v>0</v>
      </c>
      <c r="V4" s="2">
        <f>IFERROR(SAMdataPlus!V4-'SAMdataPlus Original'!V4,"")</f>
        <v>0</v>
      </c>
      <c r="W4" s="2">
        <f>IFERROR(SAMdataPlus!W4-'SAMdataPlus Original'!W4,"")</f>
        <v>0</v>
      </c>
      <c r="X4" s="2">
        <f>IFERROR(SAMdataPlus!X4-'SAMdataPlus Original'!X4,"")</f>
        <v>-151401.58649135439</v>
      </c>
      <c r="Y4" s="2">
        <f>IFERROR(SAMdataPlus!Y4-'SAMdataPlus Original'!Y4,"")</f>
        <v>-151401.58649135439</v>
      </c>
      <c r="Z4" s="2">
        <f>IFERROR(SAMdataPlus!Z4-'SAMdataPlus Original'!Z4,"")</f>
        <v>-1328371.9201876968</v>
      </c>
    </row>
    <row r="5" spans="1:32" x14ac:dyDescent="0.35">
      <c r="A5" t="str">
        <f>'SAMdataPlus Original'!A5</f>
        <v>Commod-4-Wholesale tradeRetail tradeTransportation and warehousing</v>
      </c>
      <c r="B5" s="2" t="str">
        <f>IFERROR(SAMdataPlus!B5-'SAMdataPlus Original'!B5,"")</f>
        <v/>
      </c>
      <c r="C5" s="2">
        <f>IFERROR(SAMdataPlus!C5-'SAMdataPlus Original'!C5,"")</f>
        <v>0</v>
      </c>
      <c r="D5" s="2">
        <f>IFERROR(SAMdataPlus!D5-'SAMdataPlus Original'!D5,"")</f>
        <v>0</v>
      </c>
      <c r="E5" s="2">
        <f>IFERROR(SAMdataPlus!E5-'SAMdataPlus Original'!E5,"")</f>
        <v>0</v>
      </c>
      <c r="F5" s="2">
        <f>IFERROR(SAMdataPlus!F5-'SAMdataPlus Original'!F5,"")</f>
        <v>0</v>
      </c>
      <c r="G5" s="2">
        <f>IFERROR(SAMdataPlus!G5-'SAMdataPlus Original'!G5,"")</f>
        <v>0</v>
      </c>
      <c r="H5" s="2">
        <f>IFERROR(SAMdataPlus!H5-'SAMdataPlus Original'!H5,"")</f>
        <v>304386</v>
      </c>
      <c r="I5" s="2">
        <f>IFERROR(SAMdataPlus!I5-'SAMdataPlus Original'!I5,"")</f>
        <v>398374</v>
      </c>
      <c r="J5" s="2">
        <f>IFERROR(SAMdataPlus!J5-'SAMdataPlus Original'!J5,"")</f>
        <v>295272</v>
      </c>
      <c r="K5" s="2">
        <f>IFERROR(SAMdataPlus!K5-'SAMdataPlus Original'!K5,"")</f>
        <v>451130</v>
      </c>
      <c r="L5" s="2">
        <f>IFERROR(SAMdataPlus!L5-'SAMdataPlus Original'!L5,"")</f>
        <v>277111</v>
      </c>
      <c r="M5" s="2">
        <f>IFERROR(SAMdataPlus!M5-'SAMdataPlus Original'!M5,"")</f>
        <v>309206</v>
      </c>
      <c r="N5" s="2">
        <f>IFERROR(SAMdataPlus!N5-'SAMdataPlus Original'!N5,"")</f>
        <v>0</v>
      </c>
      <c r="O5" s="2">
        <f>IFERROR(SAMdataPlus!O5-'SAMdataPlus Original'!O5,"")</f>
        <v>0</v>
      </c>
      <c r="P5" s="2">
        <f>IFERROR(SAMdataPlus!P5-'SAMdataPlus Original'!P5,"")</f>
        <v>0</v>
      </c>
      <c r="Q5" s="2">
        <f>IFERROR(SAMdataPlus!Q5-'SAMdataPlus Original'!Q5,"")</f>
        <v>280211.67753095011</v>
      </c>
      <c r="R5" s="2">
        <f>IFERROR(SAMdataPlus!R5-'SAMdataPlus Original'!R5,"")</f>
        <v>81454.970157012402</v>
      </c>
      <c r="S5" s="2">
        <f>IFERROR(SAMdataPlus!S5-'SAMdataPlus Original'!S5,"")</f>
        <v>0</v>
      </c>
      <c r="T5" s="2">
        <f>IFERROR(SAMdataPlus!T5-'SAMdataPlus Original'!T5,"")</f>
        <v>0</v>
      </c>
      <c r="U5" s="2">
        <f>IFERROR(SAMdataPlus!U5-'SAMdataPlus Original'!U5,"")</f>
        <v>0</v>
      </c>
      <c r="V5" s="2">
        <f>IFERROR(SAMdataPlus!V5-'SAMdataPlus Original'!V5,"")</f>
        <v>0</v>
      </c>
      <c r="W5" s="2">
        <f>IFERROR(SAMdataPlus!W5-'SAMdataPlus Original'!W5,"")</f>
        <v>0</v>
      </c>
      <c r="X5" s="2">
        <f>IFERROR(SAMdataPlus!X5-'SAMdataPlus Original'!X5,"")</f>
        <v>313058.61095512024</v>
      </c>
      <c r="Y5" s="2">
        <f>IFERROR(SAMdataPlus!Y5-'SAMdataPlus Original'!Y5,"")</f>
        <v>313058.61095512024</v>
      </c>
      <c r="Z5" s="2">
        <f>IFERROR(SAMdataPlus!Z5-'SAMdataPlus Original'!Z5,"")</f>
        <v>3023262.8695982024</v>
      </c>
    </row>
    <row r="6" spans="1:32" x14ac:dyDescent="0.35">
      <c r="A6" t="str">
        <f>'SAMdataPlus Original'!A6</f>
        <v>Commod-5-Information</v>
      </c>
      <c r="B6" s="2" t="str">
        <f>IFERROR(SAMdataPlus!B6-'SAMdataPlus Original'!B6,"")</f>
        <v/>
      </c>
      <c r="C6" s="2">
        <f>IFERROR(SAMdataPlus!C6-'SAMdataPlus Original'!C6,"")</f>
        <v>0</v>
      </c>
      <c r="D6" s="2">
        <f>IFERROR(SAMdataPlus!D6-'SAMdataPlus Original'!D6,"")</f>
        <v>0</v>
      </c>
      <c r="E6" s="2">
        <f>IFERROR(SAMdataPlus!E6-'SAMdataPlus Original'!E6,"")</f>
        <v>0</v>
      </c>
      <c r="F6" s="2">
        <f>IFERROR(SAMdataPlus!F6-'SAMdataPlus Original'!F6,"")</f>
        <v>0</v>
      </c>
      <c r="G6" s="2">
        <f>IFERROR(SAMdataPlus!G6-'SAMdataPlus Original'!G6,"")</f>
        <v>0</v>
      </c>
      <c r="H6" s="2">
        <f>IFERROR(SAMdataPlus!H6-'SAMdataPlus Original'!H6,"")</f>
        <v>19012</v>
      </c>
      <c r="I6" s="2">
        <f>IFERROR(SAMdataPlus!I6-'SAMdataPlus Original'!I6,"")</f>
        <v>113001</v>
      </c>
      <c r="J6" s="2">
        <f>IFERROR(SAMdataPlus!J6-'SAMdataPlus Original'!J6,"")</f>
        <v>9898</v>
      </c>
      <c r="K6" s="2">
        <f>IFERROR(SAMdataPlus!K6-'SAMdataPlus Original'!K6,"")</f>
        <v>165757</v>
      </c>
      <c r="L6" s="2">
        <f>IFERROR(SAMdataPlus!L6-'SAMdataPlus Original'!L6,"")</f>
        <v>-8262</v>
      </c>
      <c r="M6" s="2">
        <f>IFERROR(SAMdataPlus!M6-'SAMdataPlus Original'!M6,"")</f>
        <v>23833</v>
      </c>
      <c r="N6" s="2">
        <f>IFERROR(SAMdataPlus!N6-'SAMdataPlus Original'!N6,"")</f>
        <v>0</v>
      </c>
      <c r="O6" s="2">
        <f>IFERROR(SAMdataPlus!O6-'SAMdataPlus Original'!O6,"")</f>
        <v>0</v>
      </c>
      <c r="P6" s="2">
        <f>IFERROR(SAMdataPlus!P6-'SAMdataPlus Original'!P6,"")</f>
        <v>0</v>
      </c>
      <c r="Q6" s="2">
        <f>IFERROR(SAMdataPlus!Q6-'SAMdataPlus Original'!Q6,"")</f>
        <v>-5161.6965413893486</v>
      </c>
      <c r="R6" s="2">
        <f>IFERROR(SAMdataPlus!R6-'SAMdataPlus Original'!R6,"")</f>
        <v>-203918.40391532693</v>
      </c>
      <c r="S6" s="2">
        <f>IFERROR(SAMdataPlus!S6-'SAMdataPlus Original'!S6,"")</f>
        <v>0</v>
      </c>
      <c r="T6" s="2">
        <f>IFERROR(SAMdataPlus!T6-'SAMdataPlus Original'!T6,"")</f>
        <v>0</v>
      </c>
      <c r="U6" s="2">
        <f>IFERROR(SAMdataPlus!U6-'SAMdataPlus Original'!U6,"")</f>
        <v>0</v>
      </c>
      <c r="V6" s="2">
        <f>IFERROR(SAMdataPlus!V6-'SAMdataPlus Original'!V6,"")</f>
        <v>0</v>
      </c>
      <c r="W6" s="2">
        <f>IFERROR(SAMdataPlus!W6-'SAMdataPlus Original'!W6,"")</f>
        <v>0</v>
      </c>
      <c r="X6" s="2">
        <f>IFERROR(SAMdataPlus!X6-'SAMdataPlus Original'!X6,"")</f>
        <v>27685.236882780824</v>
      </c>
      <c r="Y6" s="2">
        <f>IFERROR(SAMdataPlus!Y6-'SAMdataPlus Original'!Y6,"")</f>
        <v>27685.236882780824</v>
      </c>
      <c r="Z6" s="2">
        <f>IFERROR(SAMdataPlus!Z6-'SAMdataPlus Original'!Z6,"")</f>
        <v>169529.37330884556</v>
      </c>
    </row>
    <row r="7" spans="1:32" x14ac:dyDescent="0.35">
      <c r="A7" t="str">
        <f>'SAMdataPlus Original'!A7</f>
        <v>Commod-6-Finance, insurance, real estate, rental, and leasingProfessional and business servicesEducational services, health care, and social assistanceArts, entertainment, recreation, accommodation, and food servicesOther services, except government</v>
      </c>
      <c r="B7" s="2" t="str">
        <f>IFERROR(SAMdataPlus!B7-'SAMdataPlus Original'!B7,"")</f>
        <v/>
      </c>
      <c r="C7" s="2">
        <f>IFERROR(SAMdataPlus!C7-'SAMdataPlus Original'!C7,"")</f>
        <v>0</v>
      </c>
      <c r="D7" s="2">
        <f>IFERROR(SAMdataPlus!D7-'SAMdataPlus Original'!D7,"")</f>
        <v>0</v>
      </c>
      <c r="E7" s="2">
        <f>IFERROR(SAMdataPlus!E7-'SAMdataPlus Original'!E7,"")</f>
        <v>0</v>
      </c>
      <c r="F7" s="2">
        <f>IFERROR(SAMdataPlus!F7-'SAMdataPlus Original'!F7,"")</f>
        <v>0</v>
      </c>
      <c r="G7" s="2">
        <f>IFERROR(SAMdataPlus!G7-'SAMdataPlus Original'!G7,"")</f>
        <v>0</v>
      </c>
      <c r="H7" s="2">
        <f>IFERROR(SAMdataPlus!H7-'SAMdataPlus Original'!H7,"")</f>
        <v>-9476</v>
      </c>
      <c r="I7" s="2">
        <f>IFERROR(SAMdataPlus!I7-'SAMdataPlus Original'!I7,"")</f>
        <v>22532</v>
      </c>
      <c r="J7" s="2">
        <f>IFERROR(SAMdataPlus!J7-'SAMdataPlus Original'!J7,"")</f>
        <v>-80570</v>
      </c>
      <c r="K7" s="2">
        <f>IFERROR(SAMdataPlus!K7-'SAMdataPlus Original'!K7,"")</f>
        <v>75288</v>
      </c>
      <c r="L7" s="2">
        <f>IFERROR(SAMdataPlus!L7-'SAMdataPlus Original'!L7,"")</f>
        <v>-98731</v>
      </c>
      <c r="M7" s="2">
        <f>IFERROR(SAMdataPlus!M7-'SAMdataPlus Original'!M7,"")</f>
        <v>-71854</v>
      </c>
      <c r="N7" s="2">
        <f>IFERROR(SAMdataPlus!N7-'SAMdataPlus Original'!N7,"")</f>
        <v>0</v>
      </c>
      <c r="O7" s="2">
        <f>IFERROR(SAMdataPlus!O7-'SAMdataPlus Original'!O7,"")</f>
        <v>0</v>
      </c>
      <c r="P7" s="2">
        <f>IFERROR(SAMdataPlus!P7-'SAMdataPlus Original'!P7,"")</f>
        <v>0</v>
      </c>
      <c r="Q7" s="2">
        <f>IFERROR(SAMdataPlus!Q7-'SAMdataPlus Original'!Q7,"")</f>
        <v>-95630.282822225476</v>
      </c>
      <c r="R7" s="2">
        <f>IFERROR(SAMdataPlus!R7-'SAMdataPlus Original'!R7,"")</f>
        <v>-294386.99019616283</v>
      </c>
      <c r="S7" s="2">
        <f>IFERROR(SAMdataPlus!S7-'SAMdataPlus Original'!S7,"")</f>
        <v>0</v>
      </c>
      <c r="T7" s="2">
        <f>IFERROR(SAMdataPlus!T7-'SAMdataPlus Original'!T7,"")</f>
        <v>0</v>
      </c>
      <c r="U7" s="2">
        <f>IFERROR(SAMdataPlus!U7-'SAMdataPlus Original'!U7,"")</f>
        <v>0</v>
      </c>
      <c r="V7" s="2">
        <f>IFERROR(SAMdataPlus!V7-'SAMdataPlus Original'!V7,"")</f>
        <v>0</v>
      </c>
      <c r="W7" s="2">
        <f>IFERROR(SAMdataPlus!W7-'SAMdataPlus Original'!W7,"")</f>
        <v>0</v>
      </c>
      <c r="X7" s="2">
        <f>IFERROR(SAMdataPlus!X7-'SAMdataPlus Original'!X7,"")</f>
        <v>-62783.349398055463</v>
      </c>
      <c r="Y7" s="2">
        <f>IFERROR(SAMdataPlus!Y7-'SAMdataPlus Original'!Y7,"")</f>
        <v>-62783.349398055347</v>
      </c>
      <c r="Z7" s="2">
        <f>IFERROR(SAMdataPlus!Z7-'SAMdataPlus Original'!Z7,"")</f>
        <v>-678394.97181450017</v>
      </c>
    </row>
    <row r="8" spans="1:32" x14ac:dyDescent="0.35">
      <c r="A8" t="str">
        <f>'SAMdataPlus Original'!A8</f>
        <v>Sec1-Agriculture, forestry, fishing, and hunting</v>
      </c>
      <c r="B8" s="2">
        <f>IFERROR(SAMdataPlus!B8-'SAMdataPlus Original'!B8,"")</f>
        <v>29644.792332644167</v>
      </c>
      <c r="C8" s="2">
        <f>IFERROR(SAMdataPlus!C8-'SAMdataPlus Original'!C8,"")</f>
        <v>5892.8409164205968</v>
      </c>
      <c r="D8" s="2">
        <f>IFERROR(SAMdataPlus!D8-'SAMdataPlus Original'!D8,"")</f>
        <v>160074.15316669646</v>
      </c>
      <c r="E8" s="2">
        <f>IFERROR(SAMdataPlus!E8-'SAMdataPlus Original'!E8,"")</f>
        <v>7163.0466293125901</v>
      </c>
      <c r="F8" s="2">
        <f>IFERROR(SAMdataPlus!F8-'SAMdataPlus Original'!F8,"")</f>
        <v>8971.3486597725496</v>
      </c>
      <c r="G8" s="2">
        <f>IFERROR(SAMdataPlus!G8-'SAMdataPlus Original'!G8,"")</f>
        <v>71455.916073397428</v>
      </c>
      <c r="H8" s="2">
        <f>IFERROR(SAMdataPlus!H8-'SAMdataPlus Original'!H8,"")</f>
        <v>0</v>
      </c>
      <c r="I8" s="2">
        <f>IFERROR(SAMdataPlus!I8-'SAMdataPlus Original'!I8,"")</f>
        <v>0</v>
      </c>
      <c r="J8" s="2">
        <f>IFERROR(SAMdataPlus!J8-'SAMdataPlus Original'!J8,"")</f>
        <v>0</v>
      </c>
      <c r="K8" s="2">
        <f>IFERROR(SAMdataPlus!K8-'SAMdataPlus Original'!K8,"")</f>
        <v>0</v>
      </c>
      <c r="L8" s="2">
        <f>IFERROR(SAMdataPlus!L8-'SAMdataPlus Original'!L8,"")</f>
        <v>0</v>
      </c>
      <c r="M8" s="2">
        <f>IFERROR(SAMdataPlus!M8-'SAMdataPlus Original'!M8,"")</f>
        <v>0</v>
      </c>
      <c r="N8" s="2">
        <f>IFERROR(SAMdataPlus!N8-'SAMdataPlus Original'!N8,"")</f>
        <v>0</v>
      </c>
      <c r="O8" s="2">
        <f>IFERROR(SAMdataPlus!O8-'SAMdataPlus Original'!O8,"")</f>
        <v>0</v>
      </c>
      <c r="P8" s="2">
        <f>IFERROR(SAMdataPlus!P8-'SAMdataPlus Original'!P8,"")</f>
        <v>0</v>
      </c>
      <c r="Q8" s="2">
        <f>IFERROR(SAMdataPlus!Q8-'SAMdataPlus Original'!Q8,"")</f>
        <v>0</v>
      </c>
      <c r="R8" s="2">
        <f>IFERROR(SAMdataPlus!R8-'SAMdataPlus Original'!R8,"")</f>
        <v>0</v>
      </c>
      <c r="S8" s="2">
        <f>IFERROR(SAMdataPlus!S8-'SAMdataPlus Original'!S8,"")</f>
        <v>0</v>
      </c>
      <c r="T8" s="2">
        <f>IFERROR(SAMdataPlus!T8-'SAMdataPlus Original'!T8,"")</f>
        <v>0</v>
      </c>
      <c r="U8" s="2">
        <f>IFERROR(SAMdataPlus!U8-'SAMdataPlus Original'!U8,"")</f>
        <v>0</v>
      </c>
      <c r="V8" s="2">
        <f>IFERROR(SAMdataPlus!V8-'SAMdataPlus Original'!V8,"")</f>
        <v>0</v>
      </c>
      <c r="W8" s="2">
        <f>IFERROR(SAMdataPlus!W8-'SAMdataPlus Original'!W8,"")</f>
        <v>0</v>
      </c>
      <c r="X8" s="2">
        <f>IFERROR(SAMdataPlus!X8-'SAMdataPlus Original'!X8,"")</f>
        <v>0</v>
      </c>
      <c r="Y8" s="2">
        <f>IFERROR(SAMdataPlus!Y8-'SAMdataPlus Original'!Y8,"")</f>
        <v>0</v>
      </c>
      <c r="Z8" s="2">
        <f>IFERROR(SAMdataPlus!Z8-'SAMdataPlus Original'!Z8,"")</f>
        <v>283202.09777824371</v>
      </c>
    </row>
    <row r="9" spans="1:32" x14ac:dyDescent="0.35">
      <c r="A9" t="str">
        <f>'SAMdataPlus Original'!A9</f>
        <v>Sec2-MiningUtilitiesConstruction</v>
      </c>
      <c r="B9" s="2">
        <f>IFERROR(SAMdataPlus!B9-'SAMdataPlus Original'!B9,"")</f>
        <v>18452.491700387316</v>
      </c>
      <c r="C9" s="2">
        <f>IFERROR(SAMdataPlus!C9-'SAMdataPlus Original'!C9,"")</f>
        <v>-88971.751860303804</v>
      </c>
      <c r="D9" s="2">
        <f>IFERROR(SAMdataPlus!D9-'SAMdataPlus Original'!D9,"")</f>
        <v>66085.810389972467</v>
      </c>
      <c r="E9" s="2">
        <f>IFERROR(SAMdataPlus!E9-'SAMdataPlus Original'!E9,"")</f>
        <v>-4029.2540029442443</v>
      </c>
      <c r="F9" s="2">
        <f>IFERROR(SAMdataPlus!F9-'SAMdataPlus Original'!F9,"")</f>
        <v>566.71573066241353</v>
      </c>
      <c r="G9" s="2">
        <f>IFERROR(SAMdataPlus!G9-'SAMdataPlus Original'!G9,"")</f>
        <v>-22532.426703326579</v>
      </c>
      <c r="H9" s="2">
        <f>IFERROR(SAMdataPlus!H9-'SAMdataPlus Original'!H9,"")</f>
        <v>0</v>
      </c>
      <c r="I9" s="2">
        <f>IFERROR(SAMdataPlus!I9-'SAMdataPlus Original'!I9,"")</f>
        <v>0</v>
      </c>
      <c r="J9" s="2">
        <f>IFERROR(SAMdataPlus!J9-'SAMdataPlus Original'!J9,"")</f>
        <v>0</v>
      </c>
      <c r="K9" s="2">
        <f>IFERROR(SAMdataPlus!K9-'SAMdataPlus Original'!K9,"")</f>
        <v>0</v>
      </c>
      <c r="L9" s="2">
        <f>IFERROR(SAMdataPlus!L9-'SAMdataPlus Original'!L9,"")</f>
        <v>0</v>
      </c>
      <c r="M9" s="2">
        <f>IFERROR(SAMdataPlus!M9-'SAMdataPlus Original'!M9,"")</f>
        <v>0</v>
      </c>
      <c r="N9" s="2">
        <f>IFERROR(SAMdataPlus!N9-'SAMdataPlus Original'!N9,"")</f>
        <v>0</v>
      </c>
      <c r="O9" s="2">
        <f>IFERROR(SAMdataPlus!O9-'SAMdataPlus Original'!O9,"")</f>
        <v>0</v>
      </c>
      <c r="P9" s="2">
        <f>IFERROR(SAMdataPlus!P9-'SAMdataPlus Original'!P9,"")</f>
        <v>0</v>
      </c>
      <c r="Q9" s="2">
        <f>IFERROR(SAMdataPlus!Q9-'SAMdataPlus Original'!Q9,"")</f>
        <v>0</v>
      </c>
      <c r="R9" s="2">
        <f>IFERROR(SAMdataPlus!R9-'SAMdataPlus Original'!R9,"")</f>
        <v>0</v>
      </c>
      <c r="S9" s="2">
        <f>IFERROR(SAMdataPlus!S9-'SAMdataPlus Original'!S9,"")</f>
        <v>0</v>
      </c>
      <c r="T9" s="2">
        <f>IFERROR(SAMdataPlus!T9-'SAMdataPlus Original'!T9,"")</f>
        <v>0</v>
      </c>
      <c r="U9" s="2">
        <f>IFERROR(SAMdataPlus!U9-'SAMdataPlus Original'!U9,"")</f>
        <v>0</v>
      </c>
      <c r="V9" s="2">
        <f>IFERROR(SAMdataPlus!V9-'SAMdataPlus Original'!V9,"")</f>
        <v>0</v>
      </c>
      <c r="W9" s="2">
        <f>IFERROR(SAMdataPlus!W9-'SAMdataPlus Original'!W9,"")</f>
        <v>0</v>
      </c>
      <c r="X9" s="2">
        <f>IFERROR(SAMdataPlus!X9-'SAMdataPlus Original'!X9,"")</f>
        <v>0</v>
      </c>
      <c r="Y9" s="2">
        <f>IFERROR(SAMdataPlus!Y9-'SAMdataPlus Original'!Y9,"")</f>
        <v>0</v>
      </c>
      <c r="Z9" s="2">
        <f>IFERROR(SAMdataPlus!Z9-'SAMdataPlus Original'!Z9,"")</f>
        <v>-30428.414745552465</v>
      </c>
    </row>
    <row r="10" spans="1:32" x14ac:dyDescent="0.35">
      <c r="A10" t="str">
        <f>'SAMdataPlus Original'!A10</f>
        <v>Sec3-Manufacturing</v>
      </c>
      <c r="B10" s="2">
        <f>IFERROR(SAMdataPlus!B10-'SAMdataPlus Original'!B10,"")</f>
        <v>38758.633228076251</v>
      </c>
      <c r="C10" s="2">
        <f>IFERROR(SAMdataPlus!C10-'SAMdataPlus Original'!C10,"")</f>
        <v>14130.431811852697</v>
      </c>
      <c r="D10" s="2">
        <f>IFERROR(SAMdataPlus!D10-'SAMdataPlus Original'!D10,"")</f>
        <v>169187.99406212848</v>
      </c>
      <c r="E10" s="2">
        <f>IFERROR(SAMdataPlus!E10-'SAMdataPlus Original'!E10,"")</f>
        <v>16276.887524744685</v>
      </c>
      <c r="F10" s="2">
        <f>IFERROR(SAMdataPlus!F10-'SAMdataPlus Original'!F10,"")</f>
        <v>6561.6706879932954</v>
      </c>
      <c r="G10" s="2">
        <f>IFERROR(SAMdataPlus!G10-'SAMdataPlus Original'!G10,"")</f>
        <v>80569.756968829504</v>
      </c>
      <c r="H10" s="2">
        <f>IFERROR(SAMdataPlus!H10-'SAMdataPlus Original'!H10,"")</f>
        <v>0</v>
      </c>
      <c r="I10" s="2">
        <f>IFERROR(SAMdataPlus!I10-'SAMdataPlus Original'!I10,"")</f>
        <v>0</v>
      </c>
      <c r="J10" s="2">
        <f>IFERROR(SAMdataPlus!J10-'SAMdataPlus Original'!J10,"")</f>
        <v>0</v>
      </c>
      <c r="K10" s="2">
        <f>IFERROR(SAMdataPlus!K10-'SAMdataPlus Original'!K10,"")</f>
        <v>0</v>
      </c>
      <c r="L10" s="2">
        <f>IFERROR(SAMdataPlus!L10-'SAMdataPlus Original'!L10,"")</f>
        <v>0</v>
      </c>
      <c r="M10" s="2">
        <f>IFERROR(SAMdataPlus!M10-'SAMdataPlus Original'!M10,"")</f>
        <v>0</v>
      </c>
      <c r="N10" s="2">
        <f>IFERROR(SAMdataPlus!N10-'SAMdataPlus Original'!N10,"")</f>
        <v>0</v>
      </c>
      <c r="O10" s="2">
        <f>IFERROR(SAMdataPlus!O10-'SAMdataPlus Original'!O10,"")</f>
        <v>0</v>
      </c>
      <c r="P10" s="2">
        <f>IFERROR(SAMdataPlus!P10-'SAMdataPlus Original'!P10,"")</f>
        <v>0</v>
      </c>
      <c r="Q10" s="2">
        <f>IFERROR(SAMdataPlus!Q10-'SAMdataPlus Original'!Q10,"")</f>
        <v>0</v>
      </c>
      <c r="R10" s="2">
        <f>IFERROR(SAMdataPlus!R10-'SAMdataPlus Original'!R10,"")</f>
        <v>0</v>
      </c>
      <c r="S10" s="2">
        <f>IFERROR(SAMdataPlus!S10-'SAMdataPlus Original'!S10,"")</f>
        <v>0</v>
      </c>
      <c r="T10" s="2">
        <f>IFERROR(SAMdataPlus!T10-'SAMdataPlus Original'!T10,"")</f>
        <v>0</v>
      </c>
      <c r="U10" s="2">
        <f>IFERROR(SAMdataPlus!U10-'SAMdataPlus Original'!U10,"")</f>
        <v>0</v>
      </c>
      <c r="V10" s="2">
        <f>IFERROR(SAMdataPlus!V10-'SAMdataPlus Original'!V10,"")</f>
        <v>0</v>
      </c>
      <c r="W10" s="2">
        <f>IFERROR(SAMdataPlus!W10-'SAMdataPlus Original'!W10,"")</f>
        <v>0</v>
      </c>
      <c r="X10" s="2">
        <f>IFERROR(SAMdataPlus!X10-'SAMdataPlus Original'!X10,"")</f>
        <v>0</v>
      </c>
      <c r="Y10" s="2">
        <f>IFERROR(SAMdataPlus!Y10-'SAMdataPlus Original'!Y10,"")</f>
        <v>0</v>
      </c>
      <c r="Z10" s="2">
        <f>IFERROR(SAMdataPlus!Z10-'SAMdataPlus Original'!Z10,"")</f>
        <v>325485.37428362481</v>
      </c>
    </row>
    <row r="11" spans="1:32" x14ac:dyDescent="0.35">
      <c r="A11" t="str">
        <f>'SAMdataPlus Original'!A11</f>
        <v>Sec4-Wholesale tradeRetail tradeTransportation and warehousing</v>
      </c>
      <c r="B11" s="2">
        <f>IFERROR(SAMdataPlus!B11-'SAMdataPlus Original'!B11,"")</f>
        <v>18027.772137872253</v>
      </c>
      <c r="C11" s="2">
        <f>IFERROR(SAMdataPlus!C11-'SAMdataPlus Original'!C11,"")</f>
        <v>192.54618453457351</v>
      </c>
      <c r="D11" s="2">
        <f>IFERROR(SAMdataPlus!D11-'SAMdataPlus Original'!D11,"")</f>
        <v>13329.347320963803</v>
      </c>
      <c r="E11" s="2">
        <f>IFERROR(SAMdataPlus!E11-'SAMdataPlus Original'!E11,"")</f>
        <v>-451130.85012551118</v>
      </c>
      <c r="F11" s="2">
        <f>IFERROR(SAMdataPlus!F11-'SAMdataPlus Original'!F11,"")</f>
        <v>-15893.959425446868</v>
      </c>
      <c r="G11" s="2">
        <f>IFERROR(SAMdataPlus!G11-'SAMdataPlus Original'!G11,"")</f>
        <v>59838.89587862551</v>
      </c>
      <c r="H11" s="2">
        <f>IFERROR(SAMdataPlus!H11-'SAMdataPlus Original'!H11,"")</f>
        <v>0</v>
      </c>
      <c r="I11" s="2">
        <f>IFERROR(SAMdataPlus!I11-'SAMdataPlus Original'!I11,"")</f>
        <v>0</v>
      </c>
      <c r="J11" s="2">
        <f>IFERROR(SAMdataPlus!J11-'SAMdataPlus Original'!J11,"")</f>
        <v>0</v>
      </c>
      <c r="K11" s="2">
        <f>IFERROR(SAMdataPlus!K11-'SAMdataPlus Original'!K11,"")</f>
        <v>0</v>
      </c>
      <c r="L11" s="2">
        <f>IFERROR(SAMdataPlus!L11-'SAMdataPlus Original'!L11,"")</f>
        <v>0</v>
      </c>
      <c r="M11" s="2">
        <f>IFERROR(SAMdataPlus!M11-'SAMdataPlus Original'!M11,"")</f>
        <v>0</v>
      </c>
      <c r="N11" s="2">
        <f>IFERROR(SAMdataPlus!N11-'SAMdataPlus Original'!N11,"")</f>
        <v>0</v>
      </c>
      <c r="O11" s="2">
        <f>IFERROR(SAMdataPlus!O11-'SAMdataPlus Original'!O11,"")</f>
        <v>0</v>
      </c>
      <c r="P11" s="2">
        <f>IFERROR(SAMdataPlus!P11-'SAMdataPlus Original'!P11,"")</f>
        <v>0</v>
      </c>
      <c r="Q11" s="2">
        <f>IFERROR(SAMdataPlus!Q11-'SAMdataPlus Original'!Q11,"")</f>
        <v>0</v>
      </c>
      <c r="R11" s="2">
        <f>IFERROR(SAMdataPlus!R11-'SAMdataPlus Original'!R11,"")</f>
        <v>0</v>
      </c>
      <c r="S11" s="2">
        <f>IFERROR(SAMdataPlus!S11-'SAMdataPlus Original'!S11,"")</f>
        <v>0</v>
      </c>
      <c r="T11" s="2">
        <f>IFERROR(SAMdataPlus!T11-'SAMdataPlus Original'!T11,"")</f>
        <v>0</v>
      </c>
      <c r="U11" s="2">
        <f>IFERROR(SAMdataPlus!U11-'SAMdataPlus Original'!U11,"")</f>
        <v>0</v>
      </c>
      <c r="V11" s="2">
        <f>IFERROR(SAMdataPlus!V11-'SAMdataPlus Original'!V11,"")</f>
        <v>0</v>
      </c>
      <c r="W11" s="2">
        <f>IFERROR(SAMdataPlus!W11-'SAMdataPlus Original'!W11,"")</f>
        <v>0</v>
      </c>
      <c r="X11" s="2">
        <f>IFERROR(SAMdataPlus!X11-'SAMdataPlus Original'!X11,"")</f>
        <v>0</v>
      </c>
      <c r="Y11" s="2">
        <f>IFERROR(SAMdataPlus!Y11-'SAMdataPlus Original'!Y11,"")</f>
        <v>0</v>
      </c>
      <c r="Z11" s="2">
        <f>IFERROR(SAMdataPlus!Z11-'SAMdataPlus Original'!Z11,"")</f>
        <v>-375636.24802896194</v>
      </c>
    </row>
    <row r="12" spans="1:32" x14ac:dyDescent="0.35">
      <c r="A12" t="str">
        <f>'SAMdataPlus Original'!A12</f>
        <v>Sec5-Information</v>
      </c>
      <c r="B12" s="2">
        <f>IFERROR(SAMdataPlus!B12-'SAMdataPlus Original'!B12,"")</f>
        <v>55937.220744136575</v>
      </c>
      <c r="C12" s="2">
        <f>IFERROR(SAMdataPlus!C12-'SAMdataPlus Original'!C12,"")</f>
        <v>32185.269327913014</v>
      </c>
      <c r="D12" s="2">
        <f>IFERROR(SAMdataPlus!D12-'SAMdataPlus Original'!D12,"")</f>
        <v>186366.58157818893</v>
      </c>
      <c r="E12" s="2">
        <f>IFERROR(SAMdataPlus!E12-'SAMdataPlus Original'!E12,"")</f>
        <v>33455.475040805002</v>
      </c>
      <c r="F12" s="2">
        <f>IFERROR(SAMdataPlus!F12-'SAMdataPlus Original'!F12,"")</f>
        <v>7279.7582040533889</v>
      </c>
      <c r="G12" s="2">
        <f>IFERROR(SAMdataPlus!G12-'SAMdataPlus Original'!G12,"")</f>
        <v>98730.407500254732</v>
      </c>
      <c r="H12" s="2">
        <f>IFERROR(SAMdataPlus!H12-'SAMdataPlus Original'!H12,"")</f>
        <v>0</v>
      </c>
      <c r="I12" s="2">
        <f>IFERROR(SAMdataPlus!I12-'SAMdataPlus Original'!I12,"")</f>
        <v>0</v>
      </c>
      <c r="J12" s="2">
        <f>IFERROR(SAMdataPlus!J12-'SAMdataPlus Original'!J12,"")</f>
        <v>0</v>
      </c>
      <c r="K12" s="2">
        <f>IFERROR(SAMdataPlus!K12-'SAMdataPlus Original'!K12,"")</f>
        <v>0</v>
      </c>
      <c r="L12" s="2">
        <f>IFERROR(SAMdataPlus!L12-'SAMdataPlus Original'!L12,"")</f>
        <v>0</v>
      </c>
      <c r="M12" s="2">
        <f>IFERROR(SAMdataPlus!M12-'SAMdataPlus Original'!M12,"")</f>
        <v>0</v>
      </c>
      <c r="N12" s="2">
        <f>IFERROR(SAMdataPlus!N12-'SAMdataPlus Original'!N12,"")</f>
        <v>0</v>
      </c>
      <c r="O12" s="2">
        <f>IFERROR(SAMdataPlus!O12-'SAMdataPlus Original'!O12,"")</f>
        <v>0</v>
      </c>
      <c r="P12" s="2">
        <f>IFERROR(SAMdataPlus!P12-'SAMdataPlus Original'!P12,"")</f>
        <v>0</v>
      </c>
      <c r="Q12" s="2">
        <f>IFERROR(SAMdataPlus!Q12-'SAMdataPlus Original'!Q12,"")</f>
        <v>0</v>
      </c>
      <c r="R12" s="2">
        <f>IFERROR(SAMdataPlus!R12-'SAMdataPlus Original'!R12,"")</f>
        <v>0</v>
      </c>
      <c r="S12" s="2">
        <f>IFERROR(SAMdataPlus!S12-'SAMdataPlus Original'!S12,"")</f>
        <v>0</v>
      </c>
      <c r="T12" s="2">
        <f>IFERROR(SAMdataPlus!T12-'SAMdataPlus Original'!T12,"")</f>
        <v>0</v>
      </c>
      <c r="U12" s="2">
        <f>IFERROR(SAMdataPlus!U12-'SAMdataPlus Original'!U12,"")</f>
        <v>0</v>
      </c>
      <c r="V12" s="2">
        <f>IFERROR(SAMdataPlus!V12-'SAMdataPlus Original'!V12,"")</f>
        <v>0</v>
      </c>
      <c r="W12" s="2">
        <f>IFERROR(SAMdataPlus!W12-'SAMdataPlus Original'!W12,"")</f>
        <v>0</v>
      </c>
      <c r="X12" s="2">
        <f>IFERROR(SAMdataPlus!X12-'SAMdataPlus Original'!X12,"")</f>
        <v>0</v>
      </c>
      <c r="Y12" s="2">
        <f>IFERROR(SAMdataPlus!Y12-'SAMdataPlus Original'!Y12,"")</f>
        <v>0</v>
      </c>
      <c r="Z12" s="2">
        <f>IFERROR(SAMdataPlus!Z12-'SAMdataPlus Original'!Z12,"")</f>
        <v>413954.71239535161</v>
      </c>
    </row>
    <row r="13" spans="1:32" x14ac:dyDescent="0.35">
      <c r="A13" t="str">
        <f>'SAMdataPlus Original'!A13</f>
        <v>Sec6-Finance, insurance, real estate, rental, and leasingProfessional and business servicesEducational services, health care, and social assistanceArts, entertainment, recreation, accommodation, and food servicesOther services, except government</v>
      </c>
      <c r="B13" s="2">
        <f>IFERROR(SAMdataPlus!B13-'SAMdataPlus Original'!B13,"")</f>
        <v>24824.082501751938</v>
      </c>
      <c r="C13" s="2">
        <f>IFERROR(SAMdataPlus!C13-'SAMdataPlus Original'!C13,"")</f>
        <v>195.88108552838867</v>
      </c>
      <c r="D13" s="2">
        <f>IFERROR(SAMdataPlus!D13-'SAMdataPlus Original'!D13,"")</f>
        <v>155253.44333580427</v>
      </c>
      <c r="E13" s="2">
        <f>IFERROR(SAMdataPlus!E13-'SAMdataPlus Original'!E13,"")</f>
        <v>2342.3367984204087</v>
      </c>
      <c r="F13" s="2">
        <f>IFERROR(SAMdataPlus!F13-'SAMdataPlus Original'!F13,"")</f>
        <v>-23833.38003833103</v>
      </c>
      <c r="G13" s="2">
        <f>IFERROR(SAMdataPlus!G13-'SAMdataPlus Original'!G13,"")</f>
        <v>66635.206242503598</v>
      </c>
      <c r="H13" s="2">
        <f>IFERROR(SAMdataPlus!H13-'SAMdataPlus Original'!H13,"")</f>
        <v>0</v>
      </c>
      <c r="I13" s="2">
        <f>IFERROR(SAMdataPlus!I13-'SAMdataPlus Original'!I13,"")</f>
        <v>0</v>
      </c>
      <c r="J13" s="2">
        <f>IFERROR(SAMdataPlus!J13-'SAMdataPlus Original'!J13,"")</f>
        <v>0</v>
      </c>
      <c r="K13" s="2">
        <f>IFERROR(SAMdataPlus!K13-'SAMdataPlus Original'!K13,"")</f>
        <v>0</v>
      </c>
      <c r="L13" s="2">
        <f>IFERROR(SAMdataPlus!L13-'SAMdataPlus Original'!L13,"")</f>
        <v>0</v>
      </c>
      <c r="M13" s="2">
        <f>IFERROR(SAMdataPlus!M13-'SAMdataPlus Original'!M13,"")</f>
        <v>0</v>
      </c>
      <c r="N13" s="2">
        <f>IFERROR(SAMdataPlus!N13-'SAMdataPlus Original'!N13,"")</f>
        <v>0</v>
      </c>
      <c r="O13" s="2">
        <f>IFERROR(SAMdataPlus!O13-'SAMdataPlus Original'!O13,"")</f>
        <v>0</v>
      </c>
      <c r="P13" s="2">
        <f>IFERROR(SAMdataPlus!P13-'SAMdataPlus Original'!P13,"")</f>
        <v>0</v>
      </c>
      <c r="Q13" s="2">
        <f>IFERROR(SAMdataPlus!Q13-'SAMdataPlus Original'!Q13,"")</f>
        <v>0</v>
      </c>
      <c r="R13" s="2">
        <f>IFERROR(SAMdataPlus!R13-'SAMdataPlus Original'!R13,"")</f>
        <v>0</v>
      </c>
      <c r="S13" s="2">
        <f>IFERROR(SAMdataPlus!S13-'SAMdataPlus Original'!S13,"")</f>
        <v>0</v>
      </c>
      <c r="T13" s="2">
        <f>IFERROR(SAMdataPlus!T13-'SAMdataPlus Original'!T13,"")</f>
        <v>0</v>
      </c>
      <c r="U13" s="2">
        <f>IFERROR(SAMdataPlus!U13-'SAMdataPlus Original'!U13,"")</f>
        <v>0</v>
      </c>
      <c r="V13" s="2">
        <f>IFERROR(SAMdataPlus!V13-'SAMdataPlus Original'!V13,"")</f>
        <v>0</v>
      </c>
      <c r="W13" s="2">
        <f>IFERROR(SAMdataPlus!W13-'SAMdataPlus Original'!W13,"")</f>
        <v>0</v>
      </c>
      <c r="X13" s="2">
        <f>IFERROR(SAMdataPlus!X13-'SAMdataPlus Original'!X13,"")</f>
        <v>0</v>
      </c>
      <c r="Y13" s="2">
        <f>IFERROR(SAMdataPlus!Y13-'SAMdataPlus Original'!Y13,"")</f>
        <v>0</v>
      </c>
      <c r="Z13" s="2">
        <f>IFERROR(SAMdataPlus!Z13-'SAMdataPlus Original'!Z13,"")</f>
        <v>225417.56992567703</v>
      </c>
    </row>
    <row r="14" spans="1:32" x14ac:dyDescent="0.35">
      <c r="A14" t="str">
        <f>'SAMdataPlus Original'!A14</f>
        <v>Cdi</v>
      </c>
      <c r="B14" s="2">
        <f>IFERROR(SAMdataPlus!B14-'SAMdataPlus Original'!B14,"")</f>
        <v>0</v>
      </c>
      <c r="C14" s="2">
        <f>IFERROR(SAMdataPlus!C14-'SAMdataPlus Original'!C14,"")</f>
        <v>0</v>
      </c>
      <c r="D14" s="2">
        <f>IFERROR(SAMdataPlus!D14-'SAMdataPlus Original'!D14,"")</f>
        <v>0</v>
      </c>
      <c r="E14" s="2">
        <f>IFERROR(SAMdataPlus!E14-'SAMdataPlus Original'!E14,"")</f>
        <v>0</v>
      </c>
      <c r="F14" s="2">
        <f>IFERROR(SAMdataPlus!F14-'SAMdataPlus Original'!F14,"")</f>
        <v>0</v>
      </c>
      <c r="G14" s="2">
        <f>IFERROR(SAMdataPlus!G14-'SAMdataPlus Original'!G14,"")</f>
        <v>0</v>
      </c>
      <c r="H14" s="2">
        <f>IFERROR(SAMdataPlus!H14-'SAMdataPlus Original'!H14,"")</f>
        <v>-29</v>
      </c>
      <c r="I14" s="2">
        <f>IFERROR(SAMdataPlus!I14-'SAMdataPlus Original'!I14,"")</f>
        <v>-30</v>
      </c>
      <c r="J14" s="2">
        <f>IFERROR(SAMdataPlus!J14-'SAMdataPlus Original'!J14,"")</f>
        <v>-120</v>
      </c>
      <c r="K14" s="2">
        <f>IFERROR(SAMdataPlus!K14-'SAMdataPlus Original'!K14,"")</f>
        <v>-50</v>
      </c>
      <c r="L14" s="2">
        <f>IFERROR(SAMdataPlus!L14-'SAMdataPlus Original'!L14,"")</f>
        <v>-40</v>
      </c>
      <c r="M14" s="2">
        <f>IFERROR(SAMdataPlus!M14-'SAMdataPlus Original'!M14,"")</f>
        <v>-33</v>
      </c>
      <c r="N14" s="2">
        <f>IFERROR(SAMdataPlus!N14-'SAMdataPlus Original'!N14,"")</f>
        <v>0</v>
      </c>
      <c r="O14" s="2">
        <f>IFERROR(SAMdataPlus!O14-'SAMdataPlus Original'!O14,"")</f>
        <v>0</v>
      </c>
      <c r="P14" s="2">
        <f>IFERROR(SAMdataPlus!P14-'SAMdataPlus Original'!P14,"")</f>
        <v>0</v>
      </c>
      <c r="Q14" s="2">
        <f>IFERROR(SAMdataPlus!Q14-'SAMdataPlus Original'!Q14,"")</f>
        <v>0</v>
      </c>
      <c r="R14" s="2">
        <f>IFERROR(SAMdataPlus!R14-'SAMdataPlus Original'!R14,"")</f>
        <v>0</v>
      </c>
      <c r="S14" s="2">
        <f>IFERROR(SAMdataPlus!S14-'SAMdataPlus Original'!S14,"")</f>
        <v>0</v>
      </c>
      <c r="T14" s="2">
        <f>IFERROR(SAMdataPlus!T14-'SAMdataPlus Original'!T14,"")</f>
        <v>0</v>
      </c>
      <c r="U14" s="2">
        <f>IFERROR(SAMdataPlus!U14-'SAMdataPlus Original'!U14,"")</f>
        <v>0</v>
      </c>
      <c r="V14" s="2">
        <f>IFERROR(SAMdataPlus!V14-'SAMdataPlus Original'!V14,"")</f>
        <v>0</v>
      </c>
      <c r="W14" s="2">
        <f>IFERROR(SAMdataPlus!W14-'SAMdataPlus Original'!W14,"")</f>
        <v>0</v>
      </c>
      <c r="X14" s="2">
        <f>IFERROR(SAMdataPlus!X14-'SAMdataPlus Original'!X14,"")</f>
        <v>0</v>
      </c>
      <c r="Y14" s="2">
        <f>IFERROR(SAMdataPlus!Y14-'SAMdataPlus Original'!Y14,"")</f>
        <v>0</v>
      </c>
      <c r="Z14" s="2">
        <f>IFERROR(SAMdataPlus!Z14-'SAMdataPlus Original'!Z14,"")</f>
        <v>-302</v>
      </c>
    </row>
    <row r="15" spans="1:32" x14ac:dyDescent="0.35">
      <c r="A15" t="str">
        <f>'SAMdataPlus Original'!A15</f>
        <v>Kdi</v>
      </c>
      <c r="B15" s="2">
        <f>IFERROR(SAMdataPlus!B15-'SAMdataPlus Original'!B15,"")</f>
        <v>0</v>
      </c>
      <c r="C15" s="2">
        <f>IFERROR(SAMdataPlus!C15-'SAMdataPlus Original'!C15,"")</f>
        <v>0</v>
      </c>
      <c r="D15" s="2">
        <f>IFERROR(SAMdataPlus!D15-'SAMdataPlus Original'!D15,"")</f>
        <v>0</v>
      </c>
      <c r="E15" s="2">
        <f>IFERROR(SAMdataPlus!E15-'SAMdataPlus Original'!E15,"")</f>
        <v>0</v>
      </c>
      <c r="F15" s="2">
        <f>IFERROR(SAMdataPlus!F15-'SAMdataPlus Original'!F15,"")</f>
        <v>0</v>
      </c>
      <c r="G15" s="2">
        <f>IFERROR(SAMdataPlus!G15-'SAMdataPlus Original'!G15,"")</f>
        <v>0</v>
      </c>
      <c r="H15" s="2">
        <f>IFERROR(SAMdataPlus!H15-'SAMdataPlus Original'!H15,"")</f>
        <v>-8672.5666753420228</v>
      </c>
      <c r="I15" s="2">
        <f>IFERROR(SAMdataPlus!I15-'SAMdataPlus Original'!I15,"")</f>
        <v>85315.776101381925</v>
      </c>
      <c r="J15" s="2">
        <f>IFERROR(SAMdataPlus!J15-'SAMdataPlus Original'!J15,"")</f>
        <v>-17786.407570774201</v>
      </c>
      <c r="K15" s="2">
        <f>IFERROR(SAMdataPlus!K15-'SAMdataPlus Original'!K15,"")</f>
        <v>138072.23917039062</v>
      </c>
      <c r="L15" s="2">
        <f>IFERROR(SAMdataPlus!L15-'SAMdataPlus Original'!L15,"")</f>
        <v>-35947.058102199342</v>
      </c>
      <c r="M15" s="2">
        <f>IFERROR(SAMdataPlus!M15-'SAMdataPlus Original'!M15,"")</f>
        <v>-3851.8568444498815</v>
      </c>
      <c r="N15" s="2">
        <f>IFERROR(SAMdataPlus!N15-'SAMdataPlus Original'!N15,"")</f>
        <v>0</v>
      </c>
      <c r="O15" s="2">
        <f>IFERROR(SAMdataPlus!O15-'SAMdataPlus Original'!O15,"")</f>
        <v>0</v>
      </c>
      <c r="P15" s="2">
        <f>IFERROR(SAMdataPlus!P15-'SAMdataPlus Original'!P15,"")</f>
        <v>0</v>
      </c>
      <c r="Q15" s="2">
        <f>IFERROR(SAMdataPlus!Q15-'SAMdataPlus Original'!Q15,"")</f>
        <v>-52277.002237151668</v>
      </c>
      <c r="R15" s="2">
        <f>IFERROR(SAMdataPlus!R15-'SAMdataPlus Original'!R15,"")</f>
        <v>0</v>
      </c>
      <c r="S15" s="2">
        <f>IFERROR(SAMdataPlus!S15-'SAMdataPlus Original'!S15,"")</f>
        <v>0</v>
      </c>
      <c r="T15" s="2">
        <f>IFERROR(SAMdataPlus!T15-'SAMdataPlus Original'!T15,"")</f>
        <v>0</v>
      </c>
      <c r="U15" s="2">
        <f>IFERROR(SAMdataPlus!U15-'SAMdataPlus Original'!U15,"")</f>
        <v>0</v>
      </c>
      <c r="V15" s="2">
        <f>IFERROR(SAMdataPlus!V15-'SAMdataPlus Original'!V15,"")</f>
        <v>0</v>
      </c>
      <c r="W15" s="2">
        <f>IFERROR(SAMdataPlus!W15-'SAMdataPlus Original'!W15,"")</f>
        <v>0</v>
      </c>
      <c r="X15" s="2">
        <f>IFERROR(SAMdataPlus!X15-'SAMdataPlus Original'!X15,"")</f>
        <v>0</v>
      </c>
      <c r="Y15" s="2">
        <f>IFERROR(SAMdataPlus!Y15-'SAMdataPlus Original'!Y15,"")</f>
        <v>0</v>
      </c>
      <c r="Z15" s="2">
        <f>IFERROR(SAMdataPlus!Z15-'SAMdataPlus Original'!Z15,"")</f>
        <v>104853.12384185567</v>
      </c>
    </row>
    <row r="16" spans="1:32" x14ac:dyDescent="0.35">
      <c r="A16" t="str">
        <f>'SAMdataPlus Original'!A16</f>
        <v>Ldi</v>
      </c>
      <c r="B16" s="2">
        <f>IFERROR(SAMdataPlus!B16-'SAMdataPlus Original'!B16,"")</f>
        <v>0</v>
      </c>
      <c r="C16" s="2">
        <f>IFERROR(SAMdataPlus!C16-'SAMdataPlus Original'!C16,"")</f>
        <v>0</v>
      </c>
      <c r="D16" s="2">
        <f>IFERROR(SAMdataPlus!D16-'SAMdataPlus Original'!D16,"")</f>
        <v>0</v>
      </c>
      <c r="E16" s="2">
        <f>IFERROR(SAMdataPlus!E16-'SAMdataPlus Original'!E16,"")</f>
        <v>0</v>
      </c>
      <c r="F16" s="2">
        <f>IFERROR(SAMdataPlus!F16-'SAMdataPlus Original'!F16,"")</f>
        <v>0</v>
      </c>
      <c r="G16" s="2">
        <f>IFERROR(SAMdataPlus!G16-'SAMdataPlus Original'!G16,"")</f>
        <v>0</v>
      </c>
      <c r="H16" s="2">
        <f>IFERROR(SAMdataPlus!H16-'SAMdataPlus Original'!H16,"")</f>
        <v>-8672.5666753420301</v>
      </c>
      <c r="I16" s="2">
        <f>IFERROR(SAMdataPlus!I16-'SAMdataPlus Original'!I16,"")</f>
        <v>85315.776101381925</v>
      </c>
      <c r="J16" s="2">
        <f>IFERROR(SAMdataPlus!J16-'SAMdataPlus Original'!J16,"")</f>
        <v>-17786.407570774201</v>
      </c>
      <c r="K16" s="2">
        <f>IFERROR(SAMdataPlus!K16-'SAMdataPlus Original'!K16,"")</f>
        <v>138072.23917039062</v>
      </c>
      <c r="L16" s="2">
        <f>IFERROR(SAMdataPlus!L16-'SAMdataPlus Original'!L16,"")</f>
        <v>-35947.0581021994</v>
      </c>
      <c r="M16" s="2">
        <f>IFERROR(SAMdataPlus!M16-'SAMdataPlus Original'!M16,"")</f>
        <v>-3851.8568444494158</v>
      </c>
      <c r="N16" s="2">
        <f>IFERROR(SAMdataPlus!N16-'SAMdataPlus Original'!N16,"")</f>
        <v>0</v>
      </c>
      <c r="O16" s="2">
        <f>IFERROR(SAMdataPlus!O16-'SAMdataPlus Original'!O16,"")</f>
        <v>0</v>
      </c>
      <c r="P16" s="2">
        <f>IFERROR(SAMdataPlus!P16-'SAMdataPlus Original'!P16,"")</f>
        <v>0</v>
      </c>
      <c r="Q16" s="2">
        <f>IFERROR(SAMdataPlus!Q16-'SAMdataPlus Original'!Q16,"")</f>
        <v>-52277.00223715161</v>
      </c>
      <c r="R16" s="2">
        <f>IFERROR(SAMdataPlus!R16-'SAMdataPlus Original'!R16,"")</f>
        <v>0</v>
      </c>
      <c r="S16" s="2">
        <f>IFERROR(SAMdataPlus!S16-'SAMdataPlus Original'!S16,"")</f>
        <v>0</v>
      </c>
      <c r="T16" s="2">
        <f>IFERROR(SAMdataPlus!T16-'SAMdataPlus Original'!T16,"")</f>
        <v>0</v>
      </c>
      <c r="U16" s="2">
        <f>IFERROR(SAMdataPlus!U16-'SAMdataPlus Original'!U16,"")</f>
        <v>0</v>
      </c>
      <c r="V16" s="2">
        <f>IFERROR(SAMdataPlus!V16-'SAMdataPlus Original'!V16,"")</f>
        <v>0</v>
      </c>
      <c r="W16" s="2">
        <f>IFERROR(SAMdataPlus!W16-'SAMdataPlus Original'!W16,"")</f>
        <v>0</v>
      </c>
      <c r="X16" s="2">
        <f>IFERROR(SAMdataPlus!X16-'SAMdataPlus Original'!X16,"")</f>
        <v>0</v>
      </c>
      <c r="Y16" s="2">
        <f>IFERROR(SAMdataPlus!Y16-'SAMdataPlus Original'!Y16,"")</f>
        <v>0</v>
      </c>
      <c r="Z16" s="2">
        <f>IFERROR(SAMdataPlus!Z16-'SAMdataPlus Original'!Z16,"")</f>
        <v>104853.12384185661</v>
      </c>
    </row>
    <row r="17" spans="1:26" x14ac:dyDescent="0.35">
      <c r="A17" t="str">
        <f>'SAMdataPlus Original'!A17</f>
        <v>Gov</v>
      </c>
      <c r="B17" s="2">
        <f>IFERROR(SAMdataPlus!B17-'SAMdataPlus Original'!B17,"")</f>
        <v>0</v>
      </c>
      <c r="C17" s="2">
        <f>IFERROR(SAMdataPlus!C17-'SAMdataPlus Original'!C17,"")</f>
        <v>0</v>
      </c>
      <c r="D17" s="2">
        <f>IFERROR(SAMdataPlus!D17-'SAMdataPlus Original'!D17,"")</f>
        <v>0</v>
      </c>
      <c r="E17" s="2">
        <f>IFERROR(SAMdataPlus!E17-'SAMdataPlus Original'!E17,"")</f>
        <v>0</v>
      </c>
      <c r="F17" s="2">
        <f>IFERROR(SAMdataPlus!F17-'SAMdataPlus Original'!F17,"")</f>
        <v>0</v>
      </c>
      <c r="G17" s="2">
        <f>IFERROR(SAMdataPlus!G17-'SAMdataPlus Original'!G17,"")</f>
        <v>0</v>
      </c>
      <c r="H17" s="2">
        <f>IFERROR(SAMdataPlus!H17-'SAMdataPlus Original'!H17,"")</f>
        <v>31602.530800572022</v>
      </c>
      <c r="I17" s="2">
        <f>IFERROR(SAMdataPlus!I17-'SAMdataPlus Original'!I17,"")</f>
        <v>118162.70952555213</v>
      </c>
      <c r="J17" s="2">
        <f>IFERROR(SAMdataPlus!J17-'SAMdataPlus Original'!J17,"")</f>
        <v>34524.833743042749</v>
      </c>
      <c r="K17" s="2">
        <f>IFERROR(SAMdataPlus!K17-'SAMdataPlus Original'!K17,"")</f>
        <v>170919.17259456083</v>
      </c>
      <c r="L17" s="2">
        <f>IFERROR(SAMdataPlus!L17-'SAMdataPlus Original'!L17,"")</f>
        <v>31952.816996013069</v>
      </c>
      <c r="M17" s="2">
        <f>IFERROR(SAMdataPlus!M17-'SAMdataPlus Original'!M17,"")</f>
        <v>28995.076579720364</v>
      </c>
      <c r="N17" s="2">
        <f>IFERROR(SAMdataPlus!N17-'SAMdataPlus Original'!N17,"")</f>
        <v>0</v>
      </c>
      <c r="O17" s="2">
        <f>IFERROR(SAMdataPlus!O17-'SAMdataPlus Original'!O17,"")</f>
        <v>0</v>
      </c>
      <c r="P17" s="2">
        <f>IFERROR(SAMdataPlus!P17-'SAMdataPlus Original'!P17,"")</f>
        <v>0</v>
      </c>
      <c r="Q17" s="2">
        <f>IFERROR(SAMdataPlus!Q17-'SAMdataPlus Original'!Q17,"")</f>
        <v>0</v>
      </c>
      <c r="R17" s="2">
        <f>IFERROR(SAMdataPlus!R17-'SAMdataPlus Original'!R17,"")</f>
        <v>0</v>
      </c>
      <c r="S17" s="2">
        <f>IFERROR(SAMdataPlus!S17-'SAMdataPlus Original'!S17,"")</f>
        <v>21119.644388135872</v>
      </c>
      <c r="T17" s="2">
        <f>IFERROR(SAMdataPlus!T17-'SAMdataPlus Original'!T17,"")</f>
        <v>21119.644388135988</v>
      </c>
      <c r="U17" s="2">
        <f>IFERROR(SAMdataPlus!U17-'SAMdataPlus Original'!U17,"")</f>
        <v>2634.322649830021</v>
      </c>
      <c r="V17" s="2">
        <f>IFERROR(SAMdataPlus!V17-'SAMdataPlus Original'!V17,"")</f>
        <v>0</v>
      </c>
      <c r="W17" s="2">
        <f>IFERROR(SAMdataPlus!W17-'SAMdataPlus Original'!W17,"")</f>
        <v>236494.01335119031</v>
      </c>
      <c r="X17" s="2">
        <f>IFERROR(SAMdataPlus!X17-'SAMdataPlus Original'!X17,"")</f>
        <v>0</v>
      </c>
      <c r="Y17" s="2">
        <f>IFERROR(SAMdataPlus!Y17-'SAMdataPlus Original'!Y17,"")</f>
        <v>0</v>
      </c>
      <c r="Z17" s="2">
        <f>IFERROR(SAMdataPlus!Z17-'SAMdataPlus Original'!Z17,"")</f>
        <v>697524.7650167523</v>
      </c>
    </row>
    <row r="18" spans="1:26" x14ac:dyDescent="0.35">
      <c r="A18" t="str">
        <f>'SAMdataPlus Original'!A18</f>
        <v>HH</v>
      </c>
      <c r="B18" s="2">
        <f>IFERROR(SAMdataPlus!B18-'SAMdataPlus Original'!B18,"")</f>
        <v>0</v>
      </c>
      <c r="C18" s="2">
        <f>IFERROR(SAMdataPlus!C18-'SAMdataPlus Original'!C18,"")</f>
        <v>0</v>
      </c>
      <c r="D18" s="2">
        <f>IFERROR(SAMdataPlus!D18-'SAMdataPlus Original'!D18,"")</f>
        <v>0</v>
      </c>
      <c r="E18" s="2">
        <f>IFERROR(SAMdataPlus!E18-'SAMdataPlus Original'!E18,"")</f>
        <v>0</v>
      </c>
      <c r="F18" s="2">
        <f>IFERROR(SAMdataPlus!F18-'SAMdataPlus Original'!F18,"")</f>
        <v>0</v>
      </c>
      <c r="G18" s="2">
        <f>IFERROR(SAMdataPlus!G18-'SAMdataPlus Original'!G18,"")</f>
        <v>0</v>
      </c>
      <c r="H18" s="2">
        <f>IFERROR(SAMdataPlus!H18-'SAMdataPlus Original'!H18,"")</f>
        <v>0</v>
      </c>
      <c r="I18" s="2">
        <f>IFERROR(SAMdataPlus!I18-'SAMdataPlus Original'!I18,"")</f>
        <v>0</v>
      </c>
      <c r="J18" s="2">
        <f>IFERROR(SAMdataPlus!J18-'SAMdataPlus Original'!J18,"")</f>
        <v>0</v>
      </c>
      <c r="K18" s="2">
        <f>IFERROR(SAMdataPlus!K18-'SAMdataPlus Original'!K18,"")</f>
        <v>0</v>
      </c>
      <c r="L18" s="2">
        <f>IFERROR(SAMdataPlus!L18-'SAMdataPlus Original'!L18,"")</f>
        <v>0</v>
      </c>
      <c r="M18" s="2">
        <f>IFERROR(SAMdataPlus!M18-'SAMdataPlus Original'!M18,"")</f>
        <v>0</v>
      </c>
      <c r="N18" s="2">
        <f>IFERROR(SAMdataPlus!N18-'SAMdataPlus Original'!N18,"")</f>
        <v>0</v>
      </c>
      <c r="O18" s="2">
        <f>IFERROR(SAMdataPlus!O18-'SAMdataPlus Original'!O18,"")</f>
        <v>104853.12384185567</v>
      </c>
      <c r="P18" s="2">
        <f>IFERROR(SAMdataPlus!P18-'SAMdataPlus Original'!P18,"")</f>
        <v>104853.12384185661</v>
      </c>
      <c r="Q18" s="2">
        <f>IFERROR(SAMdataPlus!Q18-'SAMdataPlus Original'!Q18,"")</f>
        <v>0</v>
      </c>
      <c r="R18" s="2">
        <f>IFERROR(SAMdataPlus!R18-'SAMdataPlus Original'!R18,"")</f>
        <v>0</v>
      </c>
      <c r="S18" s="2">
        <f>IFERROR(SAMdataPlus!S18-'SAMdataPlus Original'!S18,"")</f>
        <v>0</v>
      </c>
      <c r="T18" s="2">
        <f>IFERROR(SAMdataPlus!T18-'SAMdataPlus Original'!T18,"")</f>
        <v>0</v>
      </c>
      <c r="U18" s="2">
        <f>IFERROR(SAMdataPlus!U18-'SAMdataPlus Original'!U18,"")</f>
        <v>0</v>
      </c>
      <c r="V18" s="2">
        <f>IFERROR(SAMdataPlus!V18-'SAMdataPlus Original'!V18,"")</f>
        <v>0</v>
      </c>
      <c r="W18" s="2">
        <f>IFERROR(SAMdataPlus!W18-'SAMdataPlus Original'!W18,"")</f>
        <v>0</v>
      </c>
      <c r="X18" s="2">
        <f>IFERROR(SAMdataPlus!X18-'SAMdataPlus Original'!X18,"")</f>
        <v>0</v>
      </c>
      <c r="Y18" s="2">
        <f>IFERROR(SAMdataPlus!Y18-'SAMdataPlus Original'!Y18,"")</f>
        <v>0</v>
      </c>
      <c r="Z18" s="2">
        <f>IFERROR(SAMdataPlus!Z18-'SAMdataPlus Original'!Z18,"")</f>
        <v>209706.24768371135</v>
      </c>
    </row>
    <row r="19" spans="1:26" x14ac:dyDescent="0.35">
      <c r="A19" t="str">
        <f>'SAMdataPlus Original'!A19</f>
        <v>TaxK</v>
      </c>
      <c r="B19" s="2">
        <f>IFERROR(SAMdataPlus!B19-'SAMdataPlus Original'!B19,"")</f>
        <v>0</v>
      </c>
      <c r="C19" s="2">
        <f>IFERROR(SAMdataPlus!C19-'SAMdataPlus Original'!C19,"")</f>
        <v>0</v>
      </c>
      <c r="D19" s="2">
        <f>IFERROR(SAMdataPlus!D19-'SAMdataPlus Original'!D19,"")</f>
        <v>0</v>
      </c>
      <c r="E19" s="2">
        <f>IFERROR(SAMdataPlus!E19-'SAMdataPlus Original'!E19,"")</f>
        <v>0</v>
      </c>
      <c r="F19" s="2">
        <f>IFERROR(SAMdataPlus!F19-'SAMdataPlus Original'!F19,"")</f>
        <v>0</v>
      </c>
      <c r="G19" s="2">
        <f>IFERROR(SAMdataPlus!G19-'SAMdataPlus Original'!G19,"")</f>
        <v>0</v>
      </c>
      <c r="H19" s="2">
        <f>IFERROR(SAMdataPlus!H19-'SAMdataPlus Original'!H19,"")</f>
        <v>-8672.5666753420228</v>
      </c>
      <c r="I19" s="2">
        <f>IFERROR(SAMdataPlus!I19-'SAMdataPlus Original'!I19,"")</f>
        <v>51313.155678664094</v>
      </c>
      <c r="J19" s="2">
        <f>IFERROR(SAMdataPlus!J19-'SAMdataPlus Original'!J19,"")</f>
        <v>-51789.027993491974</v>
      </c>
      <c r="K19" s="2">
        <f>IFERROR(SAMdataPlus!K19-'SAMdataPlus Original'!K19,"")</f>
        <v>104069.61874767275</v>
      </c>
      <c r="L19" s="2">
        <f>IFERROR(SAMdataPlus!L19-'SAMdataPlus Original'!L19,"")</f>
        <v>-35947.058102199335</v>
      </c>
      <c r="M19" s="2">
        <f>IFERROR(SAMdataPlus!M19-'SAMdataPlus Original'!M19,"")</f>
        <v>-37854.477267167706</v>
      </c>
      <c r="N19" s="2">
        <f>IFERROR(SAMdataPlus!N19-'SAMdataPlus Original'!N19,"")</f>
        <v>0</v>
      </c>
      <c r="O19" s="2">
        <f>IFERROR(SAMdataPlus!O19-'SAMdataPlus Original'!O19,"")</f>
        <v>0</v>
      </c>
      <c r="P19" s="2">
        <f>IFERROR(SAMdataPlus!P19-'SAMdataPlus Original'!P19,"")</f>
        <v>0</v>
      </c>
      <c r="Q19" s="2">
        <f>IFERROR(SAMdataPlus!Q19-'SAMdataPlus Original'!Q19,"")</f>
        <v>0</v>
      </c>
      <c r="R19" s="2">
        <f>IFERROR(SAMdataPlus!R19-'SAMdataPlus Original'!R19,"")</f>
        <v>0</v>
      </c>
      <c r="S19" s="2">
        <f>IFERROR(SAMdataPlus!S19-'SAMdataPlus Original'!S19,"")</f>
        <v>0</v>
      </c>
      <c r="T19" s="2">
        <f>IFERROR(SAMdataPlus!T19-'SAMdataPlus Original'!T19,"")</f>
        <v>0</v>
      </c>
      <c r="U19" s="2">
        <f>IFERROR(SAMdataPlus!U19-'SAMdataPlus Original'!U19,"")</f>
        <v>0</v>
      </c>
      <c r="V19" s="2">
        <f>IFERROR(SAMdataPlus!V19-'SAMdataPlus Original'!V19,"")</f>
        <v>0</v>
      </c>
      <c r="W19" s="2">
        <f>IFERROR(SAMdataPlus!W19-'SAMdataPlus Original'!W19,"")</f>
        <v>0</v>
      </c>
      <c r="X19" s="2">
        <f>IFERROR(SAMdataPlus!X19-'SAMdataPlus Original'!X19,"")</f>
        <v>0</v>
      </c>
      <c r="Y19" s="2">
        <f>IFERROR(SAMdataPlus!Y19-'SAMdataPlus Original'!Y19,"")</f>
        <v>0</v>
      </c>
      <c r="Z19" s="2">
        <f>IFERROR(SAMdataPlus!Z19-'SAMdataPlus Original'!Z19,"")</f>
        <v>21119.644388135872</v>
      </c>
    </row>
    <row r="20" spans="1:26" x14ac:dyDescent="0.35">
      <c r="A20" t="str">
        <f>'SAMdataPlus Original'!A20</f>
        <v>TaxL</v>
      </c>
      <c r="B20" s="2">
        <f>IFERROR(SAMdataPlus!B20-'SAMdataPlus Original'!B20,"")</f>
        <v>0</v>
      </c>
      <c r="C20" s="2">
        <f>IFERROR(SAMdataPlus!C20-'SAMdataPlus Original'!C20,"")</f>
        <v>0</v>
      </c>
      <c r="D20" s="2">
        <f>IFERROR(SAMdataPlus!D20-'SAMdataPlus Original'!D20,"")</f>
        <v>0</v>
      </c>
      <c r="E20" s="2">
        <f>IFERROR(SAMdataPlus!E20-'SAMdataPlus Original'!E20,"")</f>
        <v>0</v>
      </c>
      <c r="F20" s="2">
        <f>IFERROR(SAMdataPlus!F20-'SAMdataPlus Original'!F20,"")</f>
        <v>0</v>
      </c>
      <c r="G20" s="2">
        <f>IFERROR(SAMdataPlus!G20-'SAMdataPlus Original'!G20,"")</f>
        <v>0</v>
      </c>
      <c r="H20" s="2">
        <f>IFERROR(SAMdataPlus!H20-'SAMdataPlus Original'!H20,"")</f>
        <v>-8672.5666753420228</v>
      </c>
      <c r="I20" s="2">
        <f>IFERROR(SAMdataPlus!I20-'SAMdataPlus Original'!I20,"")</f>
        <v>58113.679763207692</v>
      </c>
      <c r="J20" s="2">
        <f>IFERROR(SAMdataPlus!J20-'SAMdataPlus Original'!J20,"")</f>
        <v>-44988.503908948362</v>
      </c>
      <c r="K20" s="2">
        <f>IFERROR(SAMdataPlus!K20-'SAMdataPlus Original'!K20,"")</f>
        <v>110870.14283221633</v>
      </c>
      <c r="L20" s="2">
        <f>IFERROR(SAMdataPlus!L20-'SAMdataPlus Original'!L20,"")</f>
        <v>-63149.154440373597</v>
      </c>
      <c r="M20" s="2">
        <f>IFERROR(SAMdataPlus!M20-'SAMdataPlus Original'!M20,"")</f>
        <v>-31053.953182624187</v>
      </c>
      <c r="N20" s="2">
        <f>IFERROR(SAMdataPlus!N20-'SAMdataPlus Original'!N20,"")</f>
        <v>0</v>
      </c>
      <c r="O20" s="2">
        <f>IFERROR(SAMdataPlus!O20-'SAMdataPlus Original'!O20,"")</f>
        <v>0</v>
      </c>
      <c r="P20" s="2">
        <f>IFERROR(SAMdataPlus!P20-'SAMdataPlus Original'!P20,"")</f>
        <v>0</v>
      </c>
      <c r="Q20" s="2">
        <f>IFERROR(SAMdataPlus!Q20-'SAMdataPlus Original'!Q20,"")</f>
        <v>0</v>
      </c>
      <c r="R20" s="2">
        <f>IFERROR(SAMdataPlus!R20-'SAMdataPlus Original'!R20,"")</f>
        <v>0</v>
      </c>
      <c r="S20" s="2">
        <f>IFERROR(SAMdataPlus!S20-'SAMdataPlus Original'!S20,"")</f>
        <v>0</v>
      </c>
      <c r="T20" s="2">
        <f>IFERROR(SAMdataPlus!T20-'SAMdataPlus Original'!T20,"")</f>
        <v>0</v>
      </c>
      <c r="U20" s="2">
        <f>IFERROR(SAMdataPlus!U20-'SAMdataPlus Original'!U20,"")</f>
        <v>0</v>
      </c>
      <c r="V20" s="2">
        <f>IFERROR(SAMdataPlus!V20-'SAMdataPlus Original'!V20,"")</f>
        <v>0</v>
      </c>
      <c r="W20" s="2">
        <f>IFERROR(SAMdataPlus!W20-'SAMdataPlus Original'!W20,"")</f>
        <v>0</v>
      </c>
      <c r="X20" s="2">
        <f>IFERROR(SAMdataPlus!X20-'SAMdataPlus Original'!X20,"")</f>
        <v>0</v>
      </c>
      <c r="Y20" s="2">
        <f>IFERROR(SAMdataPlus!Y20-'SAMdataPlus Original'!Y20,"")</f>
        <v>0</v>
      </c>
      <c r="Z20" s="2">
        <f>IFERROR(SAMdataPlus!Z20-'SAMdataPlus Original'!Z20,"")</f>
        <v>21119.644388135988</v>
      </c>
    </row>
    <row r="21" spans="1:26" x14ac:dyDescent="0.35">
      <c r="A21" t="str">
        <f>'SAMdataPlus Original'!A21</f>
        <v>TaxC</v>
      </c>
      <c r="B21" s="2">
        <f>IFERROR(SAMdataPlus!B21-'SAMdataPlus Original'!B21,"")</f>
        <v>20972.22565730213</v>
      </c>
      <c r="C21" s="2">
        <f>IFERROR(SAMdataPlus!C21-'SAMdataPlus Original'!C21,"")</f>
        <v>-3655.9757589214278</v>
      </c>
      <c r="D21" s="2">
        <f>IFERROR(SAMdataPlus!D21-'SAMdataPlus Original'!D21,"")</f>
        <v>51565.533386779309</v>
      </c>
      <c r="E21" s="2">
        <f>IFERROR(SAMdataPlus!E21-'SAMdataPlus Original'!E21,"")</f>
        <v>-1509.5200460294363</v>
      </c>
      <c r="F21" s="2">
        <f>IFERROR(SAMdataPlus!F21-'SAMdataPlus Original'!F21,"")</f>
        <v>-27685.236882780824</v>
      </c>
      <c r="G21" s="2">
        <f>IFERROR(SAMdataPlus!G21-'SAMdataPlus Original'!G21,"")</f>
        <v>-37052.703706519751</v>
      </c>
      <c r="H21" s="2">
        <f>IFERROR(SAMdataPlus!H21-'SAMdataPlus Original'!H21,"")</f>
        <v>0</v>
      </c>
      <c r="I21" s="2">
        <f>IFERROR(SAMdataPlus!I21-'SAMdataPlus Original'!I21,"")</f>
        <v>0</v>
      </c>
      <c r="J21" s="2">
        <f>IFERROR(SAMdataPlus!J21-'SAMdataPlus Original'!J21,"")</f>
        <v>0</v>
      </c>
      <c r="K21" s="2">
        <f>IFERROR(SAMdataPlus!K21-'SAMdataPlus Original'!K21,"")</f>
        <v>0</v>
      </c>
      <c r="L21" s="2">
        <f>IFERROR(SAMdataPlus!L21-'SAMdataPlus Original'!L21,"")</f>
        <v>0</v>
      </c>
      <c r="M21" s="2">
        <f>IFERROR(SAMdataPlus!M21-'SAMdataPlus Original'!M21,"")</f>
        <v>0</v>
      </c>
      <c r="N21" s="2">
        <f>IFERROR(SAMdataPlus!N21-'SAMdataPlus Original'!N21,"")</f>
        <v>0</v>
      </c>
      <c r="O21" s="2">
        <f>IFERROR(SAMdataPlus!O21-'SAMdataPlus Original'!O21,"")</f>
        <v>0</v>
      </c>
      <c r="P21" s="2">
        <f>IFERROR(SAMdataPlus!P21-'SAMdataPlus Original'!P21,"")</f>
        <v>0</v>
      </c>
      <c r="Q21" s="2">
        <f>IFERROR(SAMdataPlus!Q21-'SAMdataPlus Original'!Q21,"")</f>
        <v>0</v>
      </c>
      <c r="R21" s="2">
        <f>IFERROR(SAMdataPlus!R21-'SAMdataPlus Original'!R21,"")</f>
        <v>0</v>
      </c>
      <c r="S21" s="2">
        <f>IFERROR(SAMdataPlus!S21-'SAMdataPlus Original'!S21,"")</f>
        <v>0</v>
      </c>
      <c r="T21" s="2">
        <f>IFERROR(SAMdataPlus!T21-'SAMdataPlus Original'!T21,"")</f>
        <v>0</v>
      </c>
      <c r="U21" s="2">
        <f>IFERROR(SAMdataPlus!U21-'SAMdataPlus Original'!U21,"")</f>
        <v>0</v>
      </c>
      <c r="V21" s="2">
        <f>IFERROR(SAMdataPlus!V21-'SAMdataPlus Original'!V21,"")</f>
        <v>0</v>
      </c>
      <c r="W21" s="2">
        <f>IFERROR(SAMdataPlus!W21-'SAMdataPlus Original'!W21,"")</f>
        <v>0</v>
      </c>
      <c r="X21" s="2">
        <f>IFERROR(SAMdataPlus!X21-'SAMdataPlus Original'!X21,"")</f>
        <v>0</v>
      </c>
      <c r="Y21" s="2">
        <f>IFERROR(SAMdataPlus!Y21-'SAMdataPlus Original'!Y21,"")</f>
        <v>0</v>
      </c>
      <c r="Z21" s="2">
        <f>IFERROR(SAMdataPlus!Z21-'SAMdataPlus Original'!Z21,"")</f>
        <v>2634.322649830021</v>
      </c>
    </row>
    <row r="22" spans="1:26" x14ac:dyDescent="0.35">
      <c r="A22" t="str">
        <f>'SAMdataPlus Original'!A22</f>
        <v>TaxIn</v>
      </c>
      <c r="B22" s="2">
        <f>IFERROR(SAMdataPlus!B22-'SAMdataPlus Original'!B22,"")</f>
        <v>0</v>
      </c>
      <c r="C22" s="2">
        <f>IFERROR(SAMdataPlus!C22-'SAMdataPlus Original'!C22,"")</f>
        <v>0</v>
      </c>
      <c r="D22" s="2">
        <f>IFERROR(SAMdataPlus!D22-'SAMdataPlus Original'!D22,"")</f>
        <v>0</v>
      </c>
      <c r="E22" s="2">
        <f>IFERROR(SAMdataPlus!E22-'SAMdataPlus Original'!E22,"")</f>
        <v>0</v>
      </c>
      <c r="F22" s="2">
        <f>IFERROR(SAMdataPlus!F22-'SAMdataPlus Original'!F22,"")</f>
        <v>0</v>
      </c>
      <c r="G22" s="2">
        <f>IFERROR(SAMdataPlus!G22-'SAMdataPlus Original'!G22,"")</f>
        <v>0</v>
      </c>
      <c r="H22" s="2">
        <f>IFERROR(SAMdataPlus!H22-'SAMdataPlus Original'!H22,"")</f>
        <v>0</v>
      </c>
      <c r="I22" s="2">
        <f>IFERROR(SAMdataPlus!I22-'SAMdataPlus Original'!I22,"")</f>
        <v>0</v>
      </c>
      <c r="J22" s="2">
        <f>IFERROR(SAMdataPlus!J22-'SAMdataPlus Original'!J22,"")</f>
        <v>0</v>
      </c>
      <c r="K22" s="2">
        <f>IFERROR(SAMdataPlus!K22-'SAMdataPlus Original'!K22,"")</f>
        <v>0</v>
      </c>
      <c r="L22" s="2">
        <f>IFERROR(SAMdataPlus!L22-'SAMdataPlus Original'!L22,"")</f>
        <v>0</v>
      </c>
      <c r="M22" s="2">
        <f>IFERROR(SAMdataPlus!M22-'SAMdataPlus Original'!M22,"")</f>
        <v>0</v>
      </c>
      <c r="N22" s="2">
        <f>IFERROR(SAMdataPlus!N22-'SAMdataPlus Original'!N22,"")</f>
        <v>0</v>
      </c>
      <c r="O22" s="2">
        <f>IFERROR(SAMdataPlus!O22-'SAMdataPlus Original'!O22,"")</f>
        <v>0</v>
      </c>
      <c r="P22" s="2">
        <f>IFERROR(SAMdataPlus!P22-'SAMdataPlus Original'!P22,"")</f>
        <v>0</v>
      </c>
      <c r="Q22" s="2">
        <f>IFERROR(SAMdataPlus!Q22-'SAMdataPlus Original'!Q22,"")</f>
        <v>0</v>
      </c>
      <c r="R22" s="2">
        <f>IFERROR(SAMdataPlus!R22-'SAMdataPlus Original'!R22,"")</f>
        <v>0</v>
      </c>
      <c r="S22" s="2">
        <f>IFERROR(SAMdataPlus!S22-'SAMdataPlus Original'!S22,"")</f>
        <v>0</v>
      </c>
      <c r="T22" s="2">
        <f>IFERROR(SAMdataPlus!T22-'SAMdataPlus Original'!T22,"")</f>
        <v>0</v>
      </c>
      <c r="U22" s="2">
        <f>IFERROR(SAMdataPlus!U22-'SAMdataPlus Original'!U22,"")</f>
        <v>0</v>
      </c>
      <c r="V22" s="2">
        <f>IFERROR(SAMdataPlus!V22-'SAMdataPlus Original'!V22,"")</f>
        <v>0</v>
      </c>
      <c r="W22" s="2">
        <f>IFERROR(SAMdataPlus!W22-'SAMdataPlus Original'!W22,"")</f>
        <v>0</v>
      </c>
      <c r="X22" s="2">
        <f>IFERROR(SAMdataPlus!X22-'SAMdataPlus Original'!X22,"")</f>
        <v>0</v>
      </c>
      <c r="Y22" s="2">
        <f>IFERROR(SAMdataPlus!Y22-'SAMdataPlus Original'!Y22,"")</f>
        <v>0</v>
      </c>
      <c r="Z22" s="2">
        <f>IFERROR(SAMdataPlus!Z22-'SAMdataPlus Original'!Z22,"")</f>
        <v>0</v>
      </c>
    </row>
    <row r="23" spans="1:26" x14ac:dyDescent="0.35">
      <c r="A23" t="str">
        <f>'SAMdataPlus Original'!A23</f>
        <v>TaxImp</v>
      </c>
      <c r="B23" s="2">
        <f>IFERROR(SAMdataPlus!B23-'SAMdataPlus Original'!B23,"")</f>
        <v>20972.225657302126</v>
      </c>
      <c r="C23" s="2">
        <f>IFERROR(SAMdataPlus!C23-'SAMdataPlus Original'!C23,"")</f>
        <v>-84.626798067879136</v>
      </c>
      <c r="D23" s="2">
        <f>IFERROR(SAMdataPlus!D23-'SAMdataPlus Original'!D23,"")</f>
        <v>151401.58649135442</v>
      </c>
      <c r="E23" s="2">
        <f>IFERROR(SAMdataPlus!E23-'SAMdataPlus Original'!E23,"")</f>
        <v>1122.6966181157011</v>
      </c>
      <c r="F23" s="2">
        <f>IFERROR(SAMdataPlus!F23-'SAMdataPlus Original'!F23,"")</f>
        <v>298.78198443052946</v>
      </c>
      <c r="G23" s="2">
        <f>IFERROR(SAMdataPlus!G23-'SAMdataPlus Original'!G23,"")</f>
        <v>62783.349398055383</v>
      </c>
      <c r="H23" s="2">
        <f>IFERROR(SAMdataPlus!H23-'SAMdataPlus Original'!H23,"")</f>
        <v>0</v>
      </c>
      <c r="I23" s="2">
        <f>IFERROR(SAMdataPlus!I23-'SAMdataPlus Original'!I23,"")</f>
        <v>0</v>
      </c>
      <c r="J23" s="2">
        <f>IFERROR(SAMdataPlus!J23-'SAMdataPlus Original'!J23,"")</f>
        <v>0</v>
      </c>
      <c r="K23" s="2">
        <f>IFERROR(SAMdataPlus!K23-'SAMdataPlus Original'!K23,"")</f>
        <v>0</v>
      </c>
      <c r="L23" s="2">
        <f>IFERROR(SAMdataPlus!L23-'SAMdataPlus Original'!L23,"")</f>
        <v>0</v>
      </c>
      <c r="M23" s="2">
        <f>IFERROR(SAMdataPlus!M23-'SAMdataPlus Original'!M23,"")</f>
        <v>0</v>
      </c>
      <c r="N23" s="2">
        <f>IFERROR(SAMdataPlus!N23-'SAMdataPlus Original'!N23,"")</f>
        <v>0</v>
      </c>
      <c r="O23" s="2">
        <f>IFERROR(SAMdataPlus!O23-'SAMdataPlus Original'!O23,"")</f>
        <v>0</v>
      </c>
      <c r="P23" s="2">
        <f>IFERROR(SAMdataPlus!P23-'SAMdataPlus Original'!P23,"")</f>
        <v>0</v>
      </c>
      <c r="Q23" s="2">
        <f>IFERROR(SAMdataPlus!Q23-'SAMdataPlus Original'!Q23,"")</f>
        <v>0</v>
      </c>
      <c r="R23" s="2">
        <f>IFERROR(SAMdataPlus!R23-'SAMdataPlus Original'!R23,"")</f>
        <v>0</v>
      </c>
      <c r="S23" s="2">
        <f>IFERROR(SAMdataPlus!S23-'SAMdataPlus Original'!S23,"")</f>
        <v>0</v>
      </c>
      <c r="T23" s="2">
        <f>IFERROR(SAMdataPlus!T23-'SAMdataPlus Original'!T23,"")</f>
        <v>0</v>
      </c>
      <c r="U23" s="2">
        <f>IFERROR(SAMdataPlus!U23-'SAMdataPlus Original'!U23,"")</f>
        <v>0</v>
      </c>
      <c r="V23" s="2">
        <f>IFERROR(SAMdataPlus!V23-'SAMdataPlus Original'!V23,"")</f>
        <v>0</v>
      </c>
      <c r="W23" s="2">
        <f>IFERROR(SAMdataPlus!W23-'SAMdataPlus Original'!W23,"")</f>
        <v>0</v>
      </c>
      <c r="X23" s="2">
        <f>IFERROR(SAMdataPlus!X23-'SAMdataPlus Original'!X23,"")</f>
        <v>0</v>
      </c>
      <c r="Y23" s="2">
        <f>IFERROR(SAMdataPlus!Y23-'SAMdataPlus Original'!Y23,"")</f>
        <v>0</v>
      </c>
      <c r="Z23" s="2">
        <f>IFERROR(SAMdataPlus!Z23-'SAMdataPlus Original'!Z23,"")</f>
        <v>236494.01335119031</v>
      </c>
    </row>
    <row r="24" spans="1:26" x14ac:dyDescent="0.35">
      <c r="A24" t="str">
        <f>'SAMdataPlus Original'!A24</f>
        <v>SavInv</v>
      </c>
      <c r="B24" s="2">
        <f>IFERROR(SAMdataPlus!B24-'SAMdataPlus Original'!B24,"")</f>
        <v>0</v>
      </c>
      <c r="C24" s="2">
        <f>IFERROR(SAMdataPlus!C24-'SAMdataPlus Original'!C24,"")</f>
        <v>0</v>
      </c>
      <c r="D24" s="2">
        <f>IFERROR(SAMdataPlus!D24-'SAMdataPlus Original'!D24,"")</f>
        <v>0</v>
      </c>
      <c r="E24" s="2">
        <f>IFERROR(SAMdataPlus!E24-'SAMdataPlus Original'!E24,"")</f>
        <v>0</v>
      </c>
      <c r="F24" s="2">
        <f>IFERROR(SAMdataPlus!F24-'SAMdataPlus Original'!F24,"")</f>
        <v>0</v>
      </c>
      <c r="G24" s="2">
        <f>IFERROR(SAMdataPlus!G24-'SAMdataPlus Original'!G24,"")</f>
        <v>0</v>
      </c>
      <c r="H24" s="2">
        <f>IFERROR(SAMdataPlus!H24-'SAMdataPlus Original'!H24,"")</f>
        <v>0</v>
      </c>
      <c r="I24" s="2">
        <f>IFERROR(SAMdataPlus!I24-'SAMdataPlus Original'!I24,"")</f>
        <v>0</v>
      </c>
      <c r="J24" s="2">
        <f>IFERROR(SAMdataPlus!J24-'SAMdataPlus Original'!J24,"")</f>
        <v>0</v>
      </c>
      <c r="K24" s="2">
        <f>IFERROR(SAMdataPlus!K24-'SAMdataPlus Original'!K24,"")</f>
        <v>0</v>
      </c>
      <c r="L24" s="2">
        <f>IFERROR(SAMdataPlus!L24-'SAMdataPlus Original'!L24,"")</f>
        <v>0</v>
      </c>
      <c r="M24" s="2">
        <f>IFERROR(SAMdataPlus!M24-'SAMdataPlus Original'!M24,"")</f>
        <v>0</v>
      </c>
      <c r="N24" s="2">
        <f>IFERROR(SAMdataPlus!N24-'SAMdataPlus Original'!N24,"")</f>
        <v>0</v>
      </c>
      <c r="O24" s="2">
        <f>IFERROR(SAMdataPlus!O24-'SAMdataPlus Original'!O24,"")</f>
        <v>0</v>
      </c>
      <c r="P24" s="2">
        <f>IFERROR(SAMdataPlus!P24-'SAMdataPlus Original'!P24,"")</f>
        <v>0</v>
      </c>
      <c r="Q24" s="2">
        <f>IFERROR(SAMdataPlus!Q24-'SAMdataPlus Original'!Q24,"")</f>
        <v>283467.7331911301</v>
      </c>
      <c r="R24" s="2">
        <f>IFERROR(SAMdataPlus!R24-'SAMdataPlus Original'!R24,"")</f>
        <v>130310.11556182196</v>
      </c>
      <c r="S24" s="2">
        <f>IFERROR(SAMdataPlus!S24-'SAMdataPlus Original'!S24,"")</f>
        <v>0</v>
      </c>
      <c r="T24" s="2">
        <f>IFERROR(SAMdataPlus!T24-'SAMdataPlus Original'!T24,"")</f>
        <v>0</v>
      </c>
      <c r="U24" s="2">
        <f>IFERROR(SAMdataPlus!U24-'SAMdataPlus Original'!U24,"")</f>
        <v>0</v>
      </c>
      <c r="V24" s="2">
        <f>IFERROR(SAMdataPlus!V24-'SAMdataPlus Original'!V24,"")</f>
        <v>0</v>
      </c>
      <c r="W24" s="2">
        <f>IFERROR(SAMdataPlus!W24-'SAMdataPlus Original'!W24,"")</f>
        <v>0</v>
      </c>
      <c r="X24" s="2">
        <f>IFERROR(SAMdataPlus!X24-'SAMdataPlus Original'!X24,"")</f>
        <v>0</v>
      </c>
      <c r="Y24" s="2">
        <f>IFERROR(SAMdataPlus!Y24-'SAMdataPlus Original'!Y24,"")</f>
        <v>109524.26680886978</v>
      </c>
      <c r="Z24" s="2">
        <f>IFERROR(SAMdataPlus!Z24-'SAMdataPlus Original'!Z24,"")</f>
        <v>523302.11556182196</v>
      </c>
    </row>
    <row r="25" spans="1:26" x14ac:dyDescent="0.35">
      <c r="A25" t="str">
        <f>'SAMdataPlus Original'!A25</f>
        <v>RoW</v>
      </c>
      <c r="B25" s="2">
        <f>IFERROR(SAMdataPlus!B25-'SAMdataPlus Original'!B25,"")</f>
        <v>20972.225657302144</v>
      </c>
      <c r="C25" s="2">
        <f>IFERROR(SAMdataPlus!C25-'SAMdataPlus Original'!C25,"")</f>
        <v>-3655.9757589214278</v>
      </c>
      <c r="D25" s="2">
        <f>IFERROR(SAMdataPlus!D25-'SAMdataPlus Original'!D25,"")</f>
        <v>151401.58649135428</v>
      </c>
      <c r="E25" s="2">
        <f>IFERROR(SAMdataPlus!E25-'SAMdataPlus Original'!E25,"")</f>
        <v>-1509.5200460294363</v>
      </c>
      <c r="F25" s="2">
        <f>IFERROR(SAMdataPlus!F25-'SAMdataPlus Original'!F25,"")</f>
        <v>-11224.736882780824</v>
      </c>
      <c r="G25" s="2">
        <f>IFERROR(SAMdataPlus!G25-'SAMdataPlus Original'!G25,"")</f>
        <v>62783.349398055376</v>
      </c>
      <c r="H25" s="2">
        <f>IFERROR(SAMdataPlus!H25-'SAMdataPlus Original'!H25,"")</f>
        <v>0</v>
      </c>
      <c r="I25" s="2">
        <f>IFERROR(SAMdataPlus!I25-'SAMdataPlus Original'!I25,"")</f>
        <v>0</v>
      </c>
      <c r="J25" s="2">
        <f>IFERROR(SAMdataPlus!J25-'SAMdataPlus Original'!J25,"")</f>
        <v>0</v>
      </c>
      <c r="K25" s="2">
        <f>IFERROR(SAMdataPlus!K25-'SAMdataPlus Original'!K25,"")</f>
        <v>0</v>
      </c>
      <c r="L25" s="2">
        <f>IFERROR(SAMdataPlus!L25-'SAMdataPlus Original'!L25,"")</f>
        <v>0</v>
      </c>
      <c r="M25" s="2">
        <f>IFERROR(SAMdataPlus!M25-'SAMdataPlus Original'!M25,"")</f>
        <v>0</v>
      </c>
      <c r="N25" s="2">
        <f>IFERROR(SAMdataPlus!N25-'SAMdataPlus Original'!N25,"")</f>
        <v>0</v>
      </c>
      <c r="O25" s="2">
        <f>IFERROR(SAMdataPlus!O25-'SAMdataPlus Original'!O25,"")</f>
        <v>0</v>
      </c>
      <c r="P25" s="2">
        <f>IFERROR(SAMdataPlus!P25-'SAMdataPlus Original'!P25,"")</f>
        <v>0</v>
      </c>
      <c r="Q25" s="2">
        <f>IFERROR(SAMdataPlus!Q25-'SAMdataPlus Original'!Q25,"")</f>
        <v>0</v>
      </c>
      <c r="R25" s="2">
        <f>IFERROR(SAMdataPlus!R25-'SAMdataPlus Original'!R25,"")</f>
        <v>0</v>
      </c>
      <c r="S25" s="2">
        <f>IFERROR(SAMdataPlus!S25-'SAMdataPlus Original'!S25,"")</f>
        <v>0</v>
      </c>
      <c r="T25" s="2">
        <f>IFERROR(SAMdataPlus!T25-'SAMdataPlus Original'!T25,"")</f>
        <v>0</v>
      </c>
      <c r="U25" s="2">
        <f>IFERROR(SAMdataPlus!U25-'SAMdataPlus Original'!U25,"")</f>
        <v>0</v>
      </c>
      <c r="V25" s="2">
        <f>IFERROR(SAMdataPlus!V25-'SAMdataPlus Original'!V25,"")</f>
        <v>0</v>
      </c>
      <c r="W25" s="2">
        <f>IFERROR(SAMdataPlus!W25-'SAMdataPlus Original'!W25,"")</f>
        <v>0</v>
      </c>
      <c r="X25" s="2">
        <f>IFERROR(SAMdataPlus!X25-'SAMdataPlus Original'!X25,"")</f>
        <v>0</v>
      </c>
      <c r="Y25" s="2">
        <f>IFERROR(SAMdataPlus!Y25-'SAMdataPlus Original'!Y25,"")</f>
        <v>0</v>
      </c>
      <c r="Z25" s="2">
        <f>IFERROR(SAMdataPlus!Z25-'SAMdataPlus Original'!Z25,"")</f>
        <v>218766.92885898054</v>
      </c>
    </row>
    <row r="26" spans="1:26" x14ac:dyDescent="0.35">
      <c r="A26" s="28" t="str">
        <f>'SAMdataPlus Original'!A26</f>
        <v>Total</v>
      </c>
      <c r="B26" s="29">
        <f>IFERROR(SAMdataPlus!B26-'SAMdataPlus Original'!B26,"")</f>
        <v>248561.66961677501</v>
      </c>
      <c r="C26" s="29">
        <f>IFERROR(SAMdataPlus!C26-'SAMdataPlus Original'!C26,"")</f>
        <v>-43771.360849964432</v>
      </c>
      <c r="D26" s="29">
        <f>IFERROR(SAMdataPlus!D26-'SAMdataPlus Original'!D26,"")</f>
        <v>1104666.0362232421</v>
      </c>
      <c r="E26" s="29">
        <f>IFERROR(SAMdataPlus!E26-'SAMdataPlus Original'!E26,"")</f>
        <v>-397818.70160911605</v>
      </c>
      <c r="F26" s="29">
        <f>IFERROR(SAMdataPlus!F26-'SAMdataPlus Original'!F26,"")</f>
        <v>-54959.037962427596</v>
      </c>
      <c r="G26" s="29">
        <f>IFERROR(SAMdataPlus!G26-'SAMdataPlus Original'!G26,"")</f>
        <v>443211.75104987621</v>
      </c>
      <c r="H26" s="29">
        <f>IFERROR(SAMdataPlus!H26-'SAMdataPlus Original'!H26,"")</f>
        <v>266266.26409920387</v>
      </c>
      <c r="I26" s="29">
        <f>IFERROR(SAMdataPlus!I26-'SAMdataPlus Original'!I26,"")</f>
        <v>1031585.0971701879</v>
      </c>
      <c r="J26" s="29">
        <f>IFERROR(SAMdataPlus!J26-'SAMdataPlus Original'!J26,"")</f>
        <v>-95423.513300945051</v>
      </c>
      <c r="K26" s="29">
        <f>IFERROR(SAMdataPlus!K26-'SAMdataPlus Original'!K26,"")</f>
        <v>1611885.4125152312</v>
      </c>
      <c r="L26" s="29">
        <f>IFERROR(SAMdataPlus!L26-'SAMdataPlus Original'!L26,"")</f>
        <v>-10665.511750958627</v>
      </c>
      <c r="M26" s="29">
        <f>IFERROR(SAMdataPlus!M26-'SAMdataPlus Original'!M26,"")</f>
        <v>52450.932441027835</v>
      </c>
      <c r="N26" s="29">
        <f>IFERROR(SAMdataPlus!N26-'SAMdataPlus Original'!N26,"")</f>
        <v>0</v>
      </c>
      <c r="O26" s="29">
        <f>IFERROR(SAMdataPlus!O26-'SAMdataPlus Original'!O26,"")</f>
        <v>104853.12384185567</v>
      </c>
      <c r="P26" s="29">
        <f>IFERROR(SAMdataPlus!P26-'SAMdataPlus Original'!P26,"")</f>
        <v>104853.12384185661</v>
      </c>
      <c r="Q26" s="29">
        <f>IFERROR(SAMdataPlus!Q26-'SAMdataPlus Original'!Q26,"")</f>
        <v>148289.85261142533</v>
      </c>
      <c r="R26" s="29">
        <f>IFERROR(SAMdataPlus!R26-'SAMdataPlus Original'!R26,"")</f>
        <v>-928811.25231629238</v>
      </c>
      <c r="S26" s="29">
        <f>IFERROR(SAMdataPlus!S26-'SAMdataPlus Original'!S26,"")</f>
        <v>21119.644388135872</v>
      </c>
      <c r="T26" s="29">
        <f>IFERROR(SAMdataPlus!T26-'SAMdataPlus Original'!T26,"")</f>
        <v>21119.644388135988</v>
      </c>
      <c r="U26" s="29">
        <f>IFERROR(SAMdataPlus!U26-'SAMdataPlus Original'!U26,"")</f>
        <v>2634.322649830021</v>
      </c>
      <c r="V26" s="29">
        <f>IFERROR(SAMdataPlus!V26-'SAMdataPlus Original'!V26,"")</f>
        <v>0</v>
      </c>
      <c r="W26" s="29">
        <f>IFERROR(SAMdataPlus!W26-'SAMdataPlus Original'!W26,"")</f>
        <v>236494.01335119031</v>
      </c>
      <c r="X26" s="29">
        <f>IFERROR(SAMdataPlus!X26-'SAMdataPlus Original'!X26,"")</f>
        <v>130310.11556182196</v>
      </c>
      <c r="Y26" s="29">
        <f>IFERROR(SAMdataPlus!Y26-'SAMdataPlus Original'!Y26,"")</f>
        <v>218766.92885898054</v>
      </c>
      <c r="Z26" s="29">
        <f>IFERROR(SAMdataPlus!Z26-'SAMdataPlus Original'!Z26,"")</f>
        <v>0</v>
      </c>
    </row>
    <row r="27" spans="1:26" x14ac:dyDescent="0.35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5">
      <c r="B28" s="37" t="str">
        <f>IFERROR((SAMdataPlus!G33-'SAMdataPlus Original'!C28)/'SAMdataPlus Original'!C28,"")</f>
        <v/>
      </c>
      <c r="C28" s="37" t="str">
        <f>IFERROR((SAMdataPlus!H33-'SAMdataPlus Original'!D28)/'SAMdataPlus Original'!D28,"")</f>
        <v/>
      </c>
      <c r="D28" s="37" t="str">
        <f>IFERROR((SAMdataPlus!I33-'SAMdataPlus Original'!E28)/'SAMdataPlus Original'!E28,"")</f>
        <v/>
      </c>
      <c r="E28" s="37" t="str">
        <f>IFERROR((SAMdataPlus!J33-'SAMdataPlus Original'!F28)/'SAMdataPlus Original'!F28,"")</f>
        <v/>
      </c>
      <c r="F28" s="37" t="str">
        <f>IFERROR((SAMdataPlus!K33-'SAMdataPlus Original'!G28)/'SAMdataPlus Original'!G28,"")</f>
        <v/>
      </c>
      <c r="G28" s="37" t="str">
        <f>IFERROR((SAMdataPlus!L33-'SAMdataPlus Original'!H28)/'SAMdataPlus Original'!H28,"")</f>
        <v/>
      </c>
      <c r="H28" s="37" t="str">
        <f>IFERROR((SAMdataPlus!M33-'SAMdataPlus Original'!I28)/'SAMdataPlus Original'!I28,"")</f>
        <v/>
      </c>
      <c r="I28" s="37" t="str">
        <f>IFERROR((SAMdataPlus!N33-'SAMdataPlus Original'!J28)/'SAMdataPlus Original'!J28,"")</f>
        <v/>
      </c>
      <c r="J28" s="37" t="str">
        <f>IFERROR((SAMdataPlus!O33-'SAMdataPlus Original'!K28)/'SAMdataPlus Original'!K28,"")</f>
        <v/>
      </c>
      <c r="K28" s="37" t="str">
        <f>IFERROR((SAMdataPlus!P33-'SAMdataPlus Original'!L28)/'SAMdataPlus Original'!L28,"")</f>
        <v/>
      </c>
      <c r="L28" s="37" t="str">
        <f>IFERROR((SAMdataPlus!Q33-'SAMdataPlus Original'!M28)/'SAMdataPlus Original'!M28,"")</f>
        <v/>
      </c>
      <c r="M28" s="37" t="str">
        <f>IFERROR((SAMdataPlus!R33-'SAMdataPlus Original'!N28)/'SAMdataPlus Original'!N28,"")</f>
        <v/>
      </c>
      <c r="N28" s="37" t="str">
        <f>IFERROR((SAMdataPlus!S33-'SAMdataPlus Original'!O28)/'SAMdataPlus Original'!O28,"")</f>
        <v/>
      </c>
      <c r="O28" s="37" t="str">
        <f>IFERROR((SAMdataPlus!T33-'SAMdataPlus Original'!P28)/'SAMdataPlus Original'!P28,"")</f>
        <v/>
      </c>
      <c r="P28" s="37" t="str">
        <f>IFERROR((SAMdataPlus!U33-'SAMdataPlus Original'!Q28)/'SAMdataPlus Original'!Q28,"")</f>
        <v/>
      </c>
      <c r="Q28" s="37" t="str">
        <f>IFERROR((SAMdataPlus!V33-'SAMdataPlus Original'!R28)/'SAMdataPlus Original'!R28,"")</f>
        <v/>
      </c>
      <c r="R28" s="37" t="str">
        <f>IFERROR((SAMdataPlus!W33-'SAMdataPlus Original'!S28)/'SAMdataPlus Original'!S28,"")</f>
        <v/>
      </c>
      <c r="S28" s="37" t="str">
        <f>IFERROR((SAMdataPlus!X33-'SAMdataPlus Original'!T28)/'SAMdataPlus Original'!T28,"")</f>
        <v/>
      </c>
      <c r="T28" s="37" t="str">
        <f>IFERROR((SAMdataPlus!Y33-'SAMdataPlus Original'!U28)/'SAMdataPlus Original'!U28,"")</f>
        <v/>
      </c>
      <c r="U28" s="37" t="str">
        <f>IFERROR((SAMdataPlus!Z33-'SAMdataPlus Original'!V28)/'SAMdataPlus Original'!V28,"")</f>
        <v/>
      </c>
      <c r="V28" s="37" t="str">
        <f>IFERROR((SAMdataPlus!AA33-'SAMdataPlus Original'!W28)/'SAMdataPlus Original'!W28,"")</f>
        <v/>
      </c>
      <c r="W28" s="37" t="str">
        <f>IFERROR((SAMdataPlus!AB33-'SAMdataPlus Original'!X28)/'SAMdataPlus Original'!X28,"")</f>
        <v/>
      </c>
      <c r="X28" s="37" t="str">
        <f>IFERROR((SAMdataPlus!AC33-'SAMdataPlus Original'!Y28)/'SAMdataPlus Original'!Y28,"")</f>
        <v/>
      </c>
      <c r="Y28" s="37" t="str">
        <f>IFERROR((SAMdataPlus!AD33-'SAMdataPlus Original'!Z28)/'SAMdataPlus Original'!Z28,"")</f>
        <v/>
      </c>
      <c r="Z28" s="37" t="str">
        <f>IFERROR((SAMdataPlus!AE33-'SAMdataPlus Original'!AA28)/'SAMdataPlus Original'!AA28,"")</f>
        <v/>
      </c>
    </row>
    <row r="29" spans="1:26" x14ac:dyDescent="0.35">
      <c r="B29" s="37" t="str">
        <f>IFERROR((SAMdataPlus!G34-'SAMdataPlus Original'!C29)/'SAMdataPlus Original'!C29,"")</f>
        <v/>
      </c>
      <c r="C29" s="37" t="str">
        <f>IFERROR((SAMdataPlus!H34-'SAMdataPlus Original'!D29)/'SAMdataPlus Original'!D29,"")</f>
        <v/>
      </c>
      <c r="D29" s="37" t="str">
        <f>IFERROR((SAMdataPlus!I34-'SAMdataPlus Original'!E29)/'SAMdataPlus Original'!E29,"")</f>
        <v/>
      </c>
      <c r="E29" s="37" t="str">
        <f>IFERROR((SAMdataPlus!J34-'SAMdataPlus Original'!F29)/'SAMdataPlus Original'!F29,"")</f>
        <v/>
      </c>
      <c r="F29" s="37" t="str">
        <f>IFERROR((SAMdataPlus!K34-'SAMdataPlus Original'!G29)/'SAMdataPlus Original'!G29,"")</f>
        <v/>
      </c>
      <c r="G29" s="37" t="str">
        <f>IFERROR((SAMdataPlus!L34-'SAMdataPlus Original'!H29)/'SAMdataPlus Original'!H29,"")</f>
        <v/>
      </c>
      <c r="H29" s="37" t="str">
        <f>IFERROR((SAMdataPlus!M34-'SAMdataPlus Original'!I29)/'SAMdataPlus Original'!I29,"")</f>
        <v/>
      </c>
      <c r="I29" s="37" t="str">
        <f>IFERROR((SAMdataPlus!N34-'SAMdataPlus Original'!J29)/'SAMdataPlus Original'!J29,"")</f>
        <v/>
      </c>
      <c r="J29" s="37" t="str">
        <f>IFERROR((SAMdataPlus!O34-'SAMdataPlus Original'!K29)/'SAMdataPlus Original'!K29,"")</f>
        <v/>
      </c>
      <c r="K29" s="37" t="str">
        <f>IFERROR((SAMdataPlus!P34-'SAMdataPlus Original'!L29)/'SAMdataPlus Original'!L29,"")</f>
        <v/>
      </c>
      <c r="L29" s="37" t="str">
        <f>IFERROR((SAMdataPlus!Q34-'SAMdataPlus Original'!M29)/'SAMdataPlus Original'!M29,"")</f>
        <v/>
      </c>
      <c r="M29" s="37" t="str">
        <f>IFERROR((SAMdataPlus!R34-'SAMdataPlus Original'!N29)/'SAMdataPlus Original'!N29,"")</f>
        <v/>
      </c>
      <c r="N29" s="37" t="str">
        <f>IFERROR((SAMdataPlus!S34-'SAMdataPlus Original'!O29)/'SAMdataPlus Original'!O29,"")</f>
        <v/>
      </c>
      <c r="O29" s="37" t="str">
        <f>IFERROR((SAMdataPlus!T34-'SAMdataPlus Original'!P29)/'SAMdataPlus Original'!P29,"")</f>
        <v/>
      </c>
      <c r="P29" s="37" t="str">
        <f>IFERROR((SAMdataPlus!U34-'SAMdataPlus Original'!Q29)/'SAMdataPlus Original'!Q29,"")</f>
        <v/>
      </c>
      <c r="Q29" s="37" t="str">
        <f>IFERROR((SAMdataPlus!V34-'SAMdataPlus Original'!R29)/'SAMdataPlus Original'!R29,"")</f>
        <v/>
      </c>
      <c r="R29" s="37" t="str">
        <f>IFERROR((SAMdataPlus!W34-'SAMdataPlus Original'!S29)/'SAMdataPlus Original'!S29,"")</f>
        <v/>
      </c>
      <c r="S29" s="37" t="str">
        <f>IFERROR((SAMdataPlus!X34-'SAMdataPlus Original'!T29)/'SAMdataPlus Original'!T29,"")</f>
        <v/>
      </c>
      <c r="T29" s="37" t="str">
        <f>IFERROR((SAMdataPlus!Y34-'SAMdataPlus Original'!U29)/'SAMdataPlus Original'!U29,"")</f>
        <v/>
      </c>
      <c r="U29" s="37" t="str">
        <f>IFERROR((SAMdataPlus!Z34-'SAMdataPlus Original'!V29)/'SAMdataPlus Original'!V29,"")</f>
        <v/>
      </c>
      <c r="V29" s="37" t="str">
        <f>IFERROR((SAMdataPlus!AA34-'SAMdataPlus Original'!W29)/'SAMdataPlus Original'!W29,"")</f>
        <v/>
      </c>
      <c r="W29" s="37" t="str">
        <f>IFERROR((SAMdataPlus!AB34-'SAMdataPlus Original'!X29)/'SAMdataPlus Original'!X29,"")</f>
        <v/>
      </c>
      <c r="X29" s="37" t="str">
        <f>IFERROR((SAMdataPlus!AC34-'SAMdataPlus Original'!Y29)/'SAMdataPlus Original'!Y29,"")</f>
        <v/>
      </c>
      <c r="Y29" s="37" t="str">
        <f>IFERROR((SAMdataPlus!AD34-'SAMdataPlus Original'!Z29)/'SAMdataPlus Original'!Z29,"")</f>
        <v/>
      </c>
      <c r="Z29" s="37" t="str">
        <f>IFERROR((SAMdataPlus!AE34-'SAMdataPlus Original'!AA29)/'SAMdataPlus Original'!AA29,"")</f>
        <v/>
      </c>
    </row>
    <row r="30" spans="1:26" x14ac:dyDescent="0.35">
      <c r="B30" s="37" t="str">
        <f>IFERROR((SAMdataPlus!G35-'SAMdataPlus Original'!C30)/'SAMdataPlus Original'!C30,"")</f>
        <v/>
      </c>
      <c r="C30" s="37" t="str">
        <f>IFERROR((SAMdataPlus!H35-'SAMdataPlus Original'!D30)/'SAMdataPlus Original'!D30,"")</f>
        <v/>
      </c>
      <c r="D30" s="37" t="str">
        <f>IFERROR((SAMdataPlus!I35-'SAMdataPlus Original'!E30)/'SAMdataPlus Original'!E30,"")</f>
        <v/>
      </c>
      <c r="E30" s="37" t="str">
        <f>IFERROR((SAMdataPlus!J35-'SAMdataPlus Original'!F30)/'SAMdataPlus Original'!F30,"")</f>
        <v/>
      </c>
      <c r="F30" s="37" t="str">
        <f>IFERROR((SAMdataPlus!K35-'SAMdataPlus Original'!G30)/'SAMdataPlus Original'!G30,"")</f>
        <v/>
      </c>
      <c r="G30" s="37" t="str">
        <f>IFERROR((SAMdataPlus!L35-'SAMdataPlus Original'!H30)/'SAMdataPlus Original'!H30,"")</f>
        <v/>
      </c>
      <c r="H30" s="37" t="str">
        <f>IFERROR((SAMdataPlus!M35-'SAMdataPlus Original'!I30)/'SAMdataPlus Original'!I30,"")</f>
        <v/>
      </c>
      <c r="I30" s="37" t="str">
        <f>IFERROR((SAMdataPlus!N35-'SAMdataPlus Original'!J30)/'SAMdataPlus Original'!J30,"")</f>
        <v/>
      </c>
      <c r="J30" s="37" t="str">
        <f>IFERROR((SAMdataPlus!O35-'SAMdataPlus Original'!K30)/'SAMdataPlus Original'!K30,"")</f>
        <v/>
      </c>
      <c r="K30" s="37" t="str">
        <f>IFERROR((SAMdataPlus!P35-'SAMdataPlus Original'!L30)/'SAMdataPlus Original'!L30,"")</f>
        <v/>
      </c>
      <c r="L30" s="37" t="str">
        <f>IFERROR((SAMdataPlus!Q35-'SAMdataPlus Original'!M30)/'SAMdataPlus Original'!M30,"")</f>
        <v/>
      </c>
      <c r="M30" s="37" t="str">
        <f>IFERROR((SAMdataPlus!R35-'SAMdataPlus Original'!N30)/'SAMdataPlus Original'!N30,"")</f>
        <v/>
      </c>
      <c r="N30" s="37" t="str">
        <f>IFERROR((SAMdataPlus!S35-'SAMdataPlus Original'!O30)/'SAMdataPlus Original'!O30,"")</f>
        <v/>
      </c>
      <c r="O30" s="37" t="str">
        <f>IFERROR((SAMdataPlus!T35-'SAMdataPlus Original'!P30)/'SAMdataPlus Original'!P30,"")</f>
        <v/>
      </c>
      <c r="P30" s="37" t="str">
        <f>IFERROR((SAMdataPlus!U35-'SAMdataPlus Original'!Q30)/'SAMdataPlus Original'!Q30,"")</f>
        <v/>
      </c>
      <c r="Q30" s="37" t="str">
        <f>IFERROR((SAMdataPlus!V35-'SAMdataPlus Original'!R30)/'SAMdataPlus Original'!R30,"")</f>
        <v/>
      </c>
      <c r="R30" s="37" t="str">
        <f>IFERROR((SAMdataPlus!W35-'SAMdataPlus Original'!S30)/'SAMdataPlus Original'!S30,"")</f>
        <v/>
      </c>
      <c r="S30" s="37" t="str">
        <f>IFERROR((SAMdataPlus!X35-'SAMdataPlus Original'!T30)/'SAMdataPlus Original'!T30,"")</f>
        <v/>
      </c>
      <c r="T30" s="37" t="str">
        <f>IFERROR((SAMdataPlus!Y35-'SAMdataPlus Original'!U30)/'SAMdataPlus Original'!U30,"")</f>
        <v/>
      </c>
      <c r="U30" s="37" t="str">
        <f>IFERROR((SAMdataPlus!Z35-'SAMdataPlus Original'!V30)/'SAMdataPlus Original'!V30,"")</f>
        <v/>
      </c>
      <c r="V30" s="37" t="str">
        <f>IFERROR((SAMdataPlus!AA35-'SAMdataPlus Original'!W30)/'SAMdataPlus Original'!W30,"")</f>
        <v/>
      </c>
      <c r="W30" s="37" t="str">
        <f>IFERROR((SAMdataPlus!AB35-'SAMdataPlus Original'!X30)/'SAMdataPlus Original'!X30,"")</f>
        <v/>
      </c>
      <c r="X30" s="37" t="str">
        <f>IFERROR((SAMdataPlus!AC35-'SAMdataPlus Original'!Y30)/'SAMdataPlus Original'!Y30,"")</f>
        <v/>
      </c>
      <c r="Y30" s="37" t="str">
        <f>IFERROR((SAMdataPlus!AD35-'SAMdataPlus Original'!Z30)/'SAMdataPlus Original'!Z30,"")</f>
        <v/>
      </c>
      <c r="Z30" s="37" t="str">
        <f>IFERROR((SAMdataPlus!AE35-'SAMdataPlus Original'!AA30)/'SAMdataPlus Original'!AA30,"")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DC40-30B9-43E7-B30B-4E82590D09C3}">
  <dimension ref="A1:AF30"/>
  <sheetViews>
    <sheetView topLeftCell="A7" workbookViewId="0">
      <selection activeCell="D26" sqref="D26"/>
    </sheetView>
  </sheetViews>
  <sheetFormatPr defaultRowHeight="14.5" x14ac:dyDescent="0.35"/>
  <cols>
    <col min="2" max="6" width="8.81640625" bestFit="1" customWidth="1"/>
    <col min="7" max="7" width="10.36328125" customWidth="1"/>
    <col min="8" max="8" width="9.81640625" bestFit="1" customWidth="1"/>
    <col min="9" max="26" width="8.81640625" bestFit="1" customWidth="1"/>
  </cols>
  <sheetData>
    <row r="1" spans="1:32" x14ac:dyDescent="0.35">
      <c r="A1" t="str">
        <f>'SAMdataPlus Original'!A1</f>
        <v xml:space="preserve"> </v>
      </c>
      <c r="B1" t="str">
        <f>'SAMdataPlus Original'!B1</f>
        <v>Commod-1-Agriculture, forestry, fishing, and hunting</v>
      </c>
      <c r="C1" t="str">
        <f>'SAMdataPlus Original'!C1</f>
        <v>Commod-2-MiningUtilitiesConstruction</v>
      </c>
      <c r="D1" t="str">
        <f>'SAMdataPlus Original'!D1</f>
        <v>Commod-3-Manufacturing</v>
      </c>
      <c r="E1" t="str">
        <f>'SAMdataPlus Original'!E1</f>
        <v>Commod-4-Wholesale tradeRetail tradeTransportation and warehousing</v>
      </c>
      <c r="F1" t="str">
        <f>'SAMdataPlus Original'!F1</f>
        <v>Commod-5-Information</v>
      </c>
      <c r="G1" t="str">
        <f>'SAMdataPlus Original'!G1</f>
        <v>Commod-6-Finance, insurance, real estate, rental, and leasingProfessional and business servicesEducational services, health care, and social assistanceArts, entertainment, recreation, accommodation, and food servicesOther services, except government</v>
      </c>
      <c r="H1" t="str">
        <f>'SAMdataPlus Original'!H1</f>
        <v>Sec1-Agriculture, forestry, fishing, and hunting</v>
      </c>
      <c r="I1" t="str">
        <f>'SAMdataPlus Original'!I1</f>
        <v>Sec2-MiningUtilitiesConstruction</v>
      </c>
      <c r="J1" t="str">
        <f>'SAMdataPlus Original'!J1</f>
        <v>Sec3-Manufacturing</v>
      </c>
      <c r="K1" t="str">
        <f>'SAMdataPlus Original'!K1</f>
        <v>Sec4-Wholesale tradeRetail tradeTransportation and warehousing</v>
      </c>
      <c r="L1" t="str">
        <f>'SAMdataPlus Original'!L1</f>
        <v>Sec5-Information</v>
      </c>
      <c r="M1" t="str">
        <f>'SAMdataPlus Original'!M1</f>
        <v>Sec6-Finance, insurance, real estate, rental, and leasingProfessional and business servicesEducational services, health care, and social assistanceArts, entertainment, recreation, accommodation, and food servicesOther services, except government</v>
      </c>
      <c r="N1" t="str">
        <f>'SAMdataPlus Original'!N1</f>
        <v>Cdi</v>
      </c>
      <c r="O1" t="str">
        <f>'SAMdataPlus Original'!O1</f>
        <v>Kdi</v>
      </c>
      <c r="P1" t="str">
        <f>'SAMdataPlus Original'!P1</f>
        <v>Ldi</v>
      </c>
      <c r="Q1" t="str">
        <f>'SAMdataPlus Original'!Q1</f>
        <v>Gov</v>
      </c>
      <c r="R1" t="str">
        <f>'SAMdataPlus Original'!R1</f>
        <v>HH</v>
      </c>
      <c r="S1" t="str">
        <f>'SAMdataPlus Original'!S1</f>
        <v>TaxK</v>
      </c>
      <c r="T1" t="str">
        <f>'SAMdataPlus Original'!T1</f>
        <v>TaxL</v>
      </c>
      <c r="U1" t="str">
        <f>'SAMdataPlus Original'!U1</f>
        <v>TaxC</v>
      </c>
      <c r="V1" t="str">
        <f>'SAMdataPlus Original'!V1</f>
        <v>TaxIn</v>
      </c>
      <c r="W1" t="str">
        <f>'SAMdataPlus Original'!W1</f>
        <v>TaxImp</v>
      </c>
      <c r="X1" t="str">
        <f>'SAMdataPlus Original'!X1</f>
        <v>InvSav</v>
      </c>
      <c r="Y1" t="str">
        <f>'SAMdataPlus Original'!Y1</f>
        <v>RoW</v>
      </c>
      <c r="Z1" t="str">
        <f>'SAMdataPlus Original'!Z1</f>
        <v>Total</v>
      </c>
      <c r="AA1" t="str">
        <f>'SAMdataPlus Original'!AA1</f>
        <v>Pr_W_Im_foreignCurri</v>
      </c>
      <c r="AB1" t="str">
        <f>'SAMdataPlus Original'!AB1</f>
        <v>Pr_W_Exp_foreignCurri</v>
      </c>
      <c r="AC1" t="str">
        <f>'SAMdataPlus Original'!AC1</f>
        <v>Pr_Commods_toHomei</v>
      </c>
      <c r="AD1" t="str">
        <f>'SAMdataPlus Original'!AD1</f>
        <v>Pr_CombCommods_toHomei</v>
      </c>
      <c r="AE1" t="str">
        <f>'SAMdataPlus Original'!AE1</f>
        <v>KLsubselasi</v>
      </c>
      <c r="AF1" t="str">
        <f>'SAMdataPlus Original'!AF1</f>
        <v>YinelasCommodsi</v>
      </c>
    </row>
    <row r="2" spans="1:32" x14ac:dyDescent="0.35">
      <c r="A2" t="str">
        <f>'SAMdataPlus Original'!A2</f>
        <v>Commod-1-Agriculture, forestry, fishing, and hunting</v>
      </c>
      <c r="B2" s="37" t="str">
        <f>IFERROR((SAMdataPlus!B2-'SAMdataPlus Original'!B2)/'SAMdataPlus Original'!B2,"")</f>
        <v/>
      </c>
      <c r="C2" s="37" t="str">
        <f>IFERROR((SAMdataPlus!C2-'SAMdataPlus Original'!C2)/'SAMdataPlus Original'!C2,"")</f>
        <v/>
      </c>
      <c r="D2" s="37" t="str">
        <f>IFERROR((SAMdataPlus!D2-'SAMdataPlus Original'!D2)/'SAMdataPlus Original'!D2,"")</f>
        <v/>
      </c>
      <c r="E2" s="37" t="str">
        <f>IFERROR((SAMdataPlus!E2-'SAMdataPlus Original'!E2)/'SAMdataPlus Original'!E2,"")</f>
        <v/>
      </c>
      <c r="F2" s="37" t="str">
        <f>IFERROR((SAMdataPlus!F2-'SAMdataPlus Original'!F2)/'SAMdataPlus Original'!F2,"")</f>
        <v/>
      </c>
      <c r="G2" s="37" t="str">
        <f>IFERROR((SAMdataPlus!G2-'SAMdataPlus Original'!G2)/'SAMdataPlus Original'!G2,"")</f>
        <v/>
      </c>
      <c r="H2" s="37">
        <f>IFERROR((SAMdataPlus!H2-'SAMdataPlus Original'!H2)/'SAMdataPlus Original'!H2,"")</f>
        <v>-0.32439678284182305</v>
      </c>
      <c r="I2" s="37">
        <f>IFERROR((SAMdataPlus!I2-'SAMdataPlus Original'!I2)/'SAMdataPlus Original'!I2,"")</f>
        <v>21.19590481460985</v>
      </c>
      <c r="J2" s="37">
        <f>IFERROR((SAMdataPlus!J2-'SAMdataPlus Original'!J2)/'SAMdataPlus Original'!J2,"")</f>
        <v>-0.12337304757751599</v>
      </c>
      <c r="K2" s="37">
        <f>IFERROR((SAMdataPlus!K2-'SAMdataPlus Original'!K2)/'SAMdataPlus Original'!K2,"")</f>
        <v>22.434790149150192</v>
      </c>
      <c r="L2" s="37" t="str">
        <f>IFERROR((SAMdataPlus!L2-'SAMdataPlus Original'!L2)/'SAMdataPlus Original'!L2,"")</f>
        <v/>
      </c>
      <c r="M2" s="37">
        <f>IFERROR((SAMdataPlus!M2-'SAMdataPlus Original'!M2)/'SAMdataPlus Original'!M2,"")</f>
        <v>-0.46623634558093346</v>
      </c>
      <c r="N2" s="37" t="str">
        <f>IFERROR((SAMdataPlus!N2-'SAMdataPlus Original'!N2)/'SAMdataPlus Original'!N2,"")</f>
        <v/>
      </c>
      <c r="O2" s="37" t="str">
        <f>IFERROR((SAMdataPlus!O2-'SAMdataPlus Original'!O2)/'SAMdataPlus Original'!O2,"")</f>
        <v/>
      </c>
      <c r="P2" s="37" t="str">
        <f>IFERROR((SAMdataPlus!P2-'SAMdataPlus Original'!P2)/'SAMdataPlus Original'!P2,"")</f>
        <v/>
      </c>
      <c r="Q2" s="37">
        <f>IFERROR((SAMdataPlus!Q2-'SAMdataPlus Original'!Q2)/'SAMdataPlus Original'!Q2,"")</f>
        <v>0.43359337436637885</v>
      </c>
      <c r="R2" s="37">
        <f>IFERROR((SAMdataPlus!R2-'SAMdataPlus Original'!R2)/'SAMdataPlus Original'!R2,"")</f>
        <v>-0.21395473055866382</v>
      </c>
      <c r="S2" s="37" t="str">
        <f>IFERROR((SAMdataPlus!S2-'SAMdataPlus Original'!S2)/'SAMdataPlus Original'!S2,"")</f>
        <v/>
      </c>
      <c r="T2" s="37" t="str">
        <f>IFERROR((SAMdataPlus!T2-'SAMdataPlus Original'!T2)/'SAMdataPlus Original'!T2,"")</f>
        <v/>
      </c>
      <c r="U2" s="37" t="str">
        <f>IFERROR((SAMdataPlus!U2-'SAMdataPlus Original'!U2)/'SAMdataPlus Original'!U2,"")</f>
        <v/>
      </c>
      <c r="V2" s="37" t="str">
        <f>IFERROR((SAMdataPlus!V2-'SAMdataPlus Original'!V2)/'SAMdataPlus Original'!V2,"")</f>
        <v/>
      </c>
      <c r="W2" s="37" t="str">
        <f>IFERROR((SAMdataPlus!W2-'SAMdataPlus Original'!W2)/'SAMdataPlus Original'!W2,"")</f>
        <v/>
      </c>
      <c r="X2" s="37" t="str">
        <f>IFERROR((SAMdataPlus!X2-'SAMdataPlus Original'!X2)/'SAMdataPlus Original'!X2,"")</f>
        <v/>
      </c>
      <c r="Y2" s="37">
        <f>IFERROR((SAMdataPlus!Y2-'SAMdataPlus Original'!Y2)/'SAMdataPlus Original'!Y2,"")</f>
        <v>-0.30563737878256636</v>
      </c>
      <c r="Z2" s="37">
        <f>IFERROR((SAMdataPlus!Z2-'SAMdataPlus Original'!Z2)/'SAMdataPlus Original'!Z2,"")</f>
        <v>0.12808881905794806</v>
      </c>
    </row>
    <row r="3" spans="1:32" x14ac:dyDescent="0.35">
      <c r="A3" t="str">
        <f>'SAMdataPlus Original'!A3</f>
        <v>Commod-2-MiningUtilitiesConstruction</v>
      </c>
      <c r="B3" s="37" t="str">
        <f>IFERROR((SAMdataPlus!B3-'SAMdataPlus Original'!B3)/'SAMdataPlus Original'!B3,"")</f>
        <v/>
      </c>
      <c r="C3" s="37" t="str">
        <f>IFERROR((SAMdataPlus!C3-'SAMdataPlus Original'!C3)/'SAMdataPlus Original'!C3,"")</f>
        <v/>
      </c>
      <c r="D3" s="37" t="str">
        <f>IFERROR((SAMdataPlus!D3-'SAMdataPlus Original'!D3)/'SAMdataPlus Original'!D3,"")</f>
        <v/>
      </c>
      <c r="E3" s="37" t="str">
        <f>IFERROR((SAMdataPlus!E3-'SAMdataPlus Original'!E3)/'SAMdataPlus Original'!E3,"")</f>
        <v/>
      </c>
      <c r="F3" s="37" t="str">
        <f>IFERROR((SAMdataPlus!F3-'SAMdataPlus Original'!F3)/'SAMdataPlus Original'!F3,"")</f>
        <v/>
      </c>
      <c r="G3" s="37" t="str">
        <f>IFERROR((SAMdataPlus!G3-'SAMdataPlus Original'!G3)/'SAMdataPlus Original'!G3,"")</f>
        <v/>
      </c>
      <c r="H3" s="37">
        <f>IFERROR((SAMdataPlus!H3-'SAMdataPlus Original'!H3)/'SAMdataPlus Original'!H3,"")</f>
        <v>-0.55095541401273884</v>
      </c>
      <c r="I3" s="37">
        <f>IFERROR((SAMdataPlus!I3-'SAMdataPlus Original'!I3)/'SAMdataPlus Original'!I3,"")</f>
        <v>0.63436076233663452</v>
      </c>
      <c r="J3" s="37">
        <f>IFERROR((SAMdataPlus!J3-'SAMdataPlus Original'!J3)/'SAMdataPlus Original'!J3,"")</f>
        <v>-3.701511146968145E-2</v>
      </c>
      <c r="K3" s="37">
        <f>IFERROR((SAMdataPlus!K3-'SAMdataPlus Original'!K3)/'SAMdataPlus Original'!K3,"")</f>
        <v>2.0093287020628057</v>
      </c>
      <c r="L3" s="37">
        <f>IFERROR((SAMdataPlus!L3-'SAMdataPlus Original'!L3)/'SAMdataPlus Original'!L3,"")</f>
        <v>0.28709576791099095</v>
      </c>
      <c r="M3" s="37">
        <f>IFERROR((SAMdataPlus!M3-'SAMdataPlus Original'!M3)/'SAMdataPlus Original'!M3,"")</f>
        <v>-6.0350959303131168E-4</v>
      </c>
      <c r="N3" s="37" t="str">
        <f>IFERROR((SAMdataPlus!N3-'SAMdataPlus Original'!N3)/'SAMdataPlus Original'!N3,"")</f>
        <v/>
      </c>
      <c r="O3" s="37" t="str">
        <f>IFERROR((SAMdataPlus!O3-'SAMdataPlus Original'!O3)/'SAMdataPlus Original'!O3,"")</f>
        <v/>
      </c>
      <c r="P3" s="37" t="str">
        <f>IFERROR((SAMdataPlus!P3-'SAMdataPlus Original'!P3)/'SAMdataPlus Original'!P3,"")</f>
        <v/>
      </c>
      <c r="Q3" s="37">
        <f>IFERROR((SAMdataPlus!Q3-'SAMdataPlus Original'!Q3)/'SAMdataPlus Original'!Q3,"")</f>
        <v>-0.19356372119018062</v>
      </c>
      <c r="R3" s="37">
        <f>IFERROR((SAMdataPlus!R3-'SAMdataPlus Original'!R3)/'SAMdataPlus Original'!R3,"")</f>
        <v>-0.87492146943476445</v>
      </c>
      <c r="S3" s="37" t="str">
        <f>IFERROR((SAMdataPlus!S3-'SAMdataPlus Original'!S3)/'SAMdataPlus Original'!S3,"")</f>
        <v/>
      </c>
      <c r="T3" s="37" t="str">
        <f>IFERROR((SAMdataPlus!T3-'SAMdataPlus Original'!T3)/'SAMdataPlus Original'!T3,"")</f>
        <v/>
      </c>
      <c r="U3" s="37" t="str">
        <f>IFERROR((SAMdataPlus!U3-'SAMdataPlus Original'!U3)/'SAMdataPlus Original'!U3,"")</f>
        <v/>
      </c>
      <c r="V3" s="37" t="str">
        <f>IFERROR((SAMdataPlus!V3-'SAMdataPlus Original'!V3)/'SAMdataPlus Original'!V3,"")</f>
        <v/>
      </c>
      <c r="W3" s="37" t="str">
        <f>IFERROR((SAMdataPlus!W3-'SAMdataPlus Original'!W3)/'SAMdataPlus Original'!W3,"")</f>
        <v/>
      </c>
      <c r="X3" s="37">
        <f>IFERROR((SAMdataPlus!X3-'SAMdataPlus Original'!X3)/'SAMdataPlus Original'!X3,"")</f>
        <v>3.4675096731652446E-3</v>
      </c>
      <c r="Y3" s="37">
        <f>IFERROR((SAMdataPlus!Y3-'SAMdataPlus Original'!Y3)/'SAMdataPlus Original'!Y3,"")</f>
        <v>9.1477149550153319E-2</v>
      </c>
      <c r="Z3" s="37">
        <f>IFERROR((SAMdataPlus!Z3-'SAMdataPlus Original'!Z3)/'SAMdataPlus Original'!Z3,"")</f>
        <v>-1.4625319218558379E-2</v>
      </c>
    </row>
    <row r="4" spans="1:32" x14ac:dyDescent="0.35">
      <c r="A4" t="str">
        <f>'SAMdataPlus Original'!A4</f>
        <v>Commod-3-Manufacturing</v>
      </c>
      <c r="B4" s="37" t="str">
        <f>IFERROR((SAMdataPlus!B4-'SAMdataPlus Original'!B4)/'SAMdataPlus Original'!B4,"")</f>
        <v/>
      </c>
      <c r="C4" s="37" t="str">
        <f>IFERROR((SAMdataPlus!C4-'SAMdataPlus Original'!C4)/'SAMdataPlus Original'!C4,"")</f>
        <v/>
      </c>
      <c r="D4" s="37" t="str">
        <f>IFERROR((SAMdataPlus!D4-'SAMdataPlus Original'!D4)/'SAMdataPlus Original'!D4,"")</f>
        <v/>
      </c>
      <c r="E4" s="37" t="str">
        <f>IFERROR((SAMdataPlus!E4-'SAMdataPlus Original'!E4)/'SAMdataPlus Original'!E4,"")</f>
        <v/>
      </c>
      <c r="F4" s="37" t="str">
        <f>IFERROR((SAMdataPlus!F4-'SAMdataPlus Original'!F4)/'SAMdataPlus Original'!F4,"")</f>
        <v/>
      </c>
      <c r="G4" s="37" t="str">
        <f>IFERROR((SAMdataPlus!G4-'SAMdataPlus Original'!G4)/'SAMdataPlus Original'!G4,"")</f>
        <v/>
      </c>
      <c r="H4" s="37">
        <f>IFERROR((SAMdataPlus!H4-'SAMdataPlus Original'!H4)/'SAMdataPlus Original'!H4,"")</f>
        <v>-9.0002004701937269E-2</v>
      </c>
      <c r="I4" s="37">
        <f>IFERROR((SAMdataPlus!I4-'SAMdataPlus Original'!I4)/'SAMdataPlus Original'!I4,"")</f>
        <v>-0.11157954808307599</v>
      </c>
      <c r="J4" s="37">
        <f>IFERROR((SAMdataPlus!J4-'SAMdataPlus Original'!J4)/'SAMdataPlus Original'!J4,"")</f>
        <v>-7.5537641129680366E-2</v>
      </c>
      <c r="K4" s="37">
        <f>IFERROR((SAMdataPlus!K4-'SAMdataPlus Original'!K4)/'SAMdataPlus Original'!K4,"")</f>
        <v>-4.8470612191468011E-2</v>
      </c>
      <c r="L4" s="37">
        <f>IFERROR((SAMdataPlus!L4-'SAMdataPlus Original'!L4)/'SAMdataPlus Original'!L4,"")</f>
        <v>-0.43657516672705726</v>
      </c>
      <c r="M4" s="37">
        <f>IFERROR((SAMdataPlus!M4-'SAMdataPlus Original'!M4)/'SAMdataPlus Original'!M4,"")</f>
        <v>-0.21963492734904289</v>
      </c>
      <c r="N4" s="37" t="str">
        <f>IFERROR((SAMdataPlus!N4-'SAMdataPlus Original'!N4)/'SAMdataPlus Original'!N4,"")</f>
        <v/>
      </c>
      <c r="O4" s="37" t="str">
        <f>IFERROR((SAMdataPlus!O4-'SAMdataPlus Original'!O4)/'SAMdataPlus Original'!O4,"")</f>
        <v/>
      </c>
      <c r="P4" s="37" t="str">
        <f>IFERROR((SAMdataPlus!P4-'SAMdataPlus Original'!P4)/'SAMdataPlus Original'!P4,"")</f>
        <v/>
      </c>
      <c r="Q4" s="37">
        <f>IFERROR((SAMdataPlus!Q4-'SAMdataPlus Original'!Q4)/'SAMdataPlus Original'!Q4,"")</f>
        <v>-0.45711862829946692</v>
      </c>
      <c r="R4" s="37">
        <f>IFERROR((SAMdataPlus!R4-'SAMdataPlus Original'!R4)/'SAMdataPlus Original'!R4,"")</f>
        <v>-0.10896869150003527</v>
      </c>
      <c r="S4" s="37" t="str">
        <f>IFERROR((SAMdataPlus!S4-'SAMdataPlus Original'!S4)/'SAMdataPlus Original'!S4,"")</f>
        <v/>
      </c>
      <c r="T4" s="37" t="str">
        <f>IFERROR((SAMdataPlus!T4-'SAMdataPlus Original'!T4)/'SAMdataPlus Original'!T4,"")</f>
        <v/>
      </c>
      <c r="U4" s="37" t="str">
        <f>IFERROR((SAMdataPlus!U4-'SAMdataPlus Original'!U4)/'SAMdataPlus Original'!U4,"")</f>
        <v/>
      </c>
      <c r="V4" s="37" t="str">
        <f>IFERROR((SAMdataPlus!V4-'SAMdataPlus Original'!V4)/'SAMdataPlus Original'!V4,"")</f>
        <v/>
      </c>
      <c r="W4" s="37" t="str">
        <f>IFERROR((SAMdataPlus!W4-'SAMdataPlus Original'!W4)/'SAMdataPlus Original'!W4,"")</f>
        <v/>
      </c>
      <c r="X4" s="37">
        <f>IFERROR((SAMdataPlus!X4-'SAMdataPlus Original'!X4)/'SAMdataPlus Original'!X4,"")</f>
        <v>-0.13189245084039561</v>
      </c>
      <c r="Y4" s="37">
        <f>IFERROR((SAMdataPlus!Y4-'SAMdataPlus Original'!Y4)/'SAMdataPlus Original'!Y4,"")</f>
        <v>-0.14286147063808058</v>
      </c>
      <c r="Z4" s="37">
        <f>IFERROR((SAMdataPlus!Z4-'SAMdataPlus Original'!Z4)/'SAMdataPlus Original'!Z4,"")</f>
        <v>-0.13085627661770322</v>
      </c>
    </row>
    <row r="5" spans="1:32" x14ac:dyDescent="0.35">
      <c r="A5" t="str">
        <f>'SAMdataPlus Original'!A5</f>
        <v>Commod-4-Wholesale tradeRetail tradeTransportation and warehousing</v>
      </c>
      <c r="B5" s="37" t="str">
        <f>IFERROR((SAMdataPlus!B5-'SAMdataPlus Original'!B5)/'SAMdataPlus Original'!B5,"")</f>
        <v/>
      </c>
      <c r="C5" s="37" t="str">
        <f>IFERROR((SAMdataPlus!C5-'SAMdataPlus Original'!C5)/'SAMdataPlus Original'!C5,"")</f>
        <v/>
      </c>
      <c r="D5" s="37" t="str">
        <f>IFERROR((SAMdataPlus!D5-'SAMdataPlus Original'!D5)/'SAMdataPlus Original'!D5,"")</f>
        <v/>
      </c>
      <c r="E5" s="37" t="str">
        <f>IFERROR((SAMdataPlus!E5-'SAMdataPlus Original'!E5)/'SAMdataPlus Original'!E5,"")</f>
        <v/>
      </c>
      <c r="F5" s="37" t="str">
        <f>IFERROR((SAMdataPlus!F5-'SAMdataPlus Original'!F5)/'SAMdataPlus Original'!F5,"")</f>
        <v/>
      </c>
      <c r="G5" s="37" t="str">
        <f>IFERROR((SAMdataPlus!G5-'SAMdataPlus Original'!G5)/'SAMdataPlus Original'!G5,"")</f>
        <v/>
      </c>
      <c r="H5" s="37">
        <f>IFERROR((SAMdataPlus!H5-'SAMdataPlus Original'!H5)/'SAMdataPlus Original'!H5,"")</f>
        <v>110.92784256559767</v>
      </c>
      <c r="I5" s="37">
        <f>IFERROR((SAMdataPlus!I5-'SAMdataPlus Original'!I5)/'SAMdataPlus Original'!I5,"")</f>
        <v>27.8</v>
      </c>
      <c r="J5" s="37">
        <f>IFERROR((SAMdataPlus!J5-'SAMdataPlus Original'!J5)/'SAMdataPlus Original'!J5,"")</f>
        <v>6.7799132052076878</v>
      </c>
      <c r="K5" s="37">
        <f>IFERROR((SAMdataPlus!K5-'SAMdataPlus Original'!K5)/'SAMdataPlus Original'!K5,"")</f>
        <v>1.2888765720620083</v>
      </c>
      <c r="L5" s="37">
        <f>IFERROR((SAMdataPlus!L5-'SAMdataPlus Original'!L5)/'SAMdataPlus Original'!L5,"")</f>
        <v>16.732745607149326</v>
      </c>
      <c r="M5" s="37">
        <f>IFERROR((SAMdataPlus!M5-'SAMdataPlus Original'!M5)/'SAMdataPlus Original'!M5,"")</f>
        <v>2.6427637370620762</v>
      </c>
      <c r="N5" s="37" t="str">
        <f>IFERROR((SAMdataPlus!N5-'SAMdataPlus Original'!N5)/'SAMdataPlus Original'!N5,"")</f>
        <v/>
      </c>
      <c r="O5" s="37" t="str">
        <f>IFERROR((SAMdataPlus!O5-'SAMdataPlus Original'!O5)/'SAMdataPlus Original'!O5,"")</f>
        <v/>
      </c>
      <c r="P5" s="37" t="str">
        <f>IFERROR((SAMdataPlus!P5-'SAMdataPlus Original'!P5)/'SAMdataPlus Original'!P5,"")</f>
        <v/>
      </c>
      <c r="Q5" s="37">
        <f>IFERROR((SAMdataPlus!Q5-'SAMdataPlus Original'!Q5)/'SAMdataPlus Original'!Q5,"")</f>
        <v>6.8829475456498272</v>
      </c>
      <c r="R5" s="37">
        <f>IFERROR((SAMdataPlus!R5-'SAMdataPlus Original'!R5)/'SAMdataPlus Original'!R5,"")</f>
        <v>0.36610456223852833</v>
      </c>
      <c r="S5" s="37" t="str">
        <f>IFERROR((SAMdataPlus!S5-'SAMdataPlus Original'!S5)/'SAMdataPlus Original'!S5,"")</f>
        <v/>
      </c>
      <c r="T5" s="37" t="str">
        <f>IFERROR((SAMdataPlus!T5-'SAMdataPlus Original'!T5)/'SAMdataPlus Original'!T5,"")</f>
        <v/>
      </c>
      <c r="U5" s="37" t="str">
        <f>IFERROR((SAMdataPlus!U5-'SAMdataPlus Original'!U5)/'SAMdataPlus Original'!U5,"")</f>
        <v/>
      </c>
      <c r="V5" s="37" t="str">
        <f>IFERROR((SAMdataPlus!V5-'SAMdataPlus Original'!V5)/'SAMdataPlus Original'!V5,"")</f>
        <v/>
      </c>
      <c r="W5" s="37" t="str">
        <f>IFERROR((SAMdataPlus!W5-'SAMdataPlus Original'!W5)/'SAMdataPlus Original'!W5,"")</f>
        <v/>
      </c>
      <c r="X5" s="37" t="str">
        <f>IFERROR((SAMdataPlus!X5-'SAMdataPlus Original'!X5)/'SAMdataPlus Original'!X5,"")</f>
        <v/>
      </c>
      <c r="Y5" s="37">
        <f>IFERROR((SAMdataPlus!Y5-'SAMdataPlus Original'!Y5)/'SAMdataPlus Original'!Y5,"")</f>
        <v>4.9524403359296389</v>
      </c>
      <c r="Z5" s="37">
        <f>IFERROR((SAMdataPlus!Z5-'SAMdataPlus Original'!Z5)/'SAMdataPlus Original'!Z5,"")</f>
        <v>3.4725401088858541</v>
      </c>
    </row>
    <row r="6" spans="1:32" x14ac:dyDescent="0.35">
      <c r="A6" t="str">
        <f>'SAMdataPlus Original'!A6</f>
        <v>Commod-5-Information</v>
      </c>
      <c r="B6" s="37" t="str">
        <f>IFERROR((SAMdataPlus!B6-'SAMdataPlus Original'!B6)/'SAMdataPlus Original'!B6,"")</f>
        <v/>
      </c>
      <c r="C6" s="37" t="str">
        <f>IFERROR((SAMdataPlus!C6-'SAMdataPlus Original'!C6)/'SAMdataPlus Original'!C6,"")</f>
        <v/>
      </c>
      <c r="D6" s="37" t="str">
        <f>IFERROR((SAMdataPlus!D6-'SAMdataPlus Original'!D6)/'SAMdataPlus Original'!D6,"")</f>
        <v/>
      </c>
      <c r="E6" s="37" t="str">
        <f>IFERROR((SAMdataPlus!E6-'SAMdataPlus Original'!E6)/'SAMdataPlus Original'!E6,"")</f>
        <v/>
      </c>
      <c r="F6" s="37" t="str">
        <f>IFERROR((SAMdataPlus!F6-'SAMdataPlus Original'!F6)/'SAMdataPlus Original'!F6,"")</f>
        <v/>
      </c>
      <c r="G6" s="37" t="str">
        <f>IFERROR((SAMdataPlus!G6-'SAMdataPlus Original'!G6)/'SAMdataPlus Original'!G6,"")</f>
        <v/>
      </c>
      <c r="H6" s="37">
        <f>IFERROR((SAMdataPlus!H6-'SAMdataPlus Original'!H6)/'SAMdataPlus Original'!H6,"")</f>
        <v>25.081794195250659</v>
      </c>
      <c r="I6" s="37">
        <f>IFERROR((SAMdataPlus!I6-'SAMdataPlus Original'!I6)/'SAMdataPlus Original'!I6,"")</f>
        <v>7.3324897800272533</v>
      </c>
      <c r="J6" s="37">
        <f>IFERROR((SAMdataPlus!J6-'SAMdataPlus Original'!J6)/'SAMdataPlus Original'!J6,"")</f>
        <v>0.66675648366453355</v>
      </c>
      <c r="K6" s="37">
        <f>IFERROR((SAMdataPlus!K6-'SAMdataPlus Original'!K6)/'SAMdataPlus Original'!K6,"")</f>
        <v>2.9827431080400202</v>
      </c>
      <c r="L6" s="37">
        <f>IFERROR((SAMdataPlus!L6-'SAMdataPlus Original'!L6)/'SAMdataPlus Original'!L6,"")</f>
        <v>-3.9542452378673307E-2</v>
      </c>
      <c r="M6" s="37">
        <f>IFERROR((SAMdataPlus!M6-'SAMdataPlus Original'!M6)/'SAMdataPlus Original'!M6,"")</f>
        <v>0.10700831982615021</v>
      </c>
      <c r="N6" s="37" t="str">
        <f>IFERROR((SAMdataPlus!N6-'SAMdataPlus Original'!N6)/'SAMdataPlus Original'!N6,"")</f>
        <v/>
      </c>
      <c r="O6" s="37" t="str">
        <f>IFERROR((SAMdataPlus!O6-'SAMdataPlus Original'!O6)/'SAMdataPlus Original'!O6,"")</f>
        <v/>
      </c>
      <c r="P6" s="37" t="str">
        <f>IFERROR((SAMdataPlus!P6-'SAMdataPlus Original'!P6)/'SAMdataPlus Original'!P6,"")</f>
        <v/>
      </c>
      <c r="Q6" s="37">
        <f>IFERROR((SAMdataPlus!Q6-'SAMdataPlus Original'!Q6)/'SAMdataPlus Original'!Q6,"")</f>
        <v>-5.1939509769562471E-2</v>
      </c>
      <c r="R6" s="37">
        <f>IFERROR((SAMdataPlus!R6-'SAMdataPlus Original'!R6)/'SAMdataPlus Original'!R6,"")</f>
        <v>-0.3746895243679213</v>
      </c>
      <c r="S6" s="37" t="str">
        <f>IFERROR((SAMdataPlus!S6-'SAMdataPlus Original'!S6)/'SAMdataPlus Original'!S6,"")</f>
        <v/>
      </c>
      <c r="T6" s="37" t="str">
        <f>IFERROR((SAMdataPlus!T6-'SAMdataPlus Original'!T6)/'SAMdataPlus Original'!T6,"")</f>
        <v/>
      </c>
      <c r="U6" s="37" t="str">
        <f>IFERROR((SAMdataPlus!U6-'SAMdataPlus Original'!U6)/'SAMdataPlus Original'!U6,"")</f>
        <v/>
      </c>
      <c r="V6" s="37" t="str">
        <f>IFERROR((SAMdataPlus!V6-'SAMdataPlus Original'!V6)/'SAMdataPlus Original'!V6,"")</f>
        <v/>
      </c>
      <c r="W6" s="37" t="str">
        <f>IFERROR((SAMdataPlus!W6-'SAMdataPlus Original'!W6)/'SAMdataPlus Original'!W6,"")</f>
        <v/>
      </c>
      <c r="X6" s="37">
        <f>IFERROR((SAMdataPlus!X6-'SAMdataPlus Original'!X6)/'SAMdataPlus Original'!X6,"")</f>
        <v>0.13358635092006999</v>
      </c>
      <c r="Y6" s="37">
        <f>IFERROR((SAMdataPlus!Y6-'SAMdataPlus Original'!Y6)/'SAMdataPlus Original'!Y6,"")</f>
        <v>0.33880238490828885</v>
      </c>
      <c r="Z6" s="37">
        <f>IFERROR((SAMdataPlus!Z6-'SAMdataPlus Original'!Z6)/'SAMdataPlus Original'!Z6,"")</f>
        <v>0.11685072807711884</v>
      </c>
    </row>
    <row r="7" spans="1:32" x14ac:dyDescent="0.35">
      <c r="A7" t="str">
        <f>'SAMdataPlus Original'!A7</f>
        <v>Commod-6-Finance, insurance, real estate, rental, and leasingProfessional and business servicesEducational services, health care, and social assistanceArts, entertainment, recreation, accommodation, and food servicesOther services, except government</v>
      </c>
      <c r="B7" s="37" t="str">
        <f>IFERROR((SAMdataPlus!B7-'SAMdataPlus Original'!B7)/'SAMdataPlus Original'!B7,"")</f>
        <v/>
      </c>
      <c r="C7" s="37" t="str">
        <f>IFERROR((SAMdataPlus!C7-'SAMdataPlus Original'!C7)/'SAMdataPlus Original'!C7,"")</f>
        <v/>
      </c>
      <c r="D7" s="37" t="str">
        <f>IFERROR((SAMdataPlus!D7-'SAMdataPlus Original'!D7)/'SAMdataPlus Original'!D7,"")</f>
        <v/>
      </c>
      <c r="E7" s="37" t="str">
        <f>IFERROR((SAMdataPlus!E7-'SAMdataPlus Original'!E7)/'SAMdataPlus Original'!E7,"")</f>
        <v/>
      </c>
      <c r="F7" s="37" t="str">
        <f>IFERROR((SAMdataPlus!F7-'SAMdataPlus Original'!F7)/'SAMdataPlus Original'!F7,"")</f>
        <v/>
      </c>
      <c r="G7" s="37" t="str">
        <f>IFERROR((SAMdataPlus!G7-'SAMdataPlus Original'!G7)/'SAMdataPlus Original'!G7,"")</f>
        <v/>
      </c>
      <c r="H7" s="37">
        <f>IFERROR((SAMdataPlus!H7-'SAMdataPlus Original'!H7)/'SAMdataPlus Original'!H7,"")</f>
        <v>-0.19448720316893459</v>
      </c>
      <c r="I7" s="37">
        <f>IFERROR((SAMdataPlus!I7-'SAMdataPlus Original'!I7)/'SAMdataPlus Original'!I7,"")</f>
        <v>7.9076574284320508E-2</v>
      </c>
      <c r="J7" s="37">
        <f>IFERROR((SAMdataPlus!J7-'SAMdataPlus Original'!J7)/'SAMdataPlus Original'!J7,"")</f>
        <v>-0.20039397300886938</v>
      </c>
      <c r="K7" s="37">
        <f>IFERROR((SAMdataPlus!K7-'SAMdataPlus Original'!K7)/'SAMdataPlus Original'!K7,"")</f>
        <v>7.0036391239311463E-2</v>
      </c>
      <c r="L7" s="37">
        <f>IFERROR((SAMdataPlus!L7-'SAMdataPlus Original'!L7)/'SAMdataPlus Original'!L7,"")</f>
        <v>-0.28041967377010535</v>
      </c>
      <c r="M7" s="37">
        <f>IFERROR((SAMdataPlus!M7-'SAMdataPlus Original'!M7)/'SAMdataPlus Original'!M7,"")</f>
        <v>-1.80733998259919E-2</v>
      </c>
      <c r="N7" s="37" t="str">
        <f>IFERROR((SAMdataPlus!N7-'SAMdataPlus Original'!N7)/'SAMdataPlus Original'!N7,"")</f>
        <v/>
      </c>
      <c r="O7" s="37" t="str">
        <f>IFERROR((SAMdataPlus!O7-'SAMdataPlus Original'!O7)/'SAMdataPlus Original'!O7,"")</f>
        <v/>
      </c>
      <c r="P7" s="37" t="str">
        <f>IFERROR((SAMdataPlus!P7-'SAMdataPlus Original'!P7)/'SAMdataPlus Original'!P7,"")</f>
        <v/>
      </c>
      <c r="Q7" s="37">
        <f>IFERROR((SAMdataPlus!Q7-'SAMdataPlus Original'!Q7)/'SAMdataPlus Original'!Q7,"")</f>
        <v>-0.17554635787308398</v>
      </c>
      <c r="R7" s="37">
        <f>IFERROR((SAMdataPlus!R7-'SAMdataPlus Original'!R7)/'SAMdataPlus Original'!R7,"")</f>
        <v>-3.7226666573447871E-2</v>
      </c>
      <c r="S7" s="37" t="str">
        <f>IFERROR((SAMdataPlus!S7-'SAMdataPlus Original'!S7)/'SAMdataPlus Original'!S7,"")</f>
        <v/>
      </c>
      <c r="T7" s="37" t="str">
        <f>IFERROR((SAMdataPlus!T7-'SAMdataPlus Original'!T7)/'SAMdataPlus Original'!T7,"")</f>
        <v/>
      </c>
      <c r="U7" s="37" t="str">
        <f>IFERROR((SAMdataPlus!U7-'SAMdataPlus Original'!U7)/'SAMdataPlus Original'!U7,"")</f>
        <v/>
      </c>
      <c r="V7" s="37" t="str">
        <f>IFERROR((SAMdataPlus!V7-'SAMdataPlus Original'!V7)/'SAMdataPlus Original'!V7,"")</f>
        <v/>
      </c>
      <c r="W7" s="37" t="str">
        <f>IFERROR((SAMdataPlus!W7-'SAMdataPlus Original'!W7)/'SAMdataPlus Original'!W7,"")</f>
        <v/>
      </c>
      <c r="X7" s="37">
        <f>IFERROR((SAMdataPlus!X7-'SAMdataPlus Original'!X7)/'SAMdataPlus Original'!X7,"")</f>
        <v>-7.5096646067092321E-2</v>
      </c>
      <c r="Y7" s="37">
        <f>IFERROR((SAMdataPlus!Y7-'SAMdataPlus Original'!Y7)/'SAMdataPlus Original'!Y7,"")</f>
        <v>-0.16263051943679518</v>
      </c>
      <c r="Z7" s="37">
        <f>IFERROR((SAMdataPlus!Z7-'SAMdataPlus Original'!Z7)/'SAMdataPlus Original'!Z7,"")</f>
        <v>-4.2900373314081572E-2</v>
      </c>
    </row>
    <row r="8" spans="1:32" x14ac:dyDescent="0.35">
      <c r="A8" t="str">
        <f>'SAMdataPlus Original'!A8</f>
        <v>Sec1-Agriculture, forestry, fishing, and hunting</v>
      </c>
      <c r="B8" s="37">
        <f>IFERROR((SAMdataPlus!B8-'SAMdataPlus Original'!B8)/'SAMdataPlus Original'!B8,"")</f>
        <v>6.8089311046288584E-2</v>
      </c>
      <c r="C8" s="37" t="str">
        <f>IFERROR((SAMdataPlus!C8-'SAMdataPlus Original'!C8)/'SAMdataPlus Original'!C8,"")</f>
        <v/>
      </c>
      <c r="D8" s="37" t="str">
        <f>IFERROR((SAMdataPlus!D8-'SAMdataPlus Original'!D8)/'SAMdataPlus Original'!D8,"")</f>
        <v/>
      </c>
      <c r="E8" s="37">
        <f>IFERROR((SAMdataPlus!E8-'SAMdataPlus Original'!E8)/'SAMdataPlus Original'!E8,"")</f>
        <v>3.8366612904727315</v>
      </c>
      <c r="F8" s="37" t="str">
        <f>IFERROR((SAMdataPlus!F8-'SAMdataPlus Original'!F8)/'SAMdataPlus Original'!F8,"")</f>
        <v/>
      </c>
      <c r="G8" s="37" t="str">
        <f>IFERROR((SAMdataPlus!G8-'SAMdataPlus Original'!G8)/'SAMdataPlus Original'!G8,"")</f>
        <v/>
      </c>
      <c r="H8" s="37" t="str">
        <f>IFERROR((SAMdataPlus!H8-'SAMdataPlus Original'!H8)/'SAMdataPlus Original'!H8,"")</f>
        <v/>
      </c>
      <c r="I8" s="37" t="str">
        <f>IFERROR((SAMdataPlus!I8-'SAMdataPlus Original'!I8)/'SAMdataPlus Original'!I8,"")</f>
        <v/>
      </c>
      <c r="J8" s="37" t="str">
        <f>IFERROR((SAMdataPlus!J8-'SAMdataPlus Original'!J8)/'SAMdataPlus Original'!J8,"")</f>
        <v/>
      </c>
      <c r="K8" s="37" t="str">
        <f>IFERROR((SAMdataPlus!K8-'SAMdataPlus Original'!K8)/'SAMdataPlus Original'!K8,"")</f>
        <v/>
      </c>
      <c r="L8" s="37" t="str">
        <f>IFERROR((SAMdataPlus!L8-'SAMdataPlus Original'!L8)/'SAMdataPlus Original'!L8,"")</f>
        <v/>
      </c>
      <c r="M8" s="37" t="str">
        <f>IFERROR((SAMdataPlus!M8-'SAMdataPlus Original'!M8)/'SAMdataPlus Original'!M8,"")</f>
        <v/>
      </c>
      <c r="N8" s="37" t="str">
        <f>IFERROR((SAMdataPlus!N8-'SAMdataPlus Original'!N8)/'SAMdataPlus Original'!N8,"")</f>
        <v/>
      </c>
      <c r="O8" s="37" t="str">
        <f>IFERROR((SAMdataPlus!O8-'SAMdataPlus Original'!O8)/'SAMdataPlus Original'!O8,"")</f>
        <v/>
      </c>
      <c r="P8" s="37" t="str">
        <f>IFERROR((SAMdataPlus!P8-'SAMdataPlus Original'!P8)/'SAMdataPlus Original'!P8,"")</f>
        <v/>
      </c>
      <c r="Q8" s="37" t="str">
        <f>IFERROR((SAMdataPlus!Q8-'SAMdataPlus Original'!Q8)/'SAMdataPlus Original'!Q8,"")</f>
        <v/>
      </c>
      <c r="R8" s="37" t="str">
        <f>IFERROR((SAMdataPlus!R8-'SAMdataPlus Original'!R8)/'SAMdataPlus Original'!R8,"")</f>
        <v/>
      </c>
      <c r="S8" s="37" t="str">
        <f>IFERROR((SAMdataPlus!S8-'SAMdataPlus Original'!S8)/'SAMdataPlus Original'!S8,"")</f>
        <v/>
      </c>
      <c r="T8" s="37" t="str">
        <f>IFERROR((SAMdataPlus!T8-'SAMdataPlus Original'!T8)/'SAMdataPlus Original'!T8,"")</f>
        <v/>
      </c>
      <c r="U8" s="37" t="str">
        <f>IFERROR((SAMdataPlus!U8-'SAMdataPlus Original'!U8)/'SAMdataPlus Original'!U8,"")</f>
        <v/>
      </c>
      <c r="V8" s="37" t="str">
        <f>IFERROR((SAMdataPlus!V8-'SAMdataPlus Original'!V8)/'SAMdataPlus Original'!V8,"")</f>
        <v/>
      </c>
      <c r="W8" s="37" t="str">
        <f>IFERROR((SAMdataPlus!W8-'SAMdataPlus Original'!W8)/'SAMdataPlus Original'!W8,"")</f>
        <v/>
      </c>
      <c r="X8" s="37" t="str">
        <f>IFERROR((SAMdataPlus!X8-'SAMdataPlus Original'!X8)/'SAMdataPlus Original'!X8,"")</f>
        <v/>
      </c>
      <c r="Y8" s="37" t="str">
        <f>IFERROR((SAMdataPlus!Y8-'SAMdataPlus Original'!Y8)/'SAMdataPlus Original'!Y8,"")</f>
        <v/>
      </c>
      <c r="Z8" s="37">
        <f>IFERROR((SAMdataPlus!Z8-'SAMdataPlus Original'!Z8)/'SAMdataPlus Original'!Z8,"")</f>
        <v>0.64769215131514313</v>
      </c>
    </row>
    <row r="9" spans="1:32" x14ac:dyDescent="0.35">
      <c r="A9" t="str">
        <f>'SAMdataPlus Original'!A9</f>
        <v>Sec2-MiningUtilitiesConstruction</v>
      </c>
      <c r="B9" s="37">
        <f>IFERROR((SAMdataPlus!B9-'SAMdataPlus Original'!B9)/'SAMdataPlus Original'!B9,"")</f>
        <v>24.505301062931363</v>
      </c>
      <c r="C9" s="37">
        <f>IFERROR((SAMdataPlus!C9-'SAMdataPlus Original'!C9)/'SAMdataPlus Original'!C9,"")</f>
        <v>-3.9257883901982892E-2</v>
      </c>
      <c r="D9" s="37">
        <f>IFERROR((SAMdataPlus!D9-'SAMdataPlus Original'!D9)/'SAMdataPlus Original'!D9,"")</f>
        <v>6.070715633839102</v>
      </c>
      <c r="E9" s="37">
        <f>IFERROR((SAMdataPlus!E9-'SAMdataPlus Original'!E9)/'SAMdataPlus Original'!E9,"")</f>
        <v>-0.26145311809384492</v>
      </c>
      <c r="F9" s="37">
        <f>IFERROR((SAMdataPlus!F9-'SAMdataPlus Original'!F9)/'SAMdataPlus Original'!F9,"")</f>
        <v>0.28378354064217004</v>
      </c>
      <c r="G9" s="37">
        <f>IFERROR((SAMdataPlus!G9-'SAMdataPlus Original'!G9)/'SAMdataPlus Original'!G9,"")</f>
        <v>-0.72788560225244148</v>
      </c>
      <c r="H9" s="37" t="str">
        <f>IFERROR((SAMdataPlus!H9-'SAMdataPlus Original'!H9)/'SAMdataPlus Original'!H9,"")</f>
        <v/>
      </c>
      <c r="I9" s="37" t="str">
        <f>IFERROR((SAMdataPlus!I9-'SAMdataPlus Original'!I9)/'SAMdataPlus Original'!I9,"")</f>
        <v/>
      </c>
      <c r="J9" s="37" t="str">
        <f>IFERROR((SAMdataPlus!J9-'SAMdataPlus Original'!J9)/'SAMdataPlus Original'!J9,"")</f>
        <v/>
      </c>
      <c r="K9" s="37" t="str">
        <f>IFERROR((SAMdataPlus!K9-'SAMdataPlus Original'!K9)/'SAMdataPlus Original'!K9,"")</f>
        <v/>
      </c>
      <c r="L9" s="37" t="str">
        <f>IFERROR((SAMdataPlus!L9-'SAMdataPlus Original'!L9)/'SAMdataPlus Original'!L9,"")</f>
        <v/>
      </c>
      <c r="M9" s="37" t="str">
        <f>IFERROR((SAMdataPlus!M9-'SAMdataPlus Original'!M9)/'SAMdataPlus Original'!M9,"")</f>
        <v/>
      </c>
      <c r="N9" s="37" t="str">
        <f>IFERROR((SAMdataPlus!N9-'SAMdataPlus Original'!N9)/'SAMdataPlus Original'!N9,"")</f>
        <v/>
      </c>
      <c r="O9" s="37" t="str">
        <f>IFERROR((SAMdataPlus!O9-'SAMdataPlus Original'!O9)/'SAMdataPlus Original'!O9,"")</f>
        <v/>
      </c>
      <c r="P9" s="37" t="str">
        <f>IFERROR((SAMdataPlus!P9-'SAMdataPlus Original'!P9)/'SAMdataPlus Original'!P9,"")</f>
        <v/>
      </c>
      <c r="Q9" s="37" t="str">
        <f>IFERROR((SAMdataPlus!Q9-'SAMdataPlus Original'!Q9)/'SAMdataPlus Original'!Q9,"")</f>
        <v/>
      </c>
      <c r="R9" s="37" t="str">
        <f>IFERROR((SAMdataPlus!R9-'SAMdataPlus Original'!R9)/'SAMdataPlus Original'!R9,"")</f>
        <v/>
      </c>
      <c r="S9" s="37" t="str">
        <f>IFERROR((SAMdataPlus!S9-'SAMdataPlus Original'!S9)/'SAMdataPlus Original'!S9,"")</f>
        <v/>
      </c>
      <c r="T9" s="37" t="str">
        <f>IFERROR((SAMdataPlus!T9-'SAMdataPlus Original'!T9)/'SAMdataPlus Original'!T9,"")</f>
        <v/>
      </c>
      <c r="U9" s="37" t="str">
        <f>IFERROR((SAMdataPlus!U9-'SAMdataPlus Original'!U9)/'SAMdataPlus Original'!U9,"")</f>
        <v/>
      </c>
      <c r="V9" s="37" t="str">
        <f>IFERROR((SAMdataPlus!V9-'SAMdataPlus Original'!V9)/'SAMdataPlus Original'!V9,"")</f>
        <v/>
      </c>
      <c r="W9" s="37" t="str">
        <f>IFERROR((SAMdataPlus!W9-'SAMdataPlus Original'!W9)/'SAMdataPlus Original'!W9,"")</f>
        <v/>
      </c>
      <c r="X9" s="37" t="str">
        <f>IFERROR((SAMdataPlus!X9-'SAMdataPlus Original'!X9)/'SAMdataPlus Original'!X9,"")</f>
        <v/>
      </c>
      <c r="Y9" s="37" t="str">
        <f>IFERROR((SAMdataPlus!Y9-'SAMdataPlus Original'!Y9)/'SAMdataPlus Original'!Y9,"")</f>
        <v/>
      </c>
      <c r="Z9" s="37">
        <f>IFERROR((SAMdataPlus!Z9-'SAMdataPlus Original'!Z9)/'SAMdataPlus Original'!Z9,"")</f>
        <v>-1.3079929170214064E-2</v>
      </c>
    </row>
    <row r="10" spans="1:32" x14ac:dyDescent="0.35">
      <c r="A10" t="str">
        <f>'SAMdataPlus Original'!A10</f>
        <v>Sec3-Manufacturing</v>
      </c>
      <c r="B10" s="37">
        <f>IFERROR((SAMdataPlus!B10-'SAMdataPlus Original'!B10)/'SAMdataPlus Original'!B10,"")</f>
        <v>3229.8861023396876</v>
      </c>
      <c r="C10" s="37">
        <f>IFERROR((SAMdataPlus!C10-'SAMdataPlus Original'!C10)/'SAMdataPlus Original'!C10,"")</f>
        <v>0.82268466533841977</v>
      </c>
      <c r="D10" s="37">
        <f>IFERROR((SAMdataPlus!D10-'SAMdataPlus Original'!D10)/'SAMdataPlus Original'!D10,"")</f>
        <v>3.2176891522542536E-2</v>
      </c>
      <c r="E10" s="37">
        <f>IFERROR((SAMdataPlus!E10-'SAMdataPlus Original'!E10)/'SAMdataPlus Original'!E10,"")</f>
        <v>0.80947322084467299</v>
      </c>
      <c r="F10" s="37">
        <f>IFERROR((SAMdataPlus!F10-'SAMdataPlus Original'!F10)/'SAMdataPlus Original'!F10,"")</f>
        <v>4.4038058308679835</v>
      </c>
      <c r="G10" s="37">
        <f>IFERROR((SAMdataPlus!G10-'SAMdataPlus Original'!G10)/'SAMdataPlus Original'!G10,"")</f>
        <v>24.158847666815443</v>
      </c>
      <c r="H10" s="37" t="str">
        <f>IFERROR((SAMdataPlus!H10-'SAMdataPlus Original'!H10)/'SAMdataPlus Original'!H10,"")</f>
        <v/>
      </c>
      <c r="I10" s="37" t="str">
        <f>IFERROR((SAMdataPlus!I10-'SAMdataPlus Original'!I10)/'SAMdataPlus Original'!I10,"")</f>
        <v/>
      </c>
      <c r="J10" s="37" t="str">
        <f>IFERROR((SAMdataPlus!J10-'SAMdataPlus Original'!J10)/'SAMdataPlus Original'!J10,"")</f>
        <v/>
      </c>
      <c r="K10" s="37" t="str">
        <f>IFERROR((SAMdataPlus!K10-'SAMdataPlus Original'!K10)/'SAMdataPlus Original'!K10,"")</f>
        <v/>
      </c>
      <c r="L10" s="37" t="str">
        <f>IFERROR((SAMdataPlus!L10-'SAMdataPlus Original'!L10)/'SAMdataPlus Original'!L10,"")</f>
        <v/>
      </c>
      <c r="M10" s="37" t="str">
        <f>IFERROR((SAMdataPlus!M10-'SAMdataPlus Original'!M10)/'SAMdataPlus Original'!M10,"")</f>
        <v/>
      </c>
      <c r="N10" s="37" t="str">
        <f>IFERROR((SAMdataPlus!N10-'SAMdataPlus Original'!N10)/'SAMdataPlus Original'!N10,"")</f>
        <v/>
      </c>
      <c r="O10" s="37" t="str">
        <f>IFERROR((SAMdataPlus!O10-'SAMdataPlus Original'!O10)/'SAMdataPlus Original'!O10,"")</f>
        <v/>
      </c>
      <c r="P10" s="37" t="str">
        <f>IFERROR((SAMdataPlus!P10-'SAMdataPlus Original'!P10)/'SAMdataPlus Original'!P10,"")</f>
        <v/>
      </c>
      <c r="Q10" s="37" t="str">
        <f>IFERROR((SAMdataPlus!Q10-'SAMdataPlus Original'!Q10)/'SAMdataPlus Original'!Q10,"")</f>
        <v/>
      </c>
      <c r="R10" s="37" t="str">
        <f>IFERROR((SAMdataPlus!R10-'SAMdataPlus Original'!R10)/'SAMdataPlus Original'!R10,"")</f>
        <v/>
      </c>
      <c r="S10" s="37" t="str">
        <f>IFERROR((SAMdataPlus!S10-'SAMdataPlus Original'!S10)/'SAMdataPlus Original'!S10,"")</f>
        <v/>
      </c>
      <c r="T10" s="37" t="str">
        <f>IFERROR((SAMdataPlus!T10-'SAMdataPlus Original'!T10)/'SAMdataPlus Original'!T10,"")</f>
        <v/>
      </c>
      <c r="U10" s="37" t="str">
        <f>IFERROR((SAMdataPlus!U10-'SAMdataPlus Original'!U10)/'SAMdataPlus Original'!U10,"")</f>
        <v/>
      </c>
      <c r="V10" s="37" t="str">
        <f>IFERROR((SAMdataPlus!V10-'SAMdataPlus Original'!V10)/'SAMdataPlus Original'!V10,"")</f>
        <v/>
      </c>
      <c r="W10" s="37" t="str">
        <f>IFERROR((SAMdataPlus!W10-'SAMdataPlus Original'!W10)/'SAMdataPlus Original'!W10,"")</f>
        <v/>
      </c>
      <c r="X10" s="37" t="str">
        <f>IFERROR((SAMdataPlus!X10-'SAMdataPlus Original'!X10)/'SAMdataPlus Original'!X10,"")</f>
        <v/>
      </c>
      <c r="Y10" s="37" t="str">
        <f>IFERROR((SAMdataPlus!Y10-'SAMdataPlus Original'!Y10)/'SAMdataPlus Original'!Y10,"")</f>
        <v/>
      </c>
      <c r="Z10" s="37">
        <f>IFERROR((SAMdataPlus!Z10-'SAMdataPlus Original'!Z10)/'SAMdataPlus Original'!Z10,"")</f>
        <v>6.14102491393924E-2</v>
      </c>
    </row>
    <row r="11" spans="1:32" x14ac:dyDescent="0.35">
      <c r="A11" t="str">
        <f>'SAMdataPlus Original'!A11</f>
        <v>Sec4-Wholesale tradeRetail tradeTransportation and warehousing</v>
      </c>
      <c r="B11" s="37" t="str">
        <f>IFERROR((SAMdataPlus!B11-'SAMdataPlus Original'!B11)/'SAMdataPlus Original'!B11,"")</f>
        <v/>
      </c>
      <c r="C11" s="37">
        <f>IFERROR((SAMdataPlus!C11-'SAMdataPlus Original'!C11)/'SAMdataPlus Original'!C11,"")</f>
        <v>5.9704243266534424E-2</v>
      </c>
      <c r="D11" s="37">
        <f>IFERROR((SAMdataPlus!D11-'SAMdataPlus Original'!D11)/'SAMdataPlus Original'!D11,"")</f>
        <v>0.23572573340225308</v>
      </c>
      <c r="E11" s="37">
        <f>IFERROR((SAMdataPlus!E11-'SAMdataPlus Original'!E11)/'SAMdataPlus Original'!E11,"")</f>
        <v>-0.11424478877694798</v>
      </c>
      <c r="F11" s="37">
        <f>IFERROR((SAMdataPlus!F11-'SAMdataPlus Original'!F11)/'SAMdataPlus Original'!F11,"")</f>
        <v>-0.92032191230149785</v>
      </c>
      <c r="G11" s="37">
        <f>IFERROR((SAMdataPlus!G11-'SAMdataPlus Original'!G11)/'SAMdataPlus Original'!G11,"")</f>
        <v>1.6423465315939485</v>
      </c>
      <c r="H11" s="37" t="str">
        <f>IFERROR((SAMdataPlus!H11-'SAMdataPlus Original'!H11)/'SAMdataPlus Original'!H11,"")</f>
        <v/>
      </c>
      <c r="I11" s="37" t="str">
        <f>IFERROR((SAMdataPlus!I11-'SAMdataPlus Original'!I11)/'SAMdataPlus Original'!I11,"")</f>
        <v/>
      </c>
      <c r="J11" s="37" t="str">
        <f>IFERROR((SAMdataPlus!J11-'SAMdataPlus Original'!J11)/'SAMdataPlus Original'!J11,"")</f>
        <v/>
      </c>
      <c r="K11" s="37" t="str">
        <f>IFERROR((SAMdataPlus!K11-'SAMdataPlus Original'!K11)/'SAMdataPlus Original'!K11,"")</f>
        <v/>
      </c>
      <c r="L11" s="37" t="str">
        <f>IFERROR((SAMdataPlus!L11-'SAMdataPlus Original'!L11)/'SAMdataPlus Original'!L11,"")</f>
        <v/>
      </c>
      <c r="M11" s="37" t="str">
        <f>IFERROR((SAMdataPlus!M11-'SAMdataPlus Original'!M11)/'SAMdataPlus Original'!M11,"")</f>
        <v/>
      </c>
      <c r="N11" s="37" t="str">
        <f>IFERROR((SAMdataPlus!N11-'SAMdataPlus Original'!N11)/'SAMdataPlus Original'!N11,"")</f>
        <v/>
      </c>
      <c r="O11" s="37" t="str">
        <f>IFERROR((SAMdataPlus!O11-'SAMdataPlus Original'!O11)/'SAMdataPlus Original'!O11,"")</f>
        <v/>
      </c>
      <c r="P11" s="37" t="str">
        <f>IFERROR((SAMdataPlus!P11-'SAMdataPlus Original'!P11)/'SAMdataPlus Original'!P11,"")</f>
        <v/>
      </c>
      <c r="Q11" s="37" t="str">
        <f>IFERROR((SAMdataPlus!Q11-'SAMdataPlus Original'!Q11)/'SAMdataPlus Original'!Q11,"")</f>
        <v/>
      </c>
      <c r="R11" s="37" t="str">
        <f>IFERROR((SAMdataPlus!R11-'SAMdataPlus Original'!R11)/'SAMdataPlus Original'!R11,"")</f>
        <v/>
      </c>
      <c r="S11" s="37" t="str">
        <f>IFERROR((SAMdataPlus!S11-'SAMdataPlus Original'!S11)/'SAMdataPlus Original'!S11,"")</f>
        <v/>
      </c>
      <c r="T11" s="37" t="str">
        <f>IFERROR((SAMdataPlus!T11-'SAMdataPlus Original'!T11)/'SAMdataPlus Original'!T11,"")</f>
        <v/>
      </c>
      <c r="U11" s="37" t="str">
        <f>IFERROR((SAMdataPlus!U11-'SAMdataPlus Original'!U11)/'SAMdataPlus Original'!U11,"")</f>
        <v/>
      </c>
      <c r="V11" s="37" t="str">
        <f>IFERROR((SAMdataPlus!V11-'SAMdataPlus Original'!V11)/'SAMdataPlus Original'!V11,"")</f>
        <v/>
      </c>
      <c r="W11" s="37" t="str">
        <f>IFERROR((SAMdataPlus!W11-'SAMdataPlus Original'!W11)/'SAMdataPlus Original'!W11,"")</f>
        <v/>
      </c>
      <c r="X11" s="37" t="str">
        <f>IFERROR((SAMdataPlus!X11-'SAMdataPlus Original'!X11)/'SAMdataPlus Original'!X11,"")</f>
        <v/>
      </c>
      <c r="Y11" s="37" t="str">
        <f>IFERROR((SAMdataPlus!Y11-'SAMdataPlus Original'!Y11)/'SAMdataPlus Original'!Y11,"")</f>
        <v/>
      </c>
      <c r="Z11" s="37">
        <f>IFERROR((SAMdataPlus!Z11-'SAMdataPlus Original'!Z11)/'SAMdataPlus Original'!Z11,"")</f>
        <v>-9.2469200961764614E-2</v>
      </c>
    </row>
    <row r="12" spans="1:32" x14ac:dyDescent="0.35">
      <c r="A12" t="str">
        <f>'SAMdataPlus Original'!A12</f>
        <v>Sec5-Information</v>
      </c>
      <c r="B12" s="37" t="str">
        <f>IFERROR((SAMdataPlus!B12-'SAMdataPlus Original'!B12)/'SAMdataPlus Original'!B12,"")</f>
        <v/>
      </c>
      <c r="C12" s="37" t="str">
        <f>IFERROR((SAMdataPlus!C12-'SAMdataPlus Original'!C12)/'SAMdataPlus Original'!C12,"")</f>
        <v/>
      </c>
      <c r="D12" s="37" t="str">
        <f>IFERROR((SAMdataPlus!D12-'SAMdataPlus Original'!D12)/'SAMdataPlus Original'!D12,"")</f>
        <v/>
      </c>
      <c r="E12" s="37">
        <f>IFERROR((SAMdataPlus!E12-'SAMdataPlus Original'!E12)/'SAMdataPlus Original'!E12,"")</f>
        <v>37.888420204762177</v>
      </c>
      <c r="F12" s="37">
        <f>IFERROR((SAMdataPlus!F12-'SAMdataPlus Original'!F12)/'SAMdataPlus Original'!F12,"")</f>
        <v>5.6727922941388984E-3</v>
      </c>
      <c r="G12" s="37">
        <f>IFERROR((SAMdataPlus!G12-'SAMdataPlus Original'!G12)/'SAMdataPlus Original'!G12,"")</f>
        <v>5.2608518942960902</v>
      </c>
      <c r="H12" s="37" t="str">
        <f>IFERROR((SAMdataPlus!H12-'SAMdataPlus Original'!H12)/'SAMdataPlus Original'!H12,"")</f>
        <v/>
      </c>
      <c r="I12" s="37" t="str">
        <f>IFERROR((SAMdataPlus!I12-'SAMdataPlus Original'!I12)/'SAMdataPlus Original'!I12,"")</f>
        <v/>
      </c>
      <c r="J12" s="37" t="str">
        <f>IFERROR((SAMdataPlus!J12-'SAMdataPlus Original'!J12)/'SAMdataPlus Original'!J12,"")</f>
        <v/>
      </c>
      <c r="K12" s="37" t="str">
        <f>IFERROR((SAMdataPlus!K12-'SAMdataPlus Original'!K12)/'SAMdataPlus Original'!K12,"")</f>
        <v/>
      </c>
      <c r="L12" s="37" t="str">
        <f>IFERROR((SAMdataPlus!L12-'SAMdataPlus Original'!L12)/'SAMdataPlus Original'!L12,"")</f>
        <v/>
      </c>
      <c r="M12" s="37" t="str">
        <f>IFERROR((SAMdataPlus!M12-'SAMdataPlus Original'!M12)/'SAMdataPlus Original'!M12,"")</f>
        <v/>
      </c>
      <c r="N12" s="37" t="str">
        <f>IFERROR((SAMdataPlus!N12-'SAMdataPlus Original'!N12)/'SAMdataPlus Original'!N12,"")</f>
        <v/>
      </c>
      <c r="O12" s="37" t="str">
        <f>IFERROR((SAMdataPlus!O12-'SAMdataPlus Original'!O12)/'SAMdataPlus Original'!O12,"")</f>
        <v/>
      </c>
      <c r="P12" s="37" t="str">
        <f>IFERROR((SAMdataPlus!P12-'SAMdataPlus Original'!P12)/'SAMdataPlus Original'!P12,"")</f>
        <v/>
      </c>
      <c r="Q12" s="37" t="str">
        <f>IFERROR((SAMdataPlus!Q12-'SAMdataPlus Original'!Q12)/'SAMdataPlus Original'!Q12,"")</f>
        <v/>
      </c>
      <c r="R12" s="37" t="str">
        <f>IFERROR((SAMdataPlus!R12-'SAMdataPlus Original'!R12)/'SAMdataPlus Original'!R12,"")</f>
        <v/>
      </c>
      <c r="S12" s="37" t="str">
        <f>IFERROR((SAMdataPlus!S12-'SAMdataPlus Original'!S12)/'SAMdataPlus Original'!S12,"")</f>
        <v/>
      </c>
      <c r="T12" s="37" t="str">
        <f>IFERROR((SAMdataPlus!T12-'SAMdataPlus Original'!T12)/'SAMdataPlus Original'!T12,"")</f>
        <v/>
      </c>
      <c r="U12" s="37" t="str">
        <f>IFERROR((SAMdataPlus!U12-'SAMdataPlus Original'!U12)/'SAMdataPlus Original'!U12,"")</f>
        <v/>
      </c>
      <c r="V12" s="37" t="str">
        <f>IFERROR((SAMdataPlus!V12-'SAMdataPlus Original'!V12)/'SAMdataPlus Original'!V12,"")</f>
        <v/>
      </c>
      <c r="W12" s="37" t="str">
        <f>IFERROR((SAMdataPlus!W12-'SAMdataPlus Original'!W12)/'SAMdataPlus Original'!W12,"")</f>
        <v/>
      </c>
      <c r="X12" s="37" t="str">
        <f>IFERROR((SAMdataPlus!X12-'SAMdataPlus Original'!X12)/'SAMdataPlus Original'!X12,"")</f>
        <v/>
      </c>
      <c r="Y12" s="37" t="str">
        <f>IFERROR((SAMdataPlus!Y12-'SAMdataPlus Original'!Y12)/'SAMdataPlus Original'!Y12,"")</f>
        <v/>
      </c>
      <c r="Z12" s="37">
        <f>IFERROR((SAMdataPlus!Z12-'SAMdataPlus Original'!Z12)/'SAMdataPlus Original'!Z12,"")</f>
        <v>0.31771160633478157</v>
      </c>
    </row>
    <row r="13" spans="1:32" x14ac:dyDescent="0.35">
      <c r="A13" t="str">
        <f>'SAMdataPlus Original'!A13</f>
        <v>Sec6-Finance, insurance, real estate, rental, and leasingProfessional and business servicesEducational services, health care, and social assistanceArts, entertainment, recreation, accommodation, and food servicesOther services, except government</v>
      </c>
      <c r="B13" s="37">
        <f>IFERROR((SAMdataPlus!B13-'SAMdataPlus Original'!B13)/'SAMdataPlus Original'!B13,"")</f>
        <v>9.5075000006709836</v>
      </c>
      <c r="C13" s="37">
        <f>IFERROR((SAMdataPlus!C13-'SAMdataPlus Original'!C13)/'SAMdataPlus Original'!C13,"")</f>
        <v>5.5870246870618562E-2</v>
      </c>
      <c r="D13" s="37">
        <f>IFERROR((SAMdataPlus!D13-'SAMdataPlus Original'!D13)/'SAMdataPlus Original'!D13,"")</f>
        <v>0.80687186657833776</v>
      </c>
      <c r="E13" s="37">
        <f>IFERROR((SAMdataPlus!E13-'SAMdataPlus Original'!E13)/'SAMdataPlus Original'!E13,"")</f>
        <v>9.2469910086551109E-3</v>
      </c>
      <c r="F13" s="37">
        <f>IFERROR((SAMdataPlus!F13-'SAMdataPlus Original'!F13)/'SAMdataPlus Original'!F13,"")</f>
        <v>-7.390287023197506E-2</v>
      </c>
      <c r="G13" s="37">
        <f>IFERROR((SAMdataPlus!G13-'SAMdataPlus Original'!G13)/'SAMdataPlus Original'!G13,"")</f>
        <v>4.6678689471918861E-3</v>
      </c>
      <c r="H13" s="37" t="str">
        <f>IFERROR((SAMdataPlus!H13-'SAMdataPlus Original'!H13)/'SAMdataPlus Original'!H13,"")</f>
        <v/>
      </c>
      <c r="I13" s="37" t="str">
        <f>IFERROR((SAMdataPlus!I13-'SAMdataPlus Original'!I13)/'SAMdataPlus Original'!I13,"")</f>
        <v/>
      </c>
      <c r="J13" s="37" t="str">
        <f>IFERROR((SAMdataPlus!J13-'SAMdataPlus Original'!J13)/'SAMdataPlus Original'!J13,"")</f>
        <v/>
      </c>
      <c r="K13" s="37" t="str">
        <f>IFERROR((SAMdataPlus!K13-'SAMdataPlus Original'!K13)/'SAMdataPlus Original'!K13,"")</f>
        <v/>
      </c>
      <c r="L13" s="37" t="str">
        <f>IFERROR((SAMdataPlus!L13-'SAMdataPlus Original'!L13)/'SAMdataPlus Original'!L13,"")</f>
        <v/>
      </c>
      <c r="M13" s="37" t="str">
        <f>IFERROR((SAMdataPlus!M13-'SAMdataPlus Original'!M13)/'SAMdataPlus Original'!M13,"")</f>
        <v/>
      </c>
      <c r="N13" s="37" t="str">
        <f>IFERROR((SAMdataPlus!N13-'SAMdataPlus Original'!N13)/'SAMdataPlus Original'!N13,"")</f>
        <v/>
      </c>
      <c r="O13" s="37" t="str">
        <f>IFERROR((SAMdataPlus!O13-'SAMdataPlus Original'!O13)/'SAMdataPlus Original'!O13,"")</f>
        <v/>
      </c>
      <c r="P13" s="37" t="str">
        <f>IFERROR((SAMdataPlus!P13-'SAMdataPlus Original'!P13)/'SAMdataPlus Original'!P13,"")</f>
        <v/>
      </c>
      <c r="Q13" s="37" t="str">
        <f>IFERROR((SAMdataPlus!Q13-'SAMdataPlus Original'!Q13)/'SAMdataPlus Original'!Q13,"")</f>
        <v/>
      </c>
      <c r="R13" s="37" t="str">
        <f>IFERROR((SAMdataPlus!R13-'SAMdataPlus Original'!R13)/'SAMdataPlus Original'!R13,"")</f>
        <v/>
      </c>
      <c r="S13" s="37" t="str">
        <f>IFERROR((SAMdataPlus!S13-'SAMdataPlus Original'!S13)/'SAMdataPlus Original'!S13,"")</f>
        <v/>
      </c>
      <c r="T13" s="37" t="str">
        <f>IFERROR((SAMdataPlus!T13-'SAMdataPlus Original'!T13)/'SAMdataPlus Original'!T13,"")</f>
        <v/>
      </c>
      <c r="U13" s="37" t="str">
        <f>IFERROR((SAMdataPlus!U13-'SAMdataPlus Original'!U13)/'SAMdataPlus Original'!U13,"")</f>
        <v/>
      </c>
      <c r="V13" s="37" t="str">
        <f>IFERROR((SAMdataPlus!V13-'SAMdataPlus Original'!V13)/'SAMdataPlus Original'!V13,"")</f>
        <v/>
      </c>
      <c r="W13" s="37" t="str">
        <f>IFERROR((SAMdataPlus!W13-'SAMdataPlus Original'!W13)/'SAMdataPlus Original'!W13,"")</f>
        <v/>
      </c>
      <c r="X13" s="37" t="str">
        <f>IFERROR((SAMdataPlus!X13-'SAMdataPlus Original'!X13)/'SAMdataPlus Original'!X13,"")</f>
        <v/>
      </c>
      <c r="Y13" s="37" t="str">
        <f>IFERROR((SAMdataPlus!Y13-'SAMdataPlus Original'!Y13)/'SAMdataPlus Original'!Y13,"")</f>
        <v/>
      </c>
      <c r="Z13" s="37">
        <f>IFERROR((SAMdataPlus!Z13-'SAMdataPlus Original'!Z13)/'SAMdataPlus Original'!Z13,"")</f>
        <v>1.4978279859749179E-2</v>
      </c>
    </row>
    <row r="14" spans="1:32" x14ac:dyDescent="0.35">
      <c r="A14" t="str">
        <f>'SAMdataPlus Original'!A14</f>
        <v>Cdi</v>
      </c>
      <c r="B14" s="37" t="str">
        <f>IFERROR((SAMdataPlus!B14-'SAMdataPlus Original'!B14)/'SAMdataPlus Original'!B14,"")</f>
        <v/>
      </c>
      <c r="C14" s="37" t="str">
        <f>IFERROR((SAMdataPlus!C14-'SAMdataPlus Original'!C14)/'SAMdataPlus Original'!C14,"")</f>
        <v/>
      </c>
      <c r="D14" s="37" t="str">
        <f>IFERROR((SAMdataPlus!D14-'SAMdataPlus Original'!D14)/'SAMdataPlus Original'!D14,"")</f>
        <v/>
      </c>
      <c r="E14" s="37" t="str">
        <f>IFERROR((SAMdataPlus!E14-'SAMdataPlus Original'!E14)/'SAMdataPlus Original'!E14,"")</f>
        <v/>
      </c>
      <c r="F14" s="37" t="str">
        <f>IFERROR((SAMdataPlus!F14-'SAMdataPlus Original'!F14)/'SAMdataPlus Original'!F14,"")</f>
        <v/>
      </c>
      <c r="G14" s="37" t="str">
        <f>IFERROR((SAMdataPlus!G14-'SAMdataPlus Original'!G14)/'SAMdataPlus Original'!G14,"")</f>
        <v/>
      </c>
      <c r="H14" s="37">
        <f>IFERROR((SAMdataPlus!H14-'SAMdataPlus Original'!H14)/'SAMdataPlus Original'!H14,"")</f>
        <v>-1</v>
      </c>
      <c r="I14" s="37">
        <f>IFERROR((SAMdataPlus!I14-'SAMdataPlus Original'!I14)/'SAMdataPlus Original'!I14,"")</f>
        <v>-1</v>
      </c>
      <c r="J14" s="37">
        <f>IFERROR((SAMdataPlus!J14-'SAMdataPlus Original'!J14)/'SAMdataPlus Original'!J14,"")</f>
        <v>-1</v>
      </c>
      <c r="K14" s="37">
        <f>IFERROR((SAMdataPlus!K14-'SAMdataPlus Original'!K14)/'SAMdataPlus Original'!K14,"")</f>
        <v>-1</v>
      </c>
      <c r="L14" s="37">
        <f>IFERROR((SAMdataPlus!L14-'SAMdataPlus Original'!L14)/'SAMdataPlus Original'!L14,"")</f>
        <v>-1</v>
      </c>
      <c r="M14" s="37">
        <f>IFERROR((SAMdataPlus!M14-'SAMdataPlus Original'!M14)/'SAMdataPlus Original'!M14,"")</f>
        <v>-1</v>
      </c>
      <c r="N14" s="37" t="str">
        <f>IFERROR((SAMdataPlus!N14-'SAMdataPlus Original'!N14)/'SAMdataPlus Original'!N14,"")</f>
        <v/>
      </c>
      <c r="O14" s="37" t="str">
        <f>IFERROR((SAMdataPlus!O14-'SAMdataPlus Original'!O14)/'SAMdataPlus Original'!O14,"")</f>
        <v/>
      </c>
      <c r="P14" s="37" t="str">
        <f>IFERROR((SAMdataPlus!P14-'SAMdataPlus Original'!P14)/'SAMdataPlus Original'!P14,"")</f>
        <v/>
      </c>
      <c r="Q14" s="37" t="str">
        <f>IFERROR((SAMdataPlus!Q14-'SAMdataPlus Original'!Q14)/'SAMdataPlus Original'!Q14,"")</f>
        <v/>
      </c>
      <c r="R14" s="37" t="str">
        <f>IFERROR((SAMdataPlus!R14-'SAMdataPlus Original'!R14)/'SAMdataPlus Original'!R14,"")</f>
        <v/>
      </c>
      <c r="S14" s="37" t="str">
        <f>IFERROR((SAMdataPlus!S14-'SAMdataPlus Original'!S14)/'SAMdataPlus Original'!S14,"")</f>
        <v/>
      </c>
      <c r="T14" s="37" t="str">
        <f>IFERROR((SAMdataPlus!T14-'SAMdataPlus Original'!T14)/'SAMdataPlus Original'!T14,"")</f>
        <v/>
      </c>
      <c r="U14" s="37" t="str">
        <f>IFERROR((SAMdataPlus!U14-'SAMdataPlus Original'!U14)/'SAMdataPlus Original'!U14,"")</f>
        <v/>
      </c>
      <c r="V14" s="37" t="str">
        <f>IFERROR((SAMdataPlus!V14-'SAMdataPlus Original'!V14)/'SAMdataPlus Original'!V14,"")</f>
        <v/>
      </c>
      <c r="W14" s="37" t="str">
        <f>IFERROR((SAMdataPlus!W14-'SAMdataPlus Original'!W14)/'SAMdataPlus Original'!W14,"")</f>
        <v/>
      </c>
      <c r="X14" s="37" t="str">
        <f>IFERROR((SAMdataPlus!X14-'SAMdataPlus Original'!X14)/'SAMdataPlus Original'!X14,"")</f>
        <v/>
      </c>
      <c r="Y14" s="37" t="str">
        <f>IFERROR((SAMdataPlus!Y14-'SAMdataPlus Original'!Y14)/'SAMdataPlus Original'!Y14,"")</f>
        <v/>
      </c>
      <c r="Z14" s="37"/>
    </row>
    <row r="15" spans="1:32" x14ac:dyDescent="0.35">
      <c r="A15" t="str">
        <f>'SAMdataPlus Original'!A15</f>
        <v>Kdi</v>
      </c>
      <c r="B15" s="37" t="str">
        <f>IFERROR((SAMdataPlus!B15-'SAMdataPlus Original'!B15)/'SAMdataPlus Original'!B15,"")</f>
        <v/>
      </c>
      <c r="C15" s="37" t="str">
        <f>IFERROR((SAMdataPlus!C15-'SAMdataPlus Original'!C15)/'SAMdataPlus Original'!C15,"")</f>
        <v/>
      </c>
      <c r="D15" s="37" t="str">
        <f>IFERROR((SAMdataPlus!D15-'SAMdataPlus Original'!D15)/'SAMdataPlus Original'!D15,"")</f>
        <v/>
      </c>
      <c r="E15" s="37" t="str">
        <f>IFERROR((SAMdataPlus!E15-'SAMdataPlus Original'!E15)/'SAMdataPlus Original'!E15,"")</f>
        <v/>
      </c>
      <c r="F15" s="37" t="str">
        <f>IFERROR((SAMdataPlus!F15-'SAMdataPlus Original'!F15)/'SAMdataPlus Original'!F15,"")</f>
        <v/>
      </c>
      <c r="G15" s="37" t="str">
        <f>IFERROR((SAMdataPlus!G15-'SAMdataPlus Original'!G15)/'SAMdataPlus Original'!G15,"")</f>
        <v/>
      </c>
      <c r="H15" s="37">
        <f>IFERROR((SAMdataPlus!H15-'SAMdataPlus Original'!H15)/'SAMdataPlus Original'!H15,"")</f>
        <v>-7.8039833306416118E-2</v>
      </c>
      <c r="I15" s="37">
        <f>IFERROR((SAMdataPlus!I15-'SAMdataPlus Original'!I15)/'SAMdataPlus Original'!I15,"")</f>
        <v>0.8106243037937606</v>
      </c>
      <c r="J15" s="37">
        <f>IFERROR((SAMdataPlus!J15-'SAMdataPlus Original'!J15)/'SAMdataPlus Original'!J15,"")</f>
        <v>-1.7730008414009239E-2</v>
      </c>
      <c r="K15" s="37">
        <f>IFERROR((SAMdataPlus!K15-'SAMdataPlus Original'!K15)/'SAMdataPlus Original'!K15,"")</f>
        <v>1.3118876468725058</v>
      </c>
      <c r="L15" s="37">
        <f>IFERROR((SAMdataPlus!L15-'SAMdataPlus Original'!L15)/'SAMdataPlus Original'!L15,"")</f>
        <v>-6.1978648120745564E-2</v>
      </c>
      <c r="M15" s="37">
        <f>IFERROR((SAMdataPlus!M15-'SAMdataPlus Original'!M15)/'SAMdataPlus Original'!M15,"")</f>
        <v>-9.8858487091965977E-4</v>
      </c>
      <c r="N15" s="37" t="str">
        <f>IFERROR((SAMdataPlus!N15-'SAMdataPlus Original'!N15)/'SAMdataPlus Original'!N15,"")</f>
        <v/>
      </c>
      <c r="O15" s="37" t="str">
        <f>IFERROR((SAMdataPlus!O15-'SAMdataPlus Original'!O15)/'SAMdataPlus Original'!O15,"")</f>
        <v/>
      </c>
      <c r="P15" s="37" t="str">
        <f>IFERROR((SAMdataPlus!P15-'SAMdataPlus Original'!P15)/'SAMdataPlus Original'!P15,"")</f>
        <v/>
      </c>
      <c r="Q15" s="37">
        <f>IFERROR((SAMdataPlus!Q15-'SAMdataPlus Original'!Q15)/'SAMdataPlus Original'!Q15,"")</f>
        <v>-9.9426008652064454E-2</v>
      </c>
      <c r="R15" s="37" t="str">
        <f>IFERROR((SAMdataPlus!R15-'SAMdataPlus Original'!R15)/'SAMdataPlus Original'!R15,"")</f>
        <v/>
      </c>
      <c r="S15" s="37" t="str">
        <f>IFERROR((SAMdataPlus!S15-'SAMdataPlus Original'!S15)/'SAMdataPlus Original'!S15,"")</f>
        <v/>
      </c>
      <c r="T15" s="37" t="str">
        <f>IFERROR((SAMdataPlus!T15-'SAMdataPlus Original'!T15)/'SAMdataPlus Original'!T15,"")</f>
        <v/>
      </c>
      <c r="U15" s="37" t="str">
        <f>IFERROR((SAMdataPlus!U15-'SAMdataPlus Original'!U15)/'SAMdataPlus Original'!U15,"")</f>
        <v/>
      </c>
      <c r="V15" s="37" t="str">
        <f>IFERROR((SAMdataPlus!V15-'SAMdataPlus Original'!V15)/'SAMdataPlus Original'!V15,"")</f>
        <v/>
      </c>
      <c r="W15" s="37" t="str">
        <f>IFERROR((SAMdataPlus!W15-'SAMdataPlus Original'!W15)/'SAMdataPlus Original'!W15,"")</f>
        <v/>
      </c>
      <c r="X15" s="37" t="str">
        <f>IFERROR((SAMdataPlus!X15-'SAMdataPlus Original'!X15)/'SAMdataPlus Original'!X15,"")</f>
        <v/>
      </c>
      <c r="Y15" s="37" t="str">
        <f>IFERROR((SAMdataPlus!Y15-'SAMdataPlus Original'!Y15)/'SAMdataPlus Original'!Y15,"")</f>
        <v/>
      </c>
      <c r="Z15" s="37">
        <f>IFERROR((SAMdataPlus!Z15-'SAMdataPlus Original'!Z15)/'SAMdataPlus Original'!Z15,"")</f>
        <v>1.6572543510419396E-2</v>
      </c>
    </row>
    <row r="16" spans="1:32" x14ac:dyDescent="0.35">
      <c r="A16" t="str">
        <f>'SAMdataPlus Original'!A16</f>
        <v>Ldi</v>
      </c>
      <c r="B16" s="37" t="str">
        <f>IFERROR((SAMdataPlus!B16-'SAMdataPlus Original'!B16)/'SAMdataPlus Original'!B16,"")</f>
        <v/>
      </c>
      <c r="C16" s="37" t="str">
        <f>IFERROR((SAMdataPlus!C16-'SAMdataPlus Original'!C16)/'SAMdataPlus Original'!C16,"")</f>
        <v/>
      </c>
      <c r="D16" s="37" t="str">
        <f>IFERROR((SAMdataPlus!D16-'SAMdataPlus Original'!D16)/'SAMdataPlus Original'!D16,"")</f>
        <v/>
      </c>
      <c r="E16" s="37" t="str">
        <f>IFERROR((SAMdataPlus!E16-'SAMdataPlus Original'!E16)/'SAMdataPlus Original'!E16,"")</f>
        <v/>
      </c>
      <c r="F16" s="37" t="str">
        <f>IFERROR((SAMdataPlus!F16-'SAMdataPlus Original'!F16)/'SAMdataPlus Original'!F16,"")</f>
        <v/>
      </c>
      <c r="G16" s="37" t="str">
        <f>IFERROR((SAMdataPlus!G16-'SAMdataPlus Original'!G16)/'SAMdataPlus Original'!G16,"")</f>
        <v/>
      </c>
      <c r="H16" s="37">
        <f>IFERROR((SAMdataPlus!H16-'SAMdataPlus Original'!H16)/'SAMdataPlus Original'!H16,"")</f>
        <v>-0.16059416468237006</v>
      </c>
      <c r="I16" s="37">
        <f>IFERROR((SAMdataPlus!I16-'SAMdataPlus Original'!I16)/'SAMdataPlus Original'!I16,"")</f>
        <v>1.1449476763253295</v>
      </c>
      <c r="J16" s="37">
        <f>IFERROR((SAMdataPlus!J16-'SAMdataPlus Original'!J16)/'SAMdataPlus Original'!J16,"")</f>
        <v>-1.7559330311189895E-2</v>
      </c>
      <c r="K16" s="37">
        <f>IFERROR((SAMdataPlus!K16-'SAMdataPlus Original'!K16)/'SAMdataPlus Original'!K16,"")</f>
        <v>1.8529455702931037</v>
      </c>
      <c r="L16" s="37">
        <f>IFERROR((SAMdataPlus!L16-'SAMdataPlus Original'!L16)/'SAMdataPlus Original'!L16,"")</f>
        <v>-0.10925327285829162</v>
      </c>
      <c r="M16" s="37">
        <f>IFERROR((SAMdataPlus!M16-'SAMdataPlus Original'!M16)/'SAMdataPlus Original'!M16,"")</f>
        <v>-8.3470292496006535E-4</v>
      </c>
      <c r="N16" s="37" t="str">
        <f>IFERROR((SAMdataPlus!N16-'SAMdataPlus Original'!N16)/'SAMdataPlus Original'!N16,"")</f>
        <v/>
      </c>
      <c r="O16" s="37" t="str">
        <f>IFERROR((SAMdataPlus!O16-'SAMdataPlus Original'!O16)/'SAMdataPlus Original'!O16,"")</f>
        <v/>
      </c>
      <c r="P16" s="37" t="str">
        <f>IFERROR((SAMdataPlus!P16-'SAMdataPlus Original'!P16)/'SAMdataPlus Original'!P16,"")</f>
        <v/>
      </c>
      <c r="Q16" s="37">
        <f>IFERROR((SAMdataPlus!Q16-'SAMdataPlus Original'!Q16)/'SAMdataPlus Original'!Q16,"")</f>
        <v>-2.7674270947681941E-2</v>
      </c>
      <c r="R16" s="37" t="str">
        <f>IFERROR((SAMdataPlus!R16-'SAMdataPlus Original'!R16)/'SAMdataPlus Original'!R16,"")</f>
        <v/>
      </c>
      <c r="S16" s="37" t="str">
        <f>IFERROR((SAMdataPlus!S16-'SAMdataPlus Original'!S16)/'SAMdataPlus Original'!S16,"")</f>
        <v/>
      </c>
      <c r="T16" s="37" t="str">
        <f>IFERROR((SAMdataPlus!T16-'SAMdataPlus Original'!T16)/'SAMdataPlus Original'!T16,"")</f>
        <v/>
      </c>
      <c r="U16" s="37" t="str">
        <f>IFERROR((SAMdataPlus!U16-'SAMdataPlus Original'!U16)/'SAMdataPlus Original'!U16,"")</f>
        <v/>
      </c>
      <c r="V16" s="37" t="str">
        <f>IFERROR((SAMdataPlus!V16-'SAMdataPlus Original'!V16)/'SAMdataPlus Original'!V16,"")</f>
        <v/>
      </c>
      <c r="W16" s="37" t="str">
        <f>IFERROR((SAMdataPlus!W16-'SAMdataPlus Original'!W16)/'SAMdataPlus Original'!W16,"")</f>
        <v/>
      </c>
      <c r="X16" s="37" t="str">
        <f>IFERROR((SAMdataPlus!X16-'SAMdataPlus Original'!X16)/'SAMdataPlus Original'!X16,"")</f>
        <v/>
      </c>
      <c r="Y16" s="37" t="str">
        <f>IFERROR((SAMdataPlus!Y16-'SAMdataPlus Original'!Y16)/'SAMdataPlus Original'!Y16,"")</f>
        <v/>
      </c>
      <c r="Z16" s="37">
        <f>IFERROR((SAMdataPlus!Z16-'SAMdataPlus Original'!Z16)/'SAMdataPlus Original'!Z16,"")</f>
        <v>1.3027425590500836E-2</v>
      </c>
    </row>
    <row r="17" spans="1:26" x14ac:dyDescent="0.35">
      <c r="A17" t="str">
        <f>'SAMdataPlus Original'!A17</f>
        <v>Gov</v>
      </c>
      <c r="B17" s="37" t="str">
        <f>IFERROR((SAMdataPlus!B17-'SAMdataPlus Original'!B17)/'SAMdataPlus Original'!B17,"")</f>
        <v/>
      </c>
      <c r="C17" s="37" t="str">
        <f>IFERROR((SAMdataPlus!C17-'SAMdataPlus Original'!C17)/'SAMdataPlus Original'!C17,"")</f>
        <v/>
      </c>
      <c r="D17" s="37" t="str">
        <f>IFERROR((SAMdataPlus!D17-'SAMdataPlus Original'!D17)/'SAMdataPlus Original'!D17,"")</f>
        <v/>
      </c>
      <c r="E17" s="37" t="str">
        <f>IFERROR((SAMdataPlus!E17-'SAMdataPlus Original'!E17)/'SAMdataPlus Original'!E17,"")</f>
        <v/>
      </c>
      <c r="F17" s="37" t="str">
        <f>IFERROR((SAMdataPlus!F17-'SAMdataPlus Original'!F17)/'SAMdataPlus Original'!F17,"")</f>
        <v/>
      </c>
      <c r="G17" s="37" t="str">
        <f>IFERROR((SAMdataPlus!G17-'SAMdataPlus Original'!G17)/'SAMdataPlus Original'!G17,"")</f>
        <v/>
      </c>
      <c r="H17" s="37">
        <f>IFERROR((SAMdataPlus!H17-'SAMdataPlus Original'!H17)/'SAMdataPlus Original'!H17,"")</f>
        <v>1128.6618143061437</v>
      </c>
      <c r="I17" s="37">
        <f>IFERROR((SAMdataPlus!I17-'SAMdataPlus Original'!I17)/'SAMdataPlus Original'!I17,"")</f>
        <v>32.997126368487052</v>
      </c>
      <c r="J17" s="37">
        <f>IFERROR((SAMdataPlus!J17-'SAMdataPlus Original'!J17)/'SAMdataPlus Original'!J17,"")</f>
        <v>9.213993526299106</v>
      </c>
      <c r="K17" s="37">
        <f>IFERROR((SAMdataPlus!K17-'SAMdataPlus Original'!K17)/'SAMdataPlus Original'!K17,"")</f>
        <v>5.1903787608430259</v>
      </c>
      <c r="L17" s="37">
        <f>IFERROR((SAMdataPlus!L17-'SAMdataPlus Original'!L17)/'SAMdataPlus Original'!L17,"")</f>
        <v>11.998804730008663</v>
      </c>
      <c r="M17" s="37">
        <f>IFERROR((SAMdataPlus!M17-'SAMdataPlus Original'!M17)/'SAMdataPlus Original'!M17,"")</f>
        <v>0.64390576459516691</v>
      </c>
      <c r="N17" s="37" t="str">
        <f>IFERROR((SAMdataPlus!N17-'SAMdataPlus Original'!N17)/'SAMdataPlus Original'!N17,"")</f>
        <v/>
      </c>
      <c r="O17" s="37" t="str">
        <f>IFERROR((SAMdataPlus!O17-'SAMdataPlus Original'!O17)/'SAMdataPlus Original'!O17,"")</f>
        <v/>
      </c>
      <c r="P17" s="37" t="str">
        <f>IFERROR((SAMdataPlus!P17-'SAMdataPlus Original'!P17)/'SAMdataPlus Original'!P17,"")</f>
        <v/>
      </c>
      <c r="Q17" s="37" t="str">
        <f>IFERROR((SAMdataPlus!Q17-'SAMdataPlus Original'!Q17)/'SAMdataPlus Original'!Q17,"")</f>
        <v/>
      </c>
      <c r="R17" s="37">
        <f>IFERROR((SAMdataPlus!R17-'SAMdataPlus Original'!R17)/'SAMdataPlus Original'!R17,"")</f>
        <v>0</v>
      </c>
      <c r="S17" s="37">
        <f>IFERROR((SAMdataPlus!S17-'SAMdataPlus Original'!S17)/'SAMdataPlus Original'!S17,"")</f>
        <v>3.853077841535104E-2</v>
      </c>
      <c r="T17" s="37">
        <f>IFERROR((SAMdataPlus!T17-'SAMdataPlus Original'!T17)/'SAMdataPlus Original'!T17,"")</f>
        <v>1.6937096224003276E-2</v>
      </c>
      <c r="U17" s="37">
        <f>IFERROR((SAMdataPlus!U17-'SAMdataPlus Original'!U17)/'SAMdataPlus Original'!U17,"")</f>
        <v>4.2777894783652551E-3</v>
      </c>
      <c r="V17" s="37">
        <f>IFERROR((SAMdataPlus!V17-'SAMdataPlus Original'!V17)/'SAMdataPlus Original'!V17,"")</f>
        <v>0</v>
      </c>
      <c r="W17" s="37">
        <f>IFERROR((SAMdataPlus!W17-'SAMdataPlus Original'!W17)/'SAMdataPlus Original'!W17,"")</f>
        <v>6.3188076348943358</v>
      </c>
      <c r="X17" s="37" t="str">
        <f>IFERROR((SAMdataPlus!X17-'SAMdataPlus Original'!X17)/'SAMdataPlus Original'!X17,"")</f>
        <v/>
      </c>
      <c r="Y17" s="37">
        <f>IFERROR((SAMdataPlus!Y17-'SAMdataPlus Original'!Y17)/'SAMdataPlus Original'!Y17,"")</f>
        <v>0</v>
      </c>
      <c r="Z17" s="37">
        <f>IFERROR((SAMdataPlus!Z17-'SAMdataPlus Original'!Z17)/'SAMdataPlus Original'!Z17,"")</f>
        <v>0.14159893217220626</v>
      </c>
    </row>
    <row r="18" spans="1:26" x14ac:dyDescent="0.35">
      <c r="A18" t="str">
        <f>'SAMdataPlus Original'!A18</f>
        <v>HH</v>
      </c>
      <c r="B18" s="37" t="str">
        <f>IFERROR((SAMdataPlus!B18-'SAMdataPlus Original'!B18)/'SAMdataPlus Original'!B18,"")</f>
        <v/>
      </c>
      <c r="C18" s="37" t="str">
        <f>IFERROR((SAMdataPlus!C18-'SAMdataPlus Original'!C18)/'SAMdataPlus Original'!C18,"")</f>
        <v/>
      </c>
      <c r="D18" s="37" t="str">
        <f>IFERROR((SAMdataPlus!D18-'SAMdataPlus Original'!D18)/'SAMdataPlus Original'!D18,"")</f>
        <v/>
      </c>
      <c r="E18" s="37" t="str">
        <f>IFERROR((SAMdataPlus!E18-'SAMdataPlus Original'!E18)/'SAMdataPlus Original'!E18,"")</f>
        <v/>
      </c>
      <c r="F18" s="37" t="str">
        <f>IFERROR((SAMdataPlus!F18-'SAMdataPlus Original'!F18)/'SAMdataPlus Original'!F18,"")</f>
        <v/>
      </c>
      <c r="G18" s="37" t="str">
        <f>IFERROR((SAMdataPlus!G18-'SAMdataPlus Original'!G18)/'SAMdataPlus Original'!G18,"")</f>
        <v/>
      </c>
      <c r="H18" s="37" t="str">
        <f>IFERROR((SAMdataPlus!H18-'SAMdataPlus Original'!H18)/'SAMdataPlus Original'!H18,"")</f>
        <v/>
      </c>
      <c r="I18" s="37" t="str">
        <f>IFERROR((SAMdataPlus!I18-'SAMdataPlus Original'!I18)/'SAMdataPlus Original'!I18,"")</f>
        <v/>
      </c>
      <c r="J18" s="37" t="str">
        <f>IFERROR((SAMdataPlus!J18-'SAMdataPlus Original'!J18)/'SAMdataPlus Original'!J18,"")</f>
        <v/>
      </c>
      <c r="K18" s="37" t="str">
        <f>IFERROR((SAMdataPlus!K18-'SAMdataPlus Original'!K18)/'SAMdataPlus Original'!K18,"")</f>
        <v/>
      </c>
      <c r="L18" s="37" t="str">
        <f>IFERROR((SAMdataPlus!L18-'SAMdataPlus Original'!L18)/'SAMdataPlus Original'!L18,"")</f>
        <v/>
      </c>
      <c r="M18" s="37" t="str">
        <f>IFERROR((SAMdataPlus!M18-'SAMdataPlus Original'!M18)/'SAMdataPlus Original'!M18,"")</f>
        <v/>
      </c>
      <c r="N18" s="37" t="str">
        <f>IFERROR((SAMdataPlus!N18-'SAMdataPlus Original'!N18)/'SAMdataPlus Original'!N18,"")</f>
        <v/>
      </c>
      <c r="O18" s="37">
        <f>IFERROR((SAMdataPlus!O18-'SAMdataPlus Original'!O18)/'SAMdataPlus Original'!O18,"")</f>
        <v>1.6572543510419396E-2</v>
      </c>
      <c r="P18" s="37">
        <f>IFERROR((SAMdataPlus!P18-'SAMdataPlus Original'!P18)/'SAMdataPlus Original'!P18,"")</f>
        <v>1.3027425590500836E-2</v>
      </c>
      <c r="Q18" s="37">
        <f>IFERROR((SAMdataPlus!Q18-'SAMdataPlus Original'!Q18)/'SAMdataPlus Original'!Q18,"")</f>
        <v>0</v>
      </c>
      <c r="R18" s="37" t="str">
        <f>IFERROR((SAMdataPlus!R18-'SAMdataPlus Original'!R18)/'SAMdataPlus Original'!R18,"")</f>
        <v/>
      </c>
      <c r="S18" s="37" t="str">
        <f>IFERROR((SAMdataPlus!S18-'SAMdataPlus Original'!S18)/'SAMdataPlus Original'!S18,"")</f>
        <v/>
      </c>
      <c r="T18" s="37" t="str">
        <f>IFERROR((SAMdataPlus!T18-'SAMdataPlus Original'!T18)/'SAMdataPlus Original'!T18,"")</f>
        <v/>
      </c>
      <c r="U18" s="37" t="str">
        <f>IFERROR((SAMdataPlus!U18-'SAMdataPlus Original'!U18)/'SAMdataPlus Original'!U18,"")</f>
        <v/>
      </c>
      <c r="V18" s="37" t="str">
        <f>IFERROR((SAMdataPlus!V18-'SAMdataPlus Original'!V18)/'SAMdataPlus Original'!V18,"")</f>
        <v/>
      </c>
      <c r="W18" s="37" t="str">
        <f>IFERROR((SAMdataPlus!W18-'SAMdataPlus Original'!W18)/'SAMdataPlus Original'!W18,"")</f>
        <v/>
      </c>
      <c r="X18" s="37" t="str">
        <f>IFERROR((SAMdataPlus!X18-'SAMdataPlus Original'!X18)/'SAMdataPlus Original'!X18,"")</f>
        <v/>
      </c>
      <c r="Y18" s="37" t="str">
        <f>IFERROR((SAMdataPlus!Y18-'SAMdataPlus Original'!Y18)/'SAMdataPlus Original'!Y18,"")</f>
        <v/>
      </c>
      <c r="Z18" s="37">
        <f>IFERROR((SAMdataPlus!Z18-'SAMdataPlus Original'!Z18)/'SAMdataPlus Original'!Z18,"")</f>
        <v>1.2268783766449529E-2</v>
      </c>
    </row>
    <row r="19" spans="1:26" x14ac:dyDescent="0.35">
      <c r="A19" t="str">
        <f>'SAMdataPlus Original'!A19</f>
        <v>TaxK</v>
      </c>
      <c r="B19" s="37" t="str">
        <f>IFERROR((SAMdataPlus!B19-'SAMdataPlus Original'!B19)/'SAMdataPlus Original'!B19,"")</f>
        <v/>
      </c>
      <c r="C19" s="37" t="str">
        <f>IFERROR((SAMdataPlus!C19-'SAMdataPlus Original'!C19)/'SAMdataPlus Original'!C19,"")</f>
        <v/>
      </c>
      <c r="D19" s="37" t="str">
        <f>IFERROR((SAMdataPlus!D19-'SAMdataPlus Original'!D19)/'SAMdataPlus Original'!D19,"")</f>
        <v/>
      </c>
      <c r="E19" s="37" t="str">
        <f>IFERROR((SAMdataPlus!E19-'SAMdataPlus Original'!E19)/'SAMdataPlus Original'!E19,"")</f>
        <v/>
      </c>
      <c r="F19" s="37" t="str">
        <f>IFERROR((SAMdataPlus!F19-'SAMdataPlus Original'!F19)/'SAMdataPlus Original'!F19,"")</f>
        <v/>
      </c>
      <c r="G19" s="37" t="str">
        <f>IFERROR((SAMdataPlus!G19-'SAMdataPlus Original'!G19)/'SAMdataPlus Original'!G19,"")</f>
        <v/>
      </c>
      <c r="H19" s="37">
        <f>IFERROR((SAMdataPlus!H19-'SAMdataPlus Original'!H19)/'SAMdataPlus Original'!H19,"")</f>
        <v>-0.82594306797157158</v>
      </c>
      <c r="I19" s="37">
        <f>IFERROR((SAMdataPlus!I19-'SAMdataPlus Original'!I19)/'SAMdataPlus Original'!I19,"")</f>
        <v>5.1600365515674955</v>
      </c>
      <c r="J19" s="37">
        <f>IFERROR((SAMdataPlus!J19-'SAMdataPlus Original'!J19)/'SAMdataPlus Original'!J19,"")</f>
        <v>-0.54637678880529972</v>
      </c>
      <c r="K19" s="37">
        <f>IFERROR((SAMdataPlus!K19-'SAMdataPlus Original'!K19)/'SAMdataPlus Original'!K19,"")</f>
        <v>10.465211689737687</v>
      </c>
      <c r="L19" s="37">
        <f>IFERROR((SAMdataPlus!L19-'SAMdataPlus Original'!L19)/'SAMdataPlus Original'!L19,"")</f>
        <v>-0.65595776680586992</v>
      </c>
      <c r="M19" s="37">
        <f>IFERROR((SAMdataPlus!M19-'SAMdataPlus Original'!M19)/'SAMdataPlus Original'!M19,"")</f>
        <v>-0.10282408526125554</v>
      </c>
      <c r="N19" s="37" t="str">
        <f>IFERROR((SAMdataPlus!N19-'SAMdataPlus Original'!N19)/'SAMdataPlus Original'!N19,"")</f>
        <v/>
      </c>
      <c r="O19" s="37" t="str">
        <f>IFERROR((SAMdataPlus!O19-'SAMdataPlus Original'!O19)/'SAMdataPlus Original'!O19,"")</f>
        <v/>
      </c>
      <c r="P19" s="37" t="str">
        <f>IFERROR((SAMdataPlus!P19-'SAMdataPlus Original'!P19)/'SAMdataPlus Original'!P19,"")</f>
        <v/>
      </c>
      <c r="Q19" s="37" t="str">
        <f>IFERROR((SAMdataPlus!Q19-'SAMdataPlus Original'!Q19)/'SAMdataPlus Original'!Q19,"")</f>
        <v/>
      </c>
      <c r="R19" s="37" t="str">
        <f>IFERROR((SAMdataPlus!R19-'SAMdataPlus Original'!R19)/'SAMdataPlus Original'!R19,"")</f>
        <v/>
      </c>
      <c r="S19" s="37" t="str">
        <f>IFERROR((SAMdataPlus!S19-'SAMdataPlus Original'!S19)/'SAMdataPlus Original'!S19,"")</f>
        <v/>
      </c>
      <c r="T19" s="37" t="str">
        <f>IFERROR((SAMdataPlus!T19-'SAMdataPlus Original'!T19)/'SAMdataPlus Original'!T19,"")</f>
        <v/>
      </c>
      <c r="U19" s="37" t="str">
        <f>IFERROR((SAMdataPlus!U19-'SAMdataPlus Original'!U19)/'SAMdataPlus Original'!U19,"")</f>
        <v/>
      </c>
      <c r="V19" s="37" t="str">
        <f>IFERROR((SAMdataPlus!V19-'SAMdataPlus Original'!V19)/'SAMdataPlus Original'!V19,"")</f>
        <v/>
      </c>
      <c r="W19" s="37" t="str">
        <f>IFERROR((SAMdataPlus!W19-'SAMdataPlus Original'!W19)/'SAMdataPlus Original'!W19,"")</f>
        <v/>
      </c>
      <c r="X19" s="37" t="str">
        <f>IFERROR((SAMdataPlus!X19-'SAMdataPlus Original'!X19)/'SAMdataPlus Original'!X19,"")</f>
        <v/>
      </c>
      <c r="Y19" s="37" t="str">
        <f>IFERROR((SAMdataPlus!Y19-'SAMdataPlus Original'!Y19)/'SAMdataPlus Original'!Y19,"")</f>
        <v/>
      </c>
      <c r="Z19" s="37">
        <f>IFERROR((SAMdataPlus!Z19-'SAMdataPlus Original'!Z19)/'SAMdataPlus Original'!Z19,"")</f>
        <v>3.853077841535104E-2</v>
      </c>
    </row>
    <row r="20" spans="1:26" x14ac:dyDescent="0.35">
      <c r="A20" t="str">
        <f>'SAMdataPlus Original'!A20</f>
        <v>TaxL</v>
      </c>
      <c r="B20" s="37" t="str">
        <f>IFERROR((SAMdataPlus!B20-'SAMdataPlus Original'!B20)/'SAMdataPlus Original'!B20,"")</f>
        <v/>
      </c>
      <c r="C20" s="37" t="str">
        <f>IFERROR((SAMdataPlus!C20-'SAMdataPlus Original'!C20)/'SAMdataPlus Original'!C20,"")</f>
        <v/>
      </c>
      <c r="D20" s="37" t="str">
        <f>IFERROR((SAMdataPlus!D20-'SAMdataPlus Original'!D20)/'SAMdataPlus Original'!D20,"")</f>
        <v/>
      </c>
      <c r="E20" s="37" t="str">
        <f>IFERROR((SAMdataPlus!E20-'SAMdataPlus Original'!E20)/'SAMdataPlus Original'!E20,"")</f>
        <v/>
      </c>
      <c r="F20" s="37" t="str">
        <f>IFERROR((SAMdataPlus!F20-'SAMdataPlus Original'!F20)/'SAMdataPlus Original'!F20,"")</f>
        <v/>
      </c>
      <c r="G20" s="37" t="str">
        <f>IFERROR((SAMdataPlus!G20-'SAMdataPlus Original'!G20)/'SAMdataPlus Original'!G20,"")</f>
        <v/>
      </c>
      <c r="H20" s="37">
        <f>IFERROR((SAMdataPlus!H20-'SAMdataPlus Original'!H20)/'SAMdataPlus Original'!H20,"")</f>
        <v>-0.79329921021369398</v>
      </c>
      <c r="I20" s="37">
        <f>IFERROR((SAMdataPlus!I20-'SAMdataPlus Original'!I20)/'SAMdataPlus Original'!I20,"")</f>
        <v>3.852493646963302</v>
      </c>
      <c r="J20" s="37">
        <f>IFERROR((SAMdataPlus!J20-'SAMdataPlus Original'!J20)/'SAMdataPlus Original'!J20,"")</f>
        <v>-0.21939590675767578</v>
      </c>
      <c r="K20" s="37">
        <f>IFERROR((SAMdataPlus!K20-'SAMdataPlus Original'!K20)/'SAMdataPlus Original'!K20,"")</f>
        <v>7.3498446947330462</v>
      </c>
      <c r="L20" s="37">
        <f>IFERROR((SAMdataPlus!L20-'SAMdataPlus Original'!L20)/'SAMdataPlus Original'!L20,"")</f>
        <v>-0.94808200400839249</v>
      </c>
      <c r="M20" s="37">
        <f>IFERROR((SAMdataPlus!M20-'SAMdataPlus Original'!M20)/'SAMdataPlus Original'!M20,"")</f>
        <v>-3.324190869912487E-2</v>
      </c>
      <c r="N20" s="37" t="str">
        <f>IFERROR((SAMdataPlus!N20-'SAMdataPlus Original'!N20)/'SAMdataPlus Original'!N20,"")</f>
        <v/>
      </c>
      <c r="O20" s="37" t="str">
        <f>IFERROR((SAMdataPlus!O20-'SAMdataPlus Original'!O20)/'SAMdataPlus Original'!O20,"")</f>
        <v/>
      </c>
      <c r="P20" s="37" t="str">
        <f>IFERROR((SAMdataPlus!P20-'SAMdataPlus Original'!P20)/'SAMdataPlus Original'!P20,"")</f>
        <v/>
      </c>
      <c r="Q20" s="37" t="str">
        <f>IFERROR((SAMdataPlus!Q20-'SAMdataPlus Original'!Q20)/'SAMdataPlus Original'!Q20,"")</f>
        <v/>
      </c>
      <c r="R20" s="37" t="str">
        <f>IFERROR((SAMdataPlus!R20-'SAMdataPlus Original'!R20)/'SAMdataPlus Original'!R20,"")</f>
        <v/>
      </c>
      <c r="S20" s="37" t="str">
        <f>IFERROR((SAMdataPlus!S20-'SAMdataPlus Original'!S20)/'SAMdataPlus Original'!S20,"")</f>
        <v/>
      </c>
      <c r="T20" s="37" t="str">
        <f>IFERROR((SAMdataPlus!T20-'SAMdataPlus Original'!T20)/'SAMdataPlus Original'!T20,"")</f>
        <v/>
      </c>
      <c r="U20" s="37" t="str">
        <f>IFERROR((SAMdataPlus!U20-'SAMdataPlus Original'!U20)/'SAMdataPlus Original'!U20,"")</f>
        <v/>
      </c>
      <c r="V20" s="37" t="str">
        <f>IFERROR((SAMdataPlus!V20-'SAMdataPlus Original'!V20)/'SAMdataPlus Original'!V20,"")</f>
        <v/>
      </c>
      <c r="W20" s="37" t="str">
        <f>IFERROR((SAMdataPlus!W20-'SAMdataPlus Original'!W20)/'SAMdataPlus Original'!W20,"")</f>
        <v/>
      </c>
      <c r="X20" s="37" t="str">
        <f>IFERROR((SAMdataPlus!X20-'SAMdataPlus Original'!X20)/'SAMdataPlus Original'!X20,"")</f>
        <v/>
      </c>
      <c r="Y20" s="37" t="str">
        <f>IFERROR((SAMdataPlus!Y20-'SAMdataPlus Original'!Y20)/'SAMdataPlus Original'!Y20,"")</f>
        <v/>
      </c>
      <c r="Z20" s="37">
        <f>IFERROR((SAMdataPlus!Z20-'SAMdataPlus Original'!Z20)/'SAMdataPlus Original'!Z20,"")</f>
        <v>1.6937096224003276E-2</v>
      </c>
    </row>
    <row r="21" spans="1:26" x14ac:dyDescent="0.35">
      <c r="A21" t="str">
        <f>'SAMdataPlus Original'!A21</f>
        <v>TaxC</v>
      </c>
      <c r="B21" s="37">
        <f>IFERROR((SAMdataPlus!B21-'SAMdataPlus Original'!B21)/'SAMdataPlus Original'!B21,"")</f>
        <v>-4.240239720441191</v>
      </c>
      <c r="C21" s="37">
        <f>IFERROR((SAMdataPlus!C21-'SAMdataPlus Original'!C21)/'SAMdataPlus Original'!C21,"")</f>
        <v>-8.5463924421932486E-2</v>
      </c>
      <c r="D21" s="37">
        <f>IFERROR((SAMdataPlus!D21-'SAMdataPlus Original'!D21)/'SAMdataPlus Original'!D21,"")</f>
        <v>0.14160597720371748</v>
      </c>
      <c r="E21" s="37">
        <f>IFERROR((SAMdataPlus!E21-'SAMdataPlus Original'!E21)/'SAMdataPlus Original'!E21,"")</f>
        <v>-7.3999708124390232E-2</v>
      </c>
      <c r="F21" s="37">
        <f>IFERROR((SAMdataPlus!F21-'SAMdataPlus Original'!F21)/'SAMdataPlus Original'!F21,"")</f>
        <v>-0.6639623206173304</v>
      </c>
      <c r="G21" s="37">
        <f>IFERROR((SAMdataPlus!G21-'SAMdataPlus Original'!G21)/'SAMdataPlus Original'!G21,"")</f>
        <v>-0.2441886917352262</v>
      </c>
      <c r="H21" s="37" t="str">
        <f>IFERROR((SAMdataPlus!H21-'SAMdataPlus Original'!H21)/'SAMdataPlus Original'!H21,"")</f>
        <v/>
      </c>
      <c r="I21" s="37" t="str">
        <f>IFERROR((SAMdataPlus!I21-'SAMdataPlus Original'!I21)/'SAMdataPlus Original'!I21,"")</f>
        <v/>
      </c>
      <c r="J21" s="37" t="str">
        <f>IFERROR((SAMdataPlus!J21-'SAMdataPlus Original'!J21)/'SAMdataPlus Original'!J21,"")</f>
        <v/>
      </c>
      <c r="K21" s="37" t="str">
        <f>IFERROR((SAMdataPlus!K21-'SAMdataPlus Original'!K21)/'SAMdataPlus Original'!K21,"")</f>
        <v/>
      </c>
      <c r="L21" s="37" t="str">
        <f>IFERROR((SAMdataPlus!L21-'SAMdataPlus Original'!L21)/'SAMdataPlus Original'!L21,"")</f>
        <v/>
      </c>
      <c r="M21" s="37" t="str">
        <f>IFERROR((SAMdataPlus!M21-'SAMdataPlus Original'!M21)/'SAMdataPlus Original'!M21,"")</f>
        <v/>
      </c>
      <c r="N21" s="37" t="str">
        <f>IFERROR((SAMdataPlus!N21-'SAMdataPlus Original'!N21)/'SAMdataPlus Original'!N21,"")</f>
        <v/>
      </c>
      <c r="O21" s="37" t="str">
        <f>IFERROR((SAMdataPlus!O21-'SAMdataPlus Original'!O21)/'SAMdataPlus Original'!O21,"")</f>
        <v/>
      </c>
      <c r="P21" s="37" t="str">
        <f>IFERROR((SAMdataPlus!P21-'SAMdataPlus Original'!P21)/'SAMdataPlus Original'!P21,"")</f>
        <v/>
      </c>
      <c r="Q21" s="37" t="str">
        <f>IFERROR((SAMdataPlus!Q21-'SAMdataPlus Original'!Q21)/'SAMdataPlus Original'!Q21,"")</f>
        <v/>
      </c>
      <c r="R21" s="37" t="str">
        <f>IFERROR((SAMdataPlus!R21-'SAMdataPlus Original'!R21)/'SAMdataPlus Original'!R21,"")</f>
        <v/>
      </c>
      <c r="S21" s="37" t="str">
        <f>IFERROR((SAMdataPlus!S21-'SAMdataPlus Original'!S21)/'SAMdataPlus Original'!S21,"")</f>
        <v/>
      </c>
      <c r="T21" s="37" t="str">
        <f>IFERROR((SAMdataPlus!T21-'SAMdataPlus Original'!T21)/'SAMdataPlus Original'!T21,"")</f>
        <v/>
      </c>
      <c r="U21" s="37" t="str">
        <f>IFERROR((SAMdataPlus!U21-'SAMdataPlus Original'!U21)/'SAMdataPlus Original'!U21,"")</f>
        <v/>
      </c>
      <c r="V21" s="37" t="str">
        <f>IFERROR((SAMdataPlus!V21-'SAMdataPlus Original'!V21)/'SAMdataPlus Original'!V21,"")</f>
        <v/>
      </c>
      <c r="W21" s="37" t="str">
        <f>IFERROR((SAMdataPlus!W21-'SAMdataPlus Original'!W21)/'SAMdataPlus Original'!W21,"")</f>
        <v/>
      </c>
      <c r="X21" s="37" t="str">
        <f>IFERROR((SAMdataPlus!X21-'SAMdataPlus Original'!X21)/'SAMdataPlus Original'!X21,"")</f>
        <v/>
      </c>
      <c r="Y21" s="37" t="str">
        <f>IFERROR((SAMdataPlus!Y21-'SAMdataPlus Original'!Y21)/'SAMdataPlus Original'!Y21,"")</f>
        <v/>
      </c>
      <c r="Z21" s="37">
        <f>IFERROR((SAMdataPlus!Z21-'SAMdataPlus Original'!Z21)/'SAMdataPlus Original'!Z21,"")</f>
        <v>4.2777894783652551E-3</v>
      </c>
    </row>
    <row r="22" spans="1:26" x14ac:dyDescent="0.35">
      <c r="A22" t="str">
        <f>'SAMdataPlus Original'!A22</f>
        <v>TaxIn</v>
      </c>
      <c r="B22" s="37" t="str">
        <f>IFERROR((SAMdataPlus!B22-'SAMdataPlus Original'!B22)/'SAMdataPlus Original'!B22,"")</f>
        <v/>
      </c>
      <c r="C22" s="37" t="str">
        <f>IFERROR((SAMdataPlus!C22-'SAMdataPlus Original'!C22)/'SAMdataPlus Original'!C22,"")</f>
        <v/>
      </c>
      <c r="D22" s="37" t="str">
        <f>IFERROR((SAMdataPlus!D22-'SAMdataPlus Original'!D22)/'SAMdataPlus Original'!D22,"")</f>
        <v/>
      </c>
      <c r="E22" s="37" t="str">
        <f>IFERROR((SAMdataPlus!E22-'SAMdataPlus Original'!E22)/'SAMdataPlus Original'!E22,"")</f>
        <v/>
      </c>
      <c r="F22" s="37" t="str">
        <f>IFERROR((SAMdataPlus!F22-'SAMdataPlus Original'!F22)/'SAMdataPlus Original'!F22,"")</f>
        <v/>
      </c>
      <c r="G22" s="37" t="str">
        <f>IFERROR((SAMdataPlus!G22-'SAMdataPlus Original'!G22)/'SAMdataPlus Original'!G22,"")</f>
        <v/>
      </c>
      <c r="H22" s="37" t="str">
        <f>IFERROR((SAMdataPlus!H22-'SAMdataPlus Original'!H22)/'SAMdataPlus Original'!H22,"")</f>
        <v/>
      </c>
      <c r="I22" s="37" t="str">
        <f>IFERROR((SAMdataPlus!I22-'SAMdataPlus Original'!I22)/'SAMdataPlus Original'!I22,"")</f>
        <v/>
      </c>
      <c r="J22" s="37" t="str">
        <f>IFERROR((SAMdataPlus!J22-'SAMdataPlus Original'!J22)/'SAMdataPlus Original'!J22,"")</f>
        <v/>
      </c>
      <c r="K22" s="37" t="str">
        <f>IFERROR((SAMdataPlus!K22-'SAMdataPlus Original'!K22)/'SAMdataPlus Original'!K22,"")</f>
        <v/>
      </c>
      <c r="L22" s="37" t="str">
        <f>IFERROR((SAMdataPlus!L22-'SAMdataPlus Original'!L22)/'SAMdataPlus Original'!L22,"")</f>
        <v/>
      </c>
      <c r="M22" s="37" t="str">
        <f>IFERROR((SAMdataPlus!M22-'SAMdataPlus Original'!M22)/'SAMdataPlus Original'!M22,"")</f>
        <v/>
      </c>
      <c r="N22" s="37" t="str">
        <f>IFERROR((SAMdataPlus!N22-'SAMdataPlus Original'!N22)/'SAMdataPlus Original'!N22,"")</f>
        <v/>
      </c>
      <c r="O22" s="37" t="str">
        <f>IFERROR((SAMdataPlus!O22-'SAMdataPlus Original'!O22)/'SAMdataPlus Original'!O22,"")</f>
        <v/>
      </c>
      <c r="P22" s="37" t="str">
        <f>IFERROR((SAMdataPlus!P22-'SAMdataPlus Original'!P22)/'SAMdataPlus Original'!P22,"")</f>
        <v/>
      </c>
      <c r="Q22" s="37" t="str">
        <f>IFERROR((SAMdataPlus!Q22-'SAMdataPlus Original'!Q22)/'SAMdataPlus Original'!Q22,"")</f>
        <v/>
      </c>
      <c r="R22" s="37">
        <f>IFERROR((SAMdataPlus!R22-'SAMdataPlus Original'!R22)/'SAMdataPlus Original'!R22,"")</f>
        <v>0</v>
      </c>
      <c r="S22" s="37" t="str">
        <f>IFERROR((SAMdataPlus!S22-'SAMdataPlus Original'!S22)/'SAMdataPlus Original'!S22,"")</f>
        <v/>
      </c>
      <c r="T22" s="37" t="str">
        <f>IFERROR((SAMdataPlus!T22-'SAMdataPlus Original'!T22)/'SAMdataPlus Original'!T22,"")</f>
        <v/>
      </c>
      <c r="U22" s="37" t="str">
        <f>IFERROR((SAMdataPlus!U22-'SAMdataPlus Original'!U22)/'SAMdataPlus Original'!U22,"")</f>
        <v/>
      </c>
      <c r="V22" s="37" t="str">
        <f>IFERROR((SAMdataPlus!V22-'SAMdataPlus Original'!V22)/'SAMdataPlus Original'!V22,"")</f>
        <v/>
      </c>
      <c r="W22" s="37" t="str">
        <f>IFERROR((SAMdataPlus!W22-'SAMdataPlus Original'!W22)/'SAMdataPlus Original'!W22,"")</f>
        <v/>
      </c>
      <c r="X22" s="37" t="str">
        <f>IFERROR((SAMdataPlus!X22-'SAMdataPlus Original'!X22)/'SAMdataPlus Original'!X22,"")</f>
        <v/>
      </c>
      <c r="Y22" s="37" t="str">
        <f>IFERROR((SAMdataPlus!Y22-'SAMdataPlus Original'!Y22)/'SAMdataPlus Original'!Y22,"")</f>
        <v/>
      </c>
      <c r="Z22" s="37">
        <f>IFERROR((SAMdataPlus!Z22-'SAMdataPlus Original'!Z22)/'SAMdataPlus Original'!Z22,"")</f>
        <v>0</v>
      </c>
    </row>
    <row r="23" spans="1:26" x14ac:dyDescent="0.35">
      <c r="A23" t="str">
        <f>'SAMdataPlus Original'!A23</f>
        <v>TaxImp</v>
      </c>
      <c r="B23" s="37">
        <f>IFERROR((SAMdataPlus!B23-'SAMdataPlus Original'!B23)/'SAMdataPlus Original'!B23,"")</f>
        <v>395.70237089249292</v>
      </c>
      <c r="C23" s="37">
        <f>IFERROR((SAMdataPlus!C23-'SAMdataPlus Original'!C23)/'SAMdataPlus Original'!C23,"")</f>
        <v>-0.7763926428245792</v>
      </c>
      <c r="D23" s="37">
        <f>IFERROR((SAMdataPlus!D23-'SAMdataPlus Original'!D23)/'SAMdataPlus Original'!D23,"")</f>
        <v>4.0630541419465533</v>
      </c>
      <c r="E23" s="37" t="str">
        <f>IFERROR((SAMdataPlus!E23-'SAMdataPlus Original'!E23)/'SAMdataPlus Original'!E23,"")</f>
        <v/>
      </c>
      <c r="F23" s="37">
        <f>IFERROR((SAMdataPlus!F23-'SAMdataPlus Original'!F23)/'SAMdataPlus Original'!F23,"")</f>
        <v>298.78198443052946</v>
      </c>
      <c r="G23" s="37">
        <f>IFERROR((SAMdataPlus!G23-'SAMdataPlus Original'!G23)/'SAMdataPlus Original'!G23,"")</f>
        <v>62783.349398055383</v>
      </c>
      <c r="H23" s="37" t="str">
        <f>IFERROR((SAMdataPlus!H23-'SAMdataPlus Original'!H23)/'SAMdataPlus Original'!H23,"")</f>
        <v/>
      </c>
      <c r="I23" s="37" t="str">
        <f>IFERROR((SAMdataPlus!I23-'SAMdataPlus Original'!I23)/'SAMdataPlus Original'!I23,"")</f>
        <v/>
      </c>
      <c r="J23" s="37" t="str">
        <f>IFERROR((SAMdataPlus!J23-'SAMdataPlus Original'!J23)/'SAMdataPlus Original'!J23,"")</f>
        <v/>
      </c>
      <c r="K23" s="37" t="str">
        <f>IFERROR((SAMdataPlus!K23-'SAMdataPlus Original'!K23)/'SAMdataPlus Original'!K23,"")</f>
        <v/>
      </c>
      <c r="L23" s="37" t="str">
        <f>IFERROR((SAMdataPlus!L23-'SAMdataPlus Original'!L23)/'SAMdataPlus Original'!L23,"")</f>
        <v/>
      </c>
      <c r="M23" s="37" t="str">
        <f>IFERROR((SAMdataPlus!M23-'SAMdataPlus Original'!M23)/'SAMdataPlus Original'!M23,"")</f>
        <v/>
      </c>
      <c r="N23" s="37" t="str">
        <f>IFERROR((SAMdataPlus!N23-'SAMdataPlus Original'!N23)/'SAMdataPlus Original'!N23,"")</f>
        <v/>
      </c>
      <c r="O23" s="37" t="str">
        <f>IFERROR((SAMdataPlus!O23-'SAMdataPlus Original'!O23)/'SAMdataPlus Original'!O23,"")</f>
        <v/>
      </c>
      <c r="P23" s="37" t="str">
        <f>IFERROR((SAMdataPlus!P23-'SAMdataPlus Original'!P23)/'SAMdataPlus Original'!P23,"")</f>
        <v/>
      </c>
      <c r="Q23" s="37" t="str">
        <f>IFERROR((SAMdataPlus!Q23-'SAMdataPlus Original'!Q23)/'SAMdataPlus Original'!Q23,"")</f>
        <v/>
      </c>
      <c r="R23" s="37" t="str">
        <f>IFERROR((SAMdataPlus!R23-'SAMdataPlus Original'!R23)/'SAMdataPlus Original'!R23,"")</f>
        <v/>
      </c>
      <c r="S23" s="37" t="str">
        <f>IFERROR((SAMdataPlus!S23-'SAMdataPlus Original'!S23)/'SAMdataPlus Original'!S23,"")</f>
        <v/>
      </c>
      <c r="T23" s="37" t="str">
        <f>IFERROR((SAMdataPlus!T23-'SAMdataPlus Original'!T23)/'SAMdataPlus Original'!T23,"")</f>
        <v/>
      </c>
      <c r="U23" s="37" t="str">
        <f>IFERROR((SAMdataPlus!U23-'SAMdataPlus Original'!U23)/'SAMdataPlus Original'!U23,"")</f>
        <v/>
      </c>
      <c r="V23" s="37" t="str">
        <f>IFERROR((SAMdataPlus!V23-'SAMdataPlus Original'!V23)/'SAMdataPlus Original'!V23,"")</f>
        <v/>
      </c>
      <c r="W23" s="37" t="str">
        <f>IFERROR((SAMdataPlus!W23-'SAMdataPlus Original'!W23)/'SAMdataPlus Original'!W23,"")</f>
        <v/>
      </c>
      <c r="X23" s="37" t="str">
        <f>IFERROR((SAMdataPlus!X23-'SAMdataPlus Original'!X23)/'SAMdataPlus Original'!X23,"")</f>
        <v/>
      </c>
      <c r="Y23" s="37" t="str">
        <f>IFERROR((SAMdataPlus!Y23-'SAMdataPlus Original'!Y23)/'SAMdataPlus Original'!Y23,"")</f>
        <v/>
      </c>
      <c r="Z23" s="37">
        <f>IFERROR((SAMdataPlus!Z23-'SAMdataPlus Original'!Z23)/'SAMdataPlus Original'!Z23,"")</f>
        <v>6.3188076348943358</v>
      </c>
    </row>
    <row r="24" spans="1:26" x14ac:dyDescent="0.35">
      <c r="A24" t="str">
        <f>'SAMdataPlus Original'!A24</f>
        <v>SavInv</v>
      </c>
      <c r="B24" s="37" t="str">
        <f>IFERROR((SAMdataPlus!B24-'SAMdataPlus Original'!B24)/'SAMdataPlus Original'!B24,"")</f>
        <v/>
      </c>
      <c r="C24" s="37" t="str">
        <f>IFERROR((SAMdataPlus!C24-'SAMdataPlus Original'!C24)/'SAMdataPlus Original'!C24,"")</f>
        <v/>
      </c>
      <c r="D24" s="37" t="str">
        <f>IFERROR((SAMdataPlus!D24-'SAMdataPlus Original'!D24)/'SAMdataPlus Original'!D24,"")</f>
        <v/>
      </c>
      <c r="E24" s="37" t="str">
        <f>IFERROR((SAMdataPlus!E24-'SAMdataPlus Original'!E24)/'SAMdataPlus Original'!E24,"")</f>
        <v/>
      </c>
      <c r="F24" s="37" t="str">
        <f>IFERROR((SAMdataPlus!F24-'SAMdataPlus Original'!F24)/'SAMdataPlus Original'!F24,"")</f>
        <v/>
      </c>
      <c r="G24" s="37" t="str">
        <f>IFERROR((SAMdataPlus!G24-'SAMdataPlus Original'!G24)/'SAMdataPlus Original'!G24,"")</f>
        <v/>
      </c>
      <c r="H24" s="37" t="str">
        <f>IFERROR((SAMdataPlus!H24-'SAMdataPlus Original'!H24)/'SAMdataPlus Original'!H24,"")</f>
        <v/>
      </c>
      <c r="I24" s="37" t="str">
        <f>IFERROR((SAMdataPlus!I24-'SAMdataPlus Original'!I24)/'SAMdataPlus Original'!I24,"")</f>
        <v/>
      </c>
      <c r="J24" s="37" t="str">
        <f>IFERROR((SAMdataPlus!J24-'SAMdataPlus Original'!J24)/'SAMdataPlus Original'!J24,"")</f>
        <v/>
      </c>
      <c r="K24" s="37" t="str">
        <f>IFERROR((SAMdataPlus!K24-'SAMdataPlus Original'!K24)/'SAMdataPlus Original'!K24,"")</f>
        <v/>
      </c>
      <c r="L24" s="37" t="str">
        <f>IFERROR((SAMdataPlus!L24-'SAMdataPlus Original'!L24)/'SAMdataPlus Original'!L24,"")</f>
        <v/>
      </c>
      <c r="M24" s="37" t="str">
        <f>IFERROR((SAMdataPlus!M24-'SAMdataPlus Original'!M24)/'SAMdataPlus Original'!M24,"")</f>
        <v/>
      </c>
      <c r="N24" s="37" t="str">
        <f>IFERROR((SAMdataPlus!N24-'SAMdataPlus Original'!N24)/'SAMdataPlus Original'!N24,"")</f>
        <v/>
      </c>
      <c r="O24" s="37" t="str">
        <f>IFERROR((SAMdataPlus!O24-'SAMdataPlus Original'!O24)/'SAMdataPlus Original'!O24,"")</f>
        <v/>
      </c>
      <c r="P24" s="37" t="str">
        <f>IFERROR((SAMdataPlus!P24-'SAMdataPlus Original'!P24)/'SAMdataPlus Original'!P24,"")</f>
        <v/>
      </c>
      <c r="Q24" s="37">
        <f>IFERROR((SAMdataPlus!Q24-'SAMdataPlus Original'!Q24)/'SAMdataPlus Original'!Q24,"")</f>
        <v>-0.3120904881288955</v>
      </c>
      <c r="R24" s="37">
        <f>IFERROR((SAMdataPlus!R24-'SAMdataPlus Original'!R24)/'SAMdataPlus Original'!R24,"")</f>
        <v>4.0150407700460529E-2</v>
      </c>
      <c r="S24" s="37" t="str">
        <f>IFERROR((SAMdataPlus!S24-'SAMdataPlus Original'!S24)/'SAMdataPlus Original'!S24,"")</f>
        <v/>
      </c>
      <c r="T24" s="37" t="str">
        <f>IFERROR((SAMdataPlus!T24-'SAMdataPlus Original'!T24)/'SAMdataPlus Original'!T24,"")</f>
        <v/>
      </c>
      <c r="U24" s="37" t="str">
        <f>IFERROR((SAMdataPlus!U24-'SAMdataPlus Original'!U24)/'SAMdataPlus Original'!U24,"")</f>
        <v/>
      </c>
      <c r="V24" s="37" t="str">
        <f>IFERROR((SAMdataPlus!V24-'SAMdataPlus Original'!V24)/'SAMdataPlus Original'!V24,"")</f>
        <v/>
      </c>
      <c r="W24" s="37" t="str">
        <f>IFERROR((SAMdataPlus!W24-'SAMdataPlus Original'!W24)/'SAMdataPlus Original'!W24,"")</f>
        <v/>
      </c>
      <c r="X24" s="37" t="str">
        <f>IFERROR((SAMdataPlus!X24-'SAMdataPlus Original'!X24)/'SAMdataPlus Original'!X24,"")</f>
        <v/>
      </c>
      <c r="Y24" s="37">
        <f>IFERROR((SAMdataPlus!Y24-'SAMdataPlus Original'!Y24)/'SAMdataPlus Original'!Y24,"")</f>
        <v>0.21254672917235717</v>
      </c>
      <c r="Z24" s="37">
        <f>IFERROR((SAMdataPlus!Z24-'SAMdataPlus Original'!Z24)/'SAMdataPlus Original'!Z24,"")</f>
        <v>0.18345018716955419</v>
      </c>
    </row>
    <row r="25" spans="1:26" x14ac:dyDescent="0.35">
      <c r="A25" t="str">
        <f>'SAMdataPlus Original'!A25</f>
        <v>RoW</v>
      </c>
      <c r="B25" s="37">
        <f>IFERROR((SAMdataPlus!B25-'SAMdataPlus Original'!B25)/'SAMdataPlus Original'!B25,"")</f>
        <v>0.3704947471522832</v>
      </c>
      <c r="C25" s="37">
        <f>IFERROR((SAMdataPlus!C25-'SAMdataPlus Original'!C25)/'SAMdataPlus Original'!C25,"")</f>
        <v>-2.9823519287701206E-2</v>
      </c>
      <c r="D25" s="37">
        <f>IFERROR((SAMdataPlus!D25-'SAMdataPlus Original'!D25)/'SAMdataPlus Original'!D25,"")</f>
        <v>8.3879692347224089E-2</v>
      </c>
      <c r="E25" s="37">
        <f>IFERROR((SAMdataPlus!E25-'SAMdataPlus Original'!E25)/'SAMdataPlus Original'!E25,"")</f>
        <v>-4.0936136841476241E-2</v>
      </c>
      <c r="F25" s="37">
        <f>IFERROR((SAMdataPlus!F25-'SAMdataPlus Original'!F25)/'SAMdataPlus Original'!F25,"")</f>
        <v>-0.86079270573472577</v>
      </c>
      <c r="G25" s="37">
        <f>IFERROR((SAMdataPlus!G25-'SAMdataPlus Original'!G25)/'SAMdataPlus Original'!G25,"")</f>
        <v>0.3466969429458025</v>
      </c>
      <c r="H25" s="37" t="str">
        <f>IFERROR((SAMdataPlus!H25-'SAMdataPlus Original'!H25)/'SAMdataPlus Original'!H25,"")</f>
        <v/>
      </c>
      <c r="I25" s="37" t="str">
        <f>IFERROR((SAMdataPlus!I25-'SAMdataPlus Original'!I25)/'SAMdataPlus Original'!I25,"")</f>
        <v/>
      </c>
      <c r="J25" s="37" t="str">
        <f>IFERROR((SAMdataPlus!J25-'SAMdataPlus Original'!J25)/'SAMdataPlus Original'!J25,"")</f>
        <v/>
      </c>
      <c r="K25" s="37" t="str">
        <f>IFERROR((SAMdataPlus!K25-'SAMdataPlus Original'!K25)/'SAMdataPlus Original'!K25,"")</f>
        <v/>
      </c>
      <c r="L25" s="37" t="str">
        <f>IFERROR((SAMdataPlus!L25-'SAMdataPlus Original'!L25)/'SAMdataPlus Original'!L25,"")</f>
        <v/>
      </c>
      <c r="M25" s="37" t="str">
        <f>IFERROR((SAMdataPlus!M25-'SAMdataPlus Original'!M25)/'SAMdataPlus Original'!M25,"")</f>
        <v/>
      </c>
      <c r="N25" s="37" t="str">
        <f>IFERROR((SAMdataPlus!N25-'SAMdataPlus Original'!N25)/'SAMdataPlus Original'!N25,"")</f>
        <v/>
      </c>
      <c r="O25" s="37" t="str">
        <f>IFERROR((SAMdataPlus!O25-'SAMdataPlus Original'!O25)/'SAMdataPlus Original'!O25,"")</f>
        <v/>
      </c>
      <c r="P25" s="37" t="str">
        <f>IFERROR((SAMdataPlus!P25-'SAMdataPlus Original'!P25)/'SAMdataPlus Original'!P25,"")</f>
        <v/>
      </c>
      <c r="Q25" s="37" t="str">
        <f>IFERROR((SAMdataPlus!Q25-'SAMdataPlus Original'!Q25)/'SAMdataPlus Original'!Q25,"")</f>
        <v/>
      </c>
      <c r="R25" s="37" t="str">
        <f>IFERROR((SAMdataPlus!R25-'SAMdataPlus Original'!R25)/'SAMdataPlus Original'!R25,"")</f>
        <v/>
      </c>
      <c r="S25" s="37" t="str">
        <f>IFERROR((SAMdataPlus!S25-'SAMdataPlus Original'!S25)/'SAMdataPlus Original'!S25,"")</f>
        <v/>
      </c>
      <c r="T25" s="37" t="str">
        <f>IFERROR((SAMdataPlus!T25-'SAMdataPlus Original'!T25)/'SAMdataPlus Original'!T25,"")</f>
        <v/>
      </c>
      <c r="U25" s="37" t="str">
        <f>IFERROR((SAMdataPlus!U25-'SAMdataPlus Original'!U25)/'SAMdataPlus Original'!U25,"")</f>
        <v/>
      </c>
      <c r="V25" s="37" t="str">
        <f>IFERROR((SAMdataPlus!V25-'SAMdataPlus Original'!V25)/'SAMdataPlus Original'!V25,"")</f>
        <v/>
      </c>
      <c r="W25" s="37" t="str">
        <f>IFERROR((SAMdataPlus!W25-'SAMdataPlus Original'!W25)/'SAMdataPlus Original'!W25,"")</f>
        <v/>
      </c>
      <c r="X25" s="37" t="str">
        <f>IFERROR((SAMdataPlus!X25-'SAMdataPlus Original'!X25)/'SAMdataPlus Original'!X25,"")</f>
        <v/>
      </c>
      <c r="Y25" s="37" t="str">
        <f>IFERROR((SAMdataPlus!Y25-'SAMdataPlus Original'!Y25)/'SAMdataPlus Original'!Y25,"")</f>
        <v/>
      </c>
      <c r="Z25" s="37">
        <f>IFERROR((SAMdataPlus!Z25-'SAMdataPlus Original'!Z25)/'SAMdataPlus Original'!Z25,"")</f>
        <v>9.8757948602431728E-2</v>
      </c>
    </row>
    <row r="26" spans="1:26" x14ac:dyDescent="0.35">
      <c r="A26" t="str">
        <f>'SAMdataPlus Original'!A26</f>
        <v>Total</v>
      </c>
      <c r="B26" s="37">
        <f>IFERROR((SAMdataPlus!B26-'SAMdataPlus Original'!B26)/'SAMdataPlus Original'!B26,"")</f>
        <v>0.50678261589246032</v>
      </c>
      <c r="C26" s="37">
        <f>IFERROR((SAMdataPlus!C26-'SAMdataPlus Original'!C26)/'SAMdataPlus Original'!C26,"")</f>
        <v>-1.7824232893611097E-2</v>
      </c>
      <c r="D26" s="37">
        <f>IFERROR((SAMdataPlus!D26-'SAMdataPlus Original'!D26)/'SAMdataPlus Original'!D26,"")</f>
        <v>0.14301178012395452</v>
      </c>
      <c r="E26" s="37">
        <f>IFERROR((SAMdataPlus!E26-'SAMdataPlus Original'!E26)/'SAMdataPlus Original'!E26,"")</f>
        <v>-9.2566350434682143E-2</v>
      </c>
      <c r="F26" s="37">
        <f>IFERROR((SAMdataPlus!F26-'SAMdataPlus Original'!F26)/'SAMdataPlus Original'!F26,"")</f>
        <v>-3.2689060073401548E-2</v>
      </c>
      <c r="G26" s="37">
        <f>IFERROR((SAMdataPlus!G26-'SAMdataPlus Original'!G26)/'SAMdataPlus Original'!G26,"")</f>
        <v>3.0155347703636325E-2</v>
      </c>
      <c r="H26" s="37">
        <f>IFERROR((SAMdataPlus!H26-'SAMdataPlus Original'!H26)/'SAMdataPlus Original'!H26,"")</f>
        <v>0.5929143623113412</v>
      </c>
      <c r="I26" s="37">
        <f>IFERROR((SAMdataPlus!I26-'SAMdataPlus Original'!I26)/'SAMdataPlus Original'!I26,"")</f>
        <v>0.81922154670856018</v>
      </c>
      <c r="J26" s="37">
        <f>IFERROR((SAMdataPlus!J26-'SAMdataPlus Original'!J26)/'SAMdataPlus Original'!J26,"")</f>
        <v>-1.6694151725552595E-2</v>
      </c>
      <c r="K26" s="37">
        <f>IFERROR((SAMdataPlus!K26-'SAMdataPlus Original'!K26)/'SAMdataPlus Original'!K26,"")</f>
        <v>0.77881726739049284</v>
      </c>
      <c r="L26" s="37">
        <f>IFERROR((SAMdataPlus!L26-'SAMdataPlus Original'!L26)/'SAMdataPlus Original'!L26,"")</f>
        <v>-6.1920906808234965E-3</v>
      </c>
      <c r="M26" s="37">
        <f>IFERROR((SAMdataPlus!M26-'SAMdataPlus Original'!M26)/'SAMdataPlus Original'!M26,"")</f>
        <v>3.4467525783446716E-3</v>
      </c>
      <c r="N26" s="37" t="str">
        <f>IFERROR((SAMdataPlus!N26-'SAMdataPlus Original'!N26)/'SAMdataPlus Original'!N26,"")</f>
        <v/>
      </c>
      <c r="O26" s="37">
        <f>IFERROR((SAMdataPlus!O26-'SAMdataPlus Original'!O26)/'SAMdataPlus Original'!O26,"")</f>
        <v>1.6572543510419396E-2</v>
      </c>
      <c r="P26" s="37">
        <f>IFERROR((SAMdataPlus!P26-'SAMdataPlus Original'!P26)/'SAMdataPlus Original'!P26,"")</f>
        <v>1.3027425590500836E-2</v>
      </c>
      <c r="Q26" s="37">
        <f>IFERROR((SAMdataPlus!Q26-'SAMdataPlus Original'!Q26)/'SAMdataPlus Original'!Q26,"")</f>
        <v>2.710881976454577E-2</v>
      </c>
      <c r="R26" s="37">
        <f>IFERROR((SAMdataPlus!R26-'SAMdataPlus Original'!R26)/'SAMdataPlus Original'!R26,"")</f>
        <v>-5.0946289385091957E-2</v>
      </c>
      <c r="S26" s="37">
        <f>IFERROR((SAMdataPlus!S26-'SAMdataPlus Original'!S26)/'SAMdataPlus Original'!S26,"")</f>
        <v>3.853077841535104E-2</v>
      </c>
      <c r="T26" s="37">
        <f>IFERROR((SAMdataPlus!T26-'SAMdataPlus Original'!T26)/'SAMdataPlus Original'!T26,"")</f>
        <v>1.6937096224003276E-2</v>
      </c>
      <c r="U26" s="37">
        <f>IFERROR((SAMdataPlus!U26-'SAMdataPlus Original'!U26)/'SAMdataPlus Original'!U26,"")</f>
        <v>4.2777894783652551E-3</v>
      </c>
      <c r="V26" s="37">
        <f>IFERROR((SAMdataPlus!V26-'SAMdataPlus Original'!V26)/'SAMdataPlus Original'!V26,"")</f>
        <v>0</v>
      </c>
      <c r="W26" s="37">
        <f>IFERROR((SAMdataPlus!W26-'SAMdataPlus Original'!W26)/'SAMdataPlus Original'!W26,"")</f>
        <v>6.3188076348943358</v>
      </c>
      <c r="X26" s="37">
        <f>IFERROR((SAMdataPlus!X26-'SAMdataPlus Original'!X26)/'SAMdataPlus Original'!X26,"")</f>
        <v>4.0150407700460529E-2</v>
      </c>
      <c r="Y26" s="37">
        <f>IFERROR((SAMdataPlus!Y26-'SAMdataPlus Original'!Y26)/'SAMdataPlus Original'!Y26,"")</f>
        <v>9.8757948602431728E-2</v>
      </c>
      <c r="Z26" s="37" t="str">
        <f>IFERROR((SAMdataPlus!Z26-'SAMdataPlus Original'!Z26)/'SAMdataPlus Original'!Z26,"")</f>
        <v/>
      </c>
    </row>
    <row r="27" spans="1:26" x14ac:dyDescent="0.35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5">
      <c r="B28" s="37" t="str">
        <f>IFERROR((SAMdataPlus!G33-'SAMdataPlus Original'!C28)/'SAMdataPlus Original'!C28,"")</f>
        <v/>
      </c>
      <c r="C28" s="37" t="str">
        <f>IFERROR((SAMdataPlus!H33-'SAMdataPlus Original'!D28)/'SAMdataPlus Original'!D28,"")</f>
        <v/>
      </c>
      <c r="D28" s="37" t="str">
        <f>IFERROR((SAMdataPlus!I33-'SAMdataPlus Original'!E28)/'SAMdataPlus Original'!E28,"")</f>
        <v/>
      </c>
      <c r="E28" s="37" t="str">
        <f>IFERROR((SAMdataPlus!J33-'SAMdataPlus Original'!F28)/'SAMdataPlus Original'!F28,"")</f>
        <v/>
      </c>
      <c r="F28" s="37" t="str">
        <f>IFERROR((SAMdataPlus!K33-'SAMdataPlus Original'!G28)/'SAMdataPlus Original'!G28,"")</f>
        <v/>
      </c>
      <c r="G28" s="37" t="str">
        <f>IFERROR((SAMdataPlus!L33-'SAMdataPlus Original'!H28)/'SAMdataPlus Original'!H28,"")</f>
        <v/>
      </c>
      <c r="H28" s="37" t="str">
        <f>IFERROR((SAMdataPlus!M33-'SAMdataPlus Original'!I28)/'SAMdataPlus Original'!I28,"")</f>
        <v/>
      </c>
      <c r="I28" s="37" t="str">
        <f>IFERROR((SAMdataPlus!N33-'SAMdataPlus Original'!J28)/'SAMdataPlus Original'!J28,"")</f>
        <v/>
      </c>
      <c r="J28" s="37" t="str">
        <f>IFERROR((SAMdataPlus!O33-'SAMdataPlus Original'!K28)/'SAMdataPlus Original'!K28,"")</f>
        <v/>
      </c>
      <c r="K28" s="37" t="str">
        <f>IFERROR((SAMdataPlus!P33-'SAMdataPlus Original'!L28)/'SAMdataPlus Original'!L28,"")</f>
        <v/>
      </c>
      <c r="L28" s="37" t="str">
        <f>IFERROR((SAMdataPlus!Q33-'SAMdataPlus Original'!M28)/'SAMdataPlus Original'!M28,"")</f>
        <v/>
      </c>
      <c r="M28" s="37" t="str">
        <f>IFERROR((SAMdataPlus!R33-'SAMdataPlus Original'!N28)/'SAMdataPlus Original'!N28,"")</f>
        <v/>
      </c>
      <c r="N28" s="37" t="str">
        <f>IFERROR((SAMdataPlus!S33-'SAMdataPlus Original'!O28)/'SAMdataPlus Original'!O28,"")</f>
        <v/>
      </c>
      <c r="O28" s="37" t="str">
        <f>IFERROR((SAMdataPlus!T33-'SAMdataPlus Original'!P28)/'SAMdataPlus Original'!P28,"")</f>
        <v/>
      </c>
      <c r="P28" s="37" t="str">
        <f>IFERROR((SAMdataPlus!U33-'SAMdataPlus Original'!Q28)/'SAMdataPlus Original'!Q28,"")</f>
        <v/>
      </c>
      <c r="Q28" s="37" t="str">
        <f>IFERROR((SAMdataPlus!V33-'SAMdataPlus Original'!R28)/'SAMdataPlus Original'!R28,"")</f>
        <v/>
      </c>
      <c r="R28" s="37" t="str">
        <f>IFERROR((SAMdataPlus!W33-'SAMdataPlus Original'!S28)/'SAMdataPlus Original'!S28,"")</f>
        <v/>
      </c>
      <c r="S28" s="37" t="str">
        <f>IFERROR((SAMdataPlus!X33-'SAMdataPlus Original'!T28)/'SAMdataPlus Original'!T28,"")</f>
        <v/>
      </c>
      <c r="T28" s="37" t="str">
        <f>IFERROR((SAMdataPlus!Y33-'SAMdataPlus Original'!U28)/'SAMdataPlus Original'!U28,"")</f>
        <v/>
      </c>
      <c r="U28" s="37" t="str">
        <f>IFERROR((SAMdataPlus!Z33-'SAMdataPlus Original'!V28)/'SAMdataPlus Original'!V28,"")</f>
        <v/>
      </c>
      <c r="V28" s="37" t="str">
        <f>IFERROR((SAMdataPlus!AA33-'SAMdataPlus Original'!W28)/'SAMdataPlus Original'!W28,"")</f>
        <v/>
      </c>
      <c r="W28" s="37" t="str">
        <f>IFERROR((SAMdataPlus!AB33-'SAMdataPlus Original'!X28)/'SAMdataPlus Original'!X28,"")</f>
        <v/>
      </c>
      <c r="X28" s="37" t="str">
        <f>IFERROR((SAMdataPlus!AC33-'SAMdataPlus Original'!Y28)/'SAMdataPlus Original'!Y28,"")</f>
        <v/>
      </c>
      <c r="Y28" s="37" t="str">
        <f>IFERROR((SAMdataPlus!AD33-'SAMdataPlus Original'!Z28)/'SAMdataPlus Original'!Z28,"")</f>
        <v/>
      </c>
      <c r="Z28" s="37" t="str">
        <f>IFERROR((SAMdataPlus!AE33-'SAMdataPlus Original'!AA28)/'SAMdataPlus Original'!AA28,"")</f>
        <v/>
      </c>
    </row>
    <row r="29" spans="1:26" x14ac:dyDescent="0.35">
      <c r="B29" s="37" t="str">
        <f>IFERROR((SAMdataPlus!G34-'SAMdataPlus Original'!C29)/'SAMdataPlus Original'!C29,"")</f>
        <v/>
      </c>
      <c r="C29" s="37" t="str">
        <f>IFERROR((SAMdataPlus!H34-'SAMdataPlus Original'!D29)/'SAMdataPlus Original'!D29,"")</f>
        <v/>
      </c>
      <c r="D29" s="37" t="str">
        <f>IFERROR((SAMdataPlus!I34-'SAMdataPlus Original'!E29)/'SAMdataPlus Original'!E29,"")</f>
        <v/>
      </c>
      <c r="E29" s="37" t="str">
        <f>IFERROR((SAMdataPlus!J34-'SAMdataPlus Original'!F29)/'SAMdataPlus Original'!F29,"")</f>
        <v/>
      </c>
      <c r="F29" s="37" t="str">
        <f>IFERROR((SAMdataPlus!K34-'SAMdataPlus Original'!G29)/'SAMdataPlus Original'!G29,"")</f>
        <v/>
      </c>
      <c r="G29" s="37" t="str">
        <f>IFERROR((SAMdataPlus!L34-'SAMdataPlus Original'!H29)/'SAMdataPlus Original'!H29,"")</f>
        <v/>
      </c>
      <c r="H29" s="37" t="str">
        <f>IFERROR((SAMdataPlus!M34-'SAMdataPlus Original'!I29)/'SAMdataPlus Original'!I29,"")</f>
        <v/>
      </c>
      <c r="I29" s="37" t="str">
        <f>IFERROR((SAMdataPlus!N34-'SAMdataPlus Original'!J29)/'SAMdataPlus Original'!J29,"")</f>
        <v/>
      </c>
      <c r="J29" s="37" t="str">
        <f>IFERROR((SAMdataPlus!O34-'SAMdataPlus Original'!K29)/'SAMdataPlus Original'!K29,"")</f>
        <v/>
      </c>
      <c r="K29" s="37" t="str">
        <f>IFERROR((SAMdataPlus!P34-'SAMdataPlus Original'!L29)/'SAMdataPlus Original'!L29,"")</f>
        <v/>
      </c>
      <c r="L29" s="37" t="str">
        <f>IFERROR((SAMdataPlus!Q34-'SAMdataPlus Original'!M29)/'SAMdataPlus Original'!M29,"")</f>
        <v/>
      </c>
      <c r="M29" s="37" t="str">
        <f>IFERROR((SAMdataPlus!R34-'SAMdataPlus Original'!N29)/'SAMdataPlus Original'!N29,"")</f>
        <v/>
      </c>
      <c r="N29" s="37" t="str">
        <f>IFERROR((SAMdataPlus!S34-'SAMdataPlus Original'!O29)/'SAMdataPlus Original'!O29,"")</f>
        <v/>
      </c>
      <c r="O29" s="37" t="str">
        <f>IFERROR((SAMdataPlus!T34-'SAMdataPlus Original'!P29)/'SAMdataPlus Original'!P29,"")</f>
        <v/>
      </c>
      <c r="P29" s="37" t="str">
        <f>IFERROR((SAMdataPlus!U34-'SAMdataPlus Original'!Q29)/'SAMdataPlus Original'!Q29,"")</f>
        <v/>
      </c>
      <c r="Q29" s="37" t="str">
        <f>IFERROR((SAMdataPlus!V34-'SAMdataPlus Original'!R29)/'SAMdataPlus Original'!R29,"")</f>
        <v/>
      </c>
      <c r="R29" s="37" t="str">
        <f>IFERROR((SAMdataPlus!W34-'SAMdataPlus Original'!S29)/'SAMdataPlus Original'!S29,"")</f>
        <v/>
      </c>
      <c r="S29" s="37" t="str">
        <f>IFERROR((SAMdataPlus!X34-'SAMdataPlus Original'!T29)/'SAMdataPlus Original'!T29,"")</f>
        <v/>
      </c>
      <c r="T29" s="37" t="str">
        <f>IFERROR((SAMdataPlus!Y34-'SAMdataPlus Original'!U29)/'SAMdataPlus Original'!U29,"")</f>
        <v/>
      </c>
      <c r="U29" s="37" t="str">
        <f>IFERROR((SAMdataPlus!Z34-'SAMdataPlus Original'!V29)/'SAMdataPlus Original'!V29,"")</f>
        <v/>
      </c>
      <c r="V29" s="37" t="str">
        <f>IFERROR((SAMdataPlus!AA34-'SAMdataPlus Original'!W29)/'SAMdataPlus Original'!W29,"")</f>
        <v/>
      </c>
      <c r="W29" s="37" t="str">
        <f>IFERROR((SAMdataPlus!AB34-'SAMdataPlus Original'!X29)/'SAMdataPlus Original'!X29,"")</f>
        <v/>
      </c>
      <c r="X29" s="37" t="str">
        <f>IFERROR((SAMdataPlus!AC34-'SAMdataPlus Original'!Y29)/'SAMdataPlus Original'!Y29,"")</f>
        <v/>
      </c>
      <c r="Y29" s="37" t="str">
        <f>IFERROR((SAMdataPlus!AD34-'SAMdataPlus Original'!Z29)/'SAMdataPlus Original'!Z29,"")</f>
        <v/>
      </c>
      <c r="Z29" s="37" t="str">
        <f>IFERROR((SAMdataPlus!AE34-'SAMdataPlus Original'!AA29)/'SAMdataPlus Original'!AA29,"")</f>
        <v/>
      </c>
    </row>
    <row r="30" spans="1:26" x14ac:dyDescent="0.35">
      <c r="B30" s="37" t="str">
        <f>IFERROR((SAMdataPlus!G35-'SAMdataPlus Original'!C30)/'SAMdataPlus Original'!C30,"")</f>
        <v/>
      </c>
      <c r="C30" s="37" t="str">
        <f>IFERROR((SAMdataPlus!H35-'SAMdataPlus Original'!D30)/'SAMdataPlus Original'!D30,"")</f>
        <v/>
      </c>
      <c r="D30" s="37" t="str">
        <f>IFERROR((SAMdataPlus!I35-'SAMdataPlus Original'!E30)/'SAMdataPlus Original'!E30,"")</f>
        <v/>
      </c>
      <c r="E30" s="37" t="str">
        <f>IFERROR((SAMdataPlus!J35-'SAMdataPlus Original'!F30)/'SAMdataPlus Original'!F30,"")</f>
        <v/>
      </c>
      <c r="F30" s="37" t="str">
        <f>IFERROR((SAMdataPlus!K35-'SAMdataPlus Original'!G30)/'SAMdataPlus Original'!G30,"")</f>
        <v/>
      </c>
      <c r="G30" s="37" t="str">
        <f>IFERROR((SAMdataPlus!L35-'SAMdataPlus Original'!H30)/'SAMdataPlus Original'!H30,"")</f>
        <v/>
      </c>
      <c r="H30" s="37" t="str">
        <f>IFERROR((SAMdataPlus!M35-'SAMdataPlus Original'!I30)/'SAMdataPlus Original'!I30,"")</f>
        <v/>
      </c>
      <c r="I30" s="37" t="str">
        <f>IFERROR((SAMdataPlus!N35-'SAMdataPlus Original'!J30)/'SAMdataPlus Original'!J30,"")</f>
        <v/>
      </c>
      <c r="J30" s="37" t="str">
        <f>IFERROR((SAMdataPlus!O35-'SAMdataPlus Original'!K30)/'SAMdataPlus Original'!K30,"")</f>
        <v/>
      </c>
      <c r="K30" s="37" t="str">
        <f>IFERROR((SAMdataPlus!P35-'SAMdataPlus Original'!L30)/'SAMdataPlus Original'!L30,"")</f>
        <v/>
      </c>
      <c r="L30" s="37" t="str">
        <f>IFERROR((SAMdataPlus!Q35-'SAMdataPlus Original'!M30)/'SAMdataPlus Original'!M30,"")</f>
        <v/>
      </c>
      <c r="M30" s="37" t="str">
        <f>IFERROR((SAMdataPlus!R35-'SAMdataPlus Original'!N30)/'SAMdataPlus Original'!N30,"")</f>
        <v/>
      </c>
      <c r="N30" s="37" t="str">
        <f>IFERROR((SAMdataPlus!S35-'SAMdataPlus Original'!O30)/'SAMdataPlus Original'!O30,"")</f>
        <v/>
      </c>
      <c r="O30" s="37" t="str">
        <f>IFERROR((SAMdataPlus!T35-'SAMdataPlus Original'!P30)/'SAMdataPlus Original'!P30,"")</f>
        <v/>
      </c>
      <c r="P30" s="37" t="str">
        <f>IFERROR((SAMdataPlus!U35-'SAMdataPlus Original'!Q30)/'SAMdataPlus Original'!Q30,"")</f>
        <v/>
      </c>
      <c r="Q30" s="37" t="str">
        <f>IFERROR((SAMdataPlus!V35-'SAMdataPlus Original'!R30)/'SAMdataPlus Original'!R30,"")</f>
        <v/>
      </c>
      <c r="R30" s="37" t="str">
        <f>IFERROR((SAMdataPlus!W35-'SAMdataPlus Original'!S30)/'SAMdataPlus Original'!S30,"")</f>
        <v/>
      </c>
      <c r="S30" s="37" t="str">
        <f>IFERROR((SAMdataPlus!X35-'SAMdataPlus Original'!T30)/'SAMdataPlus Original'!T30,"")</f>
        <v/>
      </c>
      <c r="T30" s="37" t="str">
        <f>IFERROR((SAMdataPlus!Y35-'SAMdataPlus Original'!U30)/'SAMdataPlus Original'!U30,"")</f>
        <v/>
      </c>
      <c r="U30" s="37" t="str">
        <f>IFERROR((SAMdataPlus!Z35-'SAMdataPlus Original'!V30)/'SAMdataPlus Original'!V30,"")</f>
        <v/>
      </c>
      <c r="V30" s="37" t="str">
        <f>IFERROR((SAMdataPlus!AA35-'SAMdataPlus Original'!W30)/'SAMdataPlus Original'!W30,"")</f>
        <v/>
      </c>
      <c r="W30" s="37" t="str">
        <f>IFERROR((SAMdataPlus!AB35-'SAMdataPlus Original'!X30)/'SAMdataPlus Original'!X30,"")</f>
        <v/>
      </c>
      <c r="X30" s="37" t="str">
        <f>IFERROR((SAMdataPlus!AC35-'SAMdataPlus Original'!Y30)/'SAMdataPlus Original'!Y30,"")</f>
        <v/>
      </c>
      <c r="Y30" s="37" t="str">
        <f>IFERROR((SAMdataPlus!AD35-'SAMdataPlus Original'!Z30)/'SAMdataPlus Original'!Z30,"")</f>
        <v/>
      </c>
      <c r="Z30" s="37" t="str">
        <f>IFERROR((SAMdataPlus!AE35-'SAMdataPlus Original'!AA30)/'SAMdataPlus Original'!AA30,"")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CC54-FB03-434C-B841-D9CEE924EA84}">
  <dimension ref="A1:AN28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RowHeight="14.5" x14ac:dyDescent="0.35"/>
  <cols>
    <col min="1" max="1" width="15.90625" bestFit="1" customWidth="1"/>
    <col min="2" max="2" width="11.54296875" bestFit="1" customWidth="1"/>
    <col min="3" max="6" width="13.08984375" bestFit="1" customWidth="1"/>
    <col min="7" max="7" width="14.1796875" bestFit="1" customWidth="1"/>
    <col min="8" max="13" width="11.6328125" customWidth="1"/>
    <col min="14" max="14" width="8.81640625" bestFit="1" customWidth="1"/>
    <col min="15" max="15" width="10.6328125" bestFit="1" customWidth="1"/>
    <col min="16" max="16" width="10.7265625" bestFit="1" customWidth="1"/>
    <col min="17" max="17" width="10.453125" bestFit="1" customWidth="1"/>
    <col min="18" max="18" width="14.1796875" bestFit="1" customWidth="1"/>
    <col min="19" max="19" width="8.81640625" bestFit="1" customWidth="1"/>
    <col min="20" max="20" width="10.7265625" bestFit="1" customWidth="1"/>
    <col min="21" max="21" width="8.81640625" bestFit="1" customWidth="1"/>
    <col min="22" max="22" width="10.7265625" bestFit="1" customWidth="1"/>
    <col min="23" max="23" width="8.81640625" bestFit="1" customWidth="1"/>
    <col min="24" max="24" width="10.7265625" bestFit="1" customWidth="1"/>
    <col min="25" max="25" width="10.453125" bestFit="1" customWidth="1"/>
    <col min="26" max="26" width="14.1796875" bestFit="1" customWidth="1"/>
    <col min="39" max="39" width="11.7265625" bestFit="1" customWidth="1"/>
  </cols>
  <sheetData>
    <row r="1" spans="1:40" x14ac:dyDescent="0.35">
      <c r="A1" t="s">
        <v>35</v>
      </c>
      <c r="B1" s="8" t="s">
        <v>39</v>
      </c>
      <c r="C1" s="8" t="s">
        <v>40</v>
      </c>
      <c r="D1" s="8" t="s">
        <v>41</v>
      </c>
      <c r="E1" s="8" t="s">
        <v>36</v>
      </c>
      <c r="F1" s="8" t="s">
        <v>37</v>
      </c>
      <c r="G1" s="8" t="s">
        <v>38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4</v>
      </c>
      <c r="O1" s="9" t="s">
        <v>2</v>
      </c>
      <c r="P1" s="9" t="s">
        <v>3</v>
      </c>
      <c r="Q1" s="9" t="s">
        <v>0</v>
      </c>
      <c r="R1" s="9" t="s">
        <v>1</v>
      </c>
      <c r="S1" s="9" t="s">
        <v>5</v>
      </c>
      <c r="T1" s="9" t="s">
        <v>6</v>
      </c>
      <c r="U1" s="9" t="s">
        <v>7</v>
      </c>
      <c r="V1" s="9" t="s">
        <v>8</v>
      </c>
      <c r="W1" s="9" t="s">
        <v>9</v>
      </c>
      <c r="X1" s="9" t="s">
        <v>10</v>
      </c>
      <c r="Y1" s="9" t="s">
        <v>11</v>
      </c>
      <c r="Z1" s="9" t="s">
        <v>12</v>
      </c>
      <c r="AA1" s="9" t="s">
        <v>13</v>
      </c>
      <c r="AB1" s="9" t="s">
        <v>14</v>
      </c>
      <c r="AC1" s="9" t="s">
        <v>15</v>
      </c>
      <c r="AD1" s="9" t="s">
        <v>16</v>
      </c>
      <c r="AE1" s="9" t="s">
        <v>17</v>
      </c>
      <c r="AF1" s="9" t="s">
        <v>18</v>
      </c>
      <c r="AG1" s="9" t="s">
        <v>19</v>
      </c>
      <c r="AH1" s="9" t="s">
        <v>20</v>
      </c>
      <c r="AI1" s="9" t="s">
        <v>21</v>
      </c>
      <c r="AJ1" s="9" t="s">
        <v>22</v>
      </c>
      <c r="AK1" s="9" t="s">
        <v>23</v>
      </c>
      <c r="AL1" s="9" t="s">
        <v>24</v>
      </c>
      <c r="AM1" s="9" t="s">
        <v>25</v>
      </c>
      <c r="AN1" s="9" t="s">
        <v>26</v>
      </c>
    </row>
    <row r="2" spans="1:40" x14ac:dyDescent="0.35">
      <c r="A2" s="8" t="s">
        <v>39</v>
      </c>
      <c r="B2" s="2" t="s">
        <v>35</v>
      </c>
      <c r="C2" s="2"/>
      <c r="D2" s="2"/>
      <c r="E2" s="2"/>
      <c r="F2" s="2"/>
      <c r="G2" s="2"/>
      <c r="H2" s="3">
        <v>91385</v>
      </c>
      <c r="I2" s="3">
        <v>3614</v>
      </c>
      <c r="J2" s="3">
        <v>314161</v>
      </c>
      <c r="K2" s="3">
        <v>5766</v>
      </c>
      <c r="L2" s="3">
        <v>0</v>
      </c>
      <c r="M2" s="3">
        <v>12084</v>
      </c>
      <c r="N2" s="2"/>
      <c r="O2" s="2"/>
      <c r="P2" s="2"/>
      <c r="Q2" s="1">
        <v>7832</v>
      </c>
      <c r="R2" s="1">
        <v>146377</v>
      </c>
      <c r="S2" s="2"/>
      <c r="T2" s="2"/>
      <c r="U2" s="2"/>
      <c r="V2" s="2"/>
      <c r="W2" s="2"/>
      <c r="X2" s="17">
        <v>0</v>
      </c>
      <c r="Y2" s="5">
        <v>68618</v>
      </c>
      <c r="Z2" s="2">
        <f>SUM(B2:Y2)</f>
        <v>649837</v>
      </c>
      <c r="AA2">
        <v>1</v>
      </c>
      <c r="AB2">
        <v>1</v>
      </c>
      <c r="AC2">
        <v>1</v>
      </c>
      <c r="AD2">
        <v>1</v>
      </c>
      <c r="AE2">
        <v>0.8</v>
      </c>
      <c r="AF2">
        <v>0.9</v>
      </c>
      <c r="AG2">
        <v>2</v>
      </c>
      <c r="AH2">
        <v>-2</v>
      </c>
      <c r="AI2">
        <f>COUNTIF(A2:A27,"*commod-*")</f>
        <v>6</v>
      </c>
      <c r="AJ2">
        <v>0.5</v>
      </c>
      <c r="AK2">
        <v>-1.1000000000000001</v>
      </c>
      <c r="AL2">
        <v>-0.1</v>
      </c>
      <c r="AM2" s="14">
        <f>Z16*0.05</f>
        <v>402432.25</v>
      </c>
      <c r="AN2">
        <v>1</v>
      </c>
    </row>
    <row r="3" spans="1:40" x14ac:dyDescent="0.35">
      <c r="A3" s="8" t="s">
        <v>40</v>
      </c>
      <c r="B3" s="2" t="s">
        <v>35</v>
      </c>
      <c r="C3" s="2"/>
      <c r="D3" s="2"/>
      <c r="E3" s="2"/>
      <c r="F3" s="2"/>
      <c r="G3" s="2"/>
      <c r="H3" s="3">
        <v>9106</v>
      </c>
      <c r="I3" s="3">
        <v>140253</v>
      </c>
      <c r="J3" s="3">
        <v>381763</v>
      </c>
      <c r="K3" s="3">
        <v>70535</v>
      </c>
      <c r="L3" s="3">
        <v>9617</v>
      </c>
      <c r="M3" s="3">
        <v>324767</v>
      </c>
      <c r="N3" s="2"/>
      <c r="O3" s="2"/>
      <c r="P3" s="2"/>
      <c r="Q3" s="1">
        <v>150808</v>
      </c>
      <c r="R3" s="1">
        <v>260535</v>
      </c>
      <c r="S3" s="2"/>
      <c r="T3" s="2"/>
      <c r="U3" s="2"/>
      <c r="V3" s="2"/>
      <c r="W3" s="2"/>
      <c r="X3" s="18">
        <v>1054352</v>
      </c>
      <c r="Y3" s="5">
        <v>39966</v>
      </c>
      <c r="Z3" s="2">
        <f t="shared" ref="Z3:Z25" si="0">SUM(B3:Y3)</f>
        <v>2441702</v>
      </c>
      <c r="AA3">
        <v>1</v>
      </c>
      <c r="AB3">
        <v>1</v>
      </c>
      <c r="AC3">
        <v>1</v>
      </c>
      <c r="AD3">
        <v>1</v>
      </c>
      <c r="AE3">
        <v>1.1000000000000001</v>
      </c>
      <c r="AF3">
        <v>1</v>
      </c>
      <c r="AG3">
        <v>4</v>
      </c>
      <c r="AH3">
        <v>-2</v>
      </c>
    </row>
    <row r="4" spans="1:40" x14ac:dyDescent="0.35">
      <c r="A4" s="8" t="s">
        <v>41</v>
      </c>
      <c r="B4" s="2" t="s">
        <v>35</v>
      </c>
      <c r="C4" s="2"/>
      <c r="D4" s="2"/>
      <c r="E4" s="2"/>
      <c r="F4" s="2"/>
      <c r="G4" s="2"/>
      <c r="H4" s="3">
        <v>109742</v>
      </c>
      <c r="I4" s="3">
        <v>592277</v>
      </c>
      <c r="J4" s="3">
        <v>2239784</v>
      </c>
      <c r="K4" s="3">
        <v>275012</v>
      </c>
      <c r="L4" s="3">
        <v>102113</v>
      </c>
      <c r="M4" s="3">
        <v>706873</v>
      </c>
      <c r="N4" s="2"/>
      <c r="O4" s="2"/>
      <c r="P4" s="2"/>
      <c r="Q4" s="1">
        <v>403065</v>
      </c>
      <c r="R4" s="1">
        <v>3514819</v>
      </c>
      <c r="S4" s="2"/>
      <c r="T4" s="2"/>
      <c r="U4" s="2"/>
      <c r="V4" s="2"/>
      <c r="W4" s="2"/>
      <c r="X4" s="18">
        <v>1147917</v>
      </c>
      <c r="Y4" s="5">
        <v>1059779</v>
      </c>
      <c r="Z4" s="2">
        <f t="shared" si="0"/>
        <v>10151381</v>
      </c>
      <c r="AA4">
        <v>1</v>
      </c>
      <c r="AB4">
        <v>1</v>
      </c>
      <c r="AC4">
        <v>1</v>
      </c>
      <c r="AD4">
        <v>1</v>
      </c>
      <c r="AE4">
        <v>1.2</v>
      </c>
      <c r="AF4">
        <v>1.1000000000000001</v>
      </c>
      <c r="AG4">
        <v>2</v>
      </c>
      <c r="AH4">
        <v>-4</v>
      </c>
    </row>
    <row r="5" spans="1:40" x14ac:dyDescent="0.35">
      <c r="A5" s="8" t="s">
        <v>36</v>
      </c>
      <c r="B5" s="2" t="s">
        <v>35</v>
      </c>
      <c r="C5" s="2"/>
      <c r="D5" s="2"/>
      <c r="E5" s="2"/>
      <c r="F5" s="2"/>
      <c r="G5" s="2"/>
      <c r="H5" s="3">
        <v>2744</v>
      </c>
      <c r="I5" s="3">
        <v>14330</v>
      </c>
      <c r="J5" s="3">
        <v>43551</v>
      </c>
      <c r="K5" s="3">
        <v>350018</v>
      </c>
      <c r="L5" s="3">
        <v>16561</v>
      </c>
      <c r="M5" s="3">
        <v>117001</v>
      </c>
      <c r="N5" s="2"/>
      <c r="O5" s="2"/>
      <c r="P5" s="2"/>
      <c r="Q5" s="1">
        <v>40711</v>
      </c>
      <c r="R5" s="1">
        <v>222491</v>
      </c>
      <c r="S5" s="2"/>
      <c r="T5" s="2"/>
      <c r="U5" s="2"/>
      <c r="V5" s="2"/>
      <c r="W5" s="2"/>
      <c r="X5" s="18">
        <v>0</v>
      </c>
      <c r="Y5" s="5">
        <v>63213</v>
      </c>
      <c r="Z5" s="2">
        <f t="shared" si="0"/>
        <v>870620</v>
      </c>
      <c r="AA5">
        <v>1</v>
      </c>
      <c r="AB5">
        <v>1</v>
      </c>
      <c r="AC5">
        <v>1</v>
      </c>
      <c r="AD5">
        <v>1</v>
      </c>
      <c r="AE5">
        <v>0.9</v>
      </c>
      <c r="AF5">
        <v>1</v>
      </c>
      <c r="AG5">
        <v>5</v>
      </c>
      <c r="AH5">
        <v>-3</v>
      </c>
    </row>
    <row r="6" spans="1:40" x14ac:dyDescent="0.35">
      <c r="A6" s="8" t="s">
        <v>37</v>
      </c>
      <c r="B6" s="2" t="s">
        <v>35</v>
      </c>
      <c r="C6" s="2"/>
      <c r="D6" s="2"/>
      <c r="E6" s="2"/>
      <c r="F6" s="2"/>
      <c r="G6" s="2"/>
      <c r="H6" s="3">
        <v>758</v>
      </c>
      <c r="I6" s="3">
        <v>15411</v>
      </c>
      <c r="J6" s="3">
        <v>14845</v>
      </c>
      <c r="K6" s="3">
        <v>55572</v>
      </c>
      <c r="L6" s="3">
        <v>208940</v>
      </c>
      <c r="M6" s="3">
        <v>222721</v>
      </c>
      <c r="N6" s="2"/>
      <c r="O6" s="2"/>
      <c r="P6" s="2"/>
      <c r="Q6" s="1">
        <v>99379</v>
      </c>
      <c r="R6" s="1">
        <v>544233</v>
      </c>
      <c r="S6" s="2"/>
      <c r="T6" s="2"/>
      <c r="U6" s="2"/>
      <c r="V6" s="2"/>
      <c r="W6" s="2"/>
      <c r="X6" s="18">
        <v>207246</v>
      </c>
      <c r="Y6" s="5">
        <v>81715</v>
      </c>
      <c r="Z6" s="2">
        <f t="shared" si="0"/>
        <v>1450820</v>
      </c>
      <c r="AA6">
        <v>1</v>
      </c>
      <c r="AB6">
        <v>1</v>
      </c>
      <c r="AC6">
        <v>1</v>
      </c>
      <c r="AD6">
        <v>1</v>
      </c>
      <c r="AE6">
        <v>0.8</v>
      </c>
      <c r="AF6">
        <v>0.9</v>
      </c>
      <c r="AG6">
        <v>3</v>
      </c>
      <c r="AH6">
        <v>-1</v>
      </c>
    </row>
    <row r="7" spans="1:40" x14ac:dyDescent="0.35">
      <c r="A7" s="8" t="s">
        <v>38</v>
      </c>
      <c r="B7" s="2" t="s">
        <v>35</v>
      </c>
      <c r="C7" s="2"/>
      <c r="D7" s="2"/>
      <c r="E7" s="2"/>
      <c r="F7" s="2"/>
      <c r="G7" s="2"/>
      <c r="H7" s="3">
        <v>48723</v>
      </c>
      <c r="I7" s="3">
        <v>284939</v>
      </c>
      <c r="J7" s="3">
        <v>402058</v>
      </c>
      <c r="K7" s="3">
        <v>1074984</v>
      </c>
      <c r="L7" s="3">
        <v>352083</v>
      </c>
      <c r="M7" s="3">
        <v>3975677</v>
      </c>
      <c r="N7" s="2"/>
      <c r="O7" s="2"/>
      <c r="P7" s="2"/>
      <c r="Q7" s="1">
        <v>544758</v>
      </c>
      <c r="R7" s="1">
        <v>7907960</v>
      </c>
      <c r="S7" s="2"/>
      <c r="T7" s="2"/>
      <c r="U7" s="2"/>
      <c r="V7" s="2"/>
      <c r="W7" s="2"/>
      <c r="X7" s="19">
        <v>836034</v>
      </c>
      <c r="Y7" s="5">
        <v>386049</v>
      </c>
      <c r="Z7" s="2">
        <f t="shared" si="0"/>
        <v>15813265</v>
      </c>
      <c r="AA7">
        <v>1</v>
      </c>
      <c r="AB7">
        <v>1</v>
      </c>
      <c r="AC7">
        <v>1</v>
      </c>
      <c r="AD7">
        <v>1</v>
      </c>
      <c r="AE7">
        <v>0.7</v>
      </c>
      <c r="AF7">
        <v>0.8</v>
      </c>
      <c r="AG7">
        <v>1.1000000000000001</v>
      </c>
      <c r="AH7">
        <v>-1.5</v>
      </c>
    </row>
    <row r="8" spans="1:40" x14ac:dyDescent="0.35">
      <c r="A8" s="8" t="s">
        <v>29</v>
      </c>
      <c r="B8" s="1">
        <v>435381</v>
      </c>
      <c r="C8" s="1">
        <v>0</v>
      </c>
      <c r="D8" s="1"/>
      <c r="E8" s="1">
        <v>1867</v>
      </c>
      <c r="F8" s="1"/>
      <c r="G8" s="1"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Z8" s="2">
        <f t="shared" si="0"/>
        <v>437248</v>
      </c>
    </row>
    <row r="9" spans="1:40" x14ac:dyDescent="0.35">
      <c r="A9" s="9" t="s">
        <v>30</v>
      </c>
      <c r="B9" s="1">
        <v>753</v>
      </c>
      <c r="C9" s="1">
        <v>2266341</v>
      </c>
      <c r="D9" s="1">
        <v>10886</v>
      </c>
      <c r="E9" s="1">
        <v>15411</v>
      </c>
      <c r="F9" s="1">
        <v>1997</v>
      </c>
      <c r="G9" s="1">
        <v>30956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Z9" s="2">
        <f t="shared" si="0"/>
        <v>2326344</v>
      </c>
    </row>
    <row r="10" spans="1:40" x14ac:dyDescent="0.35">
      <c r="A10" s="9" t="s">
        <v>31</v>
      </c>
      <c r="B10" s="1">
        <v>12</v>
      </c>
      <c r="C10" s="1">
        <v>17176</v>
      </c>
      <c r="D10" s="1">
        <v>5258059</v>
      </c>
      <c r="E10" s="1">
        <v>20108</v>
      </c>
      <c r="F10" s="1">
        <v>1490</v>
      </c>
      <c r="G10" s="1">
        <v>3335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Z10" s="2">
        <f t="shared" si="0"/>
        <v>5300180</v>
      </c>
    </row>
    <row r="11" spans="1:40" x14ac:dyDescent="0.35">
      <c r="A11" s="9" t="s">
        <v>32</v>
      </c>
      <c r="B11" s="1">
        <v>0</v>
      </c>
      <c r="C11" s="1">
        <v>3225</v>
      </c>
      <c r="D11" s="1">
        <v>56546</v>
      </c>
      <c r="E11" s="1">
        <v>3948809</v>
      </c>
      <c r="F11" s="1">
        <v>17270</v>
      </c>
      <c r="G11" s="1">
        <v>36435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Z11" s="2">
        <f t="shared" si="0"/>
        <v>4062285</v>
      </c>
    </row>
    <row r="12" spans="1:40" x14ac:dyDescent="0.35">
      <c r="A12" s="9" t="s">
        <v>33</v>
      </c>
      <c r="B12" s="1"/>
      <c r="C12" s="1">
        <v>0</v>
      </c>
      <c r="D12" s="1"/>
      <c r="E12" s="1">
        <v>883</v>
      </c>
      <c r="F12" s="1">
        <v>1283276</v>
      </c>
      <c r="G12" s="1">
        <v>18767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Z12" s="2">
        <f t="shared" si="0"/>
        <v>1302926</v>
      </c>
    </row>
    <row r="13" spans="1:40" x14ac:dyDescent="0.35">
      <c r="A13" s="9" t="s">
        <v>34</v>
      </c>
      <c r="B13" s="1">
        <v>2611</v>
      </c>
      <c r="C13" s="1">
        <v>3506</v>
      </c>
      <c r="D13" s="1">
        <v>192414</v>
      </c>
      <c r="E13" s="1">
        <v>253308</v>
      </c>
      <c r="F13" s="1">
        <v>322496</v>
      </c>
      <c r="G13" s="1">
        <v>14275295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Z13" s="2">
        <f t="shared" si="0"/>
        <v>15049630</v>
      </c>
    </row>
    <row r="14" spans="1:40" x14ac:dyDescent="0.35">
      <c r="A14" t="s">
        <v>4</v>
      </c>
      <c r="B14" s="2"/>
      <c r="C14" s="2"/>
      <c r="D14" s="2"/>
      <c r="E14" s="2"/>
      <c r="F14" s="2"/>
      <c r="G14" s="2"/>
      <c r="H14" s="10">
        <v>29</v>
      </c>
      <c r="I14" s="10">
        <v>30</v>
      </c>
      <c r="J14" s="10">
        <v>120</v>
      </c>
      <c r="K14" s="10">
        <v>50</v>
      </c>
      <c r="L14" s="10">
        <v>40</v>
      </c>
      <c r="M14" s="10">
        <v>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f t="shared" si="0"/>
        <v>302</v>
      </c>
    </row>
    <row r="15" spans="1:40" x14ac:dyDescent="0.35">
      <c r="A15" t="s">
        <v>2</v>
      </c>
      <c r="B15" s="2"/>
      <c r="C15" s="2"/>
      <c r="D15" s="2"/>
      <c r="E15" s="2"/>
      <c r="F15" s="2"/>
      <c r="G15" s="2"/>
      <c r="H15" s="1">
        <v>111130</v>
      </c>
      <c r="I15" s="1">
        <v>105247</v>
      </c>
      <c r="J15" s="1">
        <v>1003181</v>
      </c>
      <c r="K15" s="1">
        <v>105247</v>
      </c>
      <c r="L15" s="1">
        <v>579991</v>
      </c>
      <c r="M15" s="1">
        <v>3896334</v>
      </c>
      <c r="N15" s="2"/>
      <c r="O15" s="2"/>
      <c r="P15" s="4"/>
      <c r="Q15" s="1">
        <v>525788</v>
      </c>
      <c r="R15" s="2"/>
      <c r="S15" s="2"/>
      <c r="T15" s="2"/>
      <c r="U15" s="2"/>
      <c r="V15" s="2"/>
      <c r="W15" s="2"/>
      <c r="X15" s="2"/>
      <c r="Y15" s="2"/>
      <c r="Z15" s="2">
        <f t="shared" si="0"/>
        <v>6326918</v>
      </c>
    </row>
    <row r="16" spans="1:40" x14ac:dyDescent="0.35">
      <c r="A16" t="s">
        <v>3</v>
      </c>
      <c r="B16" s="2"/>
      <c r="C16" s="2"/>
      <c r="D16" s="2"/>
      <c r="E16" s="2"/>
      <c r="F16" s="2"/>
      <c r="G16" s="2"/>
      <c r="H16" s="1">
        <v>54003</v>
      </c>
      <c r="I16" s="1">
        <v>74515</v>
      </c>
      <c r="J16" s="1">
        <v>1012932</v>
      </c>
      <c r="K16" s="1">
        <v>74515</v>
      </c>
      <c r="L16" s="1">
        <v>329025</v>
      </c>
      <c r="M16" s="1">
        <v>4614644</v>
      </c>
      <c r="N16" s="2"/>
      <c r="O16" s="2"/>
      <c r="P16" s="2"/>
      <c r="Q16" s="1">
        <v>1889011</v>
      </c>
      <c r="R16" s="2"/>
      <c r="S16" s="2"/>
      <c r="T16" s="2"/>
      <c r="U16" s="2"/>
      <c r="V16" s="2"/>
      <c r="W16" s="2"/>
      <c r="X16" s="2"/>
      <c r="Y16" s="2"/>
      <c r="Z16" s="2">
        <f t="shared" si="0"/>
        <v>8048645</v>
      </c>
    </row>
    <row r="17" spans="1:26" x14ac:dyDescent="0.35">
      <c r="A17" t="s">
        <v>0</v>
      </c>
      <c r="H17" s="1">
        <v>28</v>
      </c>
      <c r="I17" s="1">
        <v>3581</v>
      </c>
      <c r="J17" s="1">
        <v>3747</v>
      </c>
      <c r="K17" s="1">
        <v>32930</v>
      </c>
      <c r="L17" s="1">
        <v>2663</v>
      </c>
      <c r="M17" s="1">
        <v>45030</v>
      </c>
      <c r="N17" s="2"/>
      <c r="O17" s="6"/>
      <c r="P17" s="6"/>
      <c r="Q17" s="2"/>
      <c r="R17" s="1">
        <v>76812</v>
      </c>
      <c r="S17" s="7">
        <f>SUM(H19:R19)</f>
        <v>548124</v>
      </c>
      <c r="T17" s="7">
        <f>SUM(H20:R20)</f>
        <v>1246946</v>
      </c>
      <c r="U17" s="7">
        <f>SUM(B21:R21)</f>
        <v>615814</v>
      </c>
      <c r="V17" s="7">
        <f>SUM(H22:R22)</f>
        <v>2312409.5</v>
      </c>
      <c r="W17" s="7">
        <f>SUM(B23:R23)</f>
        <v>37427</v>
      </c>
      <c r="X17" s="2"/>
      <c r="Y17" s="1">
        <v>548</v>
      </c>
      <c r="Z17" s="2">
        <f t="shared" si="0"/>
        <v>4926059.5</v>
      </c>
    </row>
    <row r="18" spans="1:26" x14ac:dyDescent="0.35">
      <c r="A18" t="s">
        <v>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7">
        <f>SUM(H15:Q15)</f>
        <v>6326918</v>
      </c>
      <c r="P18" s="7">
        <f>SUM(H16:Q16)</f>
        <v>8048645</v>
      </c>
      <c r="Q18" s="16">
        <v>2717105</v>
      </c>
      <c r="R18" s="2"/>
      <c r="S18" s="12"/>
      <c r="T18" s="11"/>
      <c r="U18" s="2"/>
      <c r="V18" s="2"/>
      <c r="W18" s="2"/>
      <c r="X18" s="2"/>
      <c r="Y18" s="2"/>
      <c r="Z18" s="2">
        <f t="shared" si="0"/>
        <v>17092668</v>
      </c>
    </row>
    <row r="19" spans="1:26" x14ac:dyDescent="0.35">
      <c r="A19" t="s">
        <v>5</v>
      </c>
      <c r="B19" s="2"/>
      <c r="C19" s="2"/>
      <c r="D19" s="2"/>
      <c r="E19" s="2"/>
      <c r="F19" s="2"/>
      <c r="G19" s="2"/>
      <c r="H19" s="1">
        <f t="shared" ref="H19:M19" si="1">H15/SUM($H$15:$M$15)*548124</f>
        <v>10500.199119826655</v>
      </c>
      <c r="I19" s="1">
        <f t="shared" si="1"/>
        <v>9944.3395731521287</v>
      </c>
      <c r="J19" s="1">
        <f t="shared" si="1"/>
        <v>94786.28860997771</v>
      </c>
      <c r="K19" s="1">
        <f t="shared" si="1"/>
        <v>9944.3395731521287</v>
      </c>
      <c r="L19" s="1">
        <f t="shared" si="1"/>
        <v>54800.872741000458</v>
      </c>
      <c r="M19" s="1">
        <f t="shared" si="1"/>
        <v>368147.96038289095</v>
      </c>
      <c r="N19" s="2"/>
      <c r="O19" s="2"/>
      <c r="P19" s="2"/>
      <c r="Q19" s="2"/>
      <c r="R19" s="2"/>
      <c r="S19" s="2"/>
      <c r="T19" s="12"/>
      <c r="U19" s="2"/>
      <c r="V19" s="2"/>
      <c r="W19" s="2"/>
      <c r="X19" s="2"/>
      <c r="Y19" s="2"/>
      <c r="Z19" s="2">
        <f t="shared" si="0"/>
        <v>548124</v>
      </c>
    </row>
    <row r="20" spans="1:26" x14ac:dyDescent="0.35">
      <c r="A20" t="s">
        <v>6</v>
      </c>
      <c r="B20" s="2"/>
      <c r="C20" s="2"/>
      <c r="D20" s="2"/>
      <c r="E20" s="2"/>
      <c r="F20" s="2"/>
      <c r="G20" s="2"/>
      <c r="H20" s="1">
        <f t="shared" ref="H20:M20" si="2">H16/SUM($H$16:$M$16)*1246946</f>
        <v>10932.276956390591</v>
      </c>
      <c r="I20" s="1">
        <f t="shared" si="2"/>
        <v>15084.691913513043</v>
      </c>
      <c r="J20" s="1">
        <f t="shared" si="2"/>
        <v>205056.25913357837</v>
      </c>
      <c r="K20" s="1">
        <f t="shared" si="2"/>
        <v>15084.691913513043</v>
      </c>
      <c r="L20" s="1">
        <f t="shared" si="2"/>
        <v>66607.270440094333</v>
      </c>
      <c r="M20" s="1">
        <f t="shared" si="2"/>
        <v>934180.80964291061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f t="shared" si="0"/>
        <v>1246946</v>
      </c>
    </row>
    <row r="21" spans="1:26" x14ac:dyDescent="0.35">
      <c r="A21" t="s">
        <v>7</v>
      </c>
      <c r="B21" s="15">
        <v>-4946</v>
      </c>
      <c r="C21" s="1">
        <v>42778</v>
      </c>
      <c r="D21" s="1">
        <v>364148</v>
      </c>
      <c r="E21" s="1">
        <v>20399</v>
      </c>
      <c r="F21" s="1">
        <v>41697</v>
      </c>
      <c r="G21" s="1">
        <v>151738</v>
      </c>
      <c r="H21" s="13"/>
      <c r="I21" s="13"/>
      <c r="J21" s="13"/>
      <c r="K21" s="13"/>
      <c r="L21" s="13"/>
      <c r="M21" s="1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f t="shared" si="0"/>
        <v>615814</v>
      </c>
    </row>
    <row r="22" spans="1:26" x14ac:dyDescent="0.35">
      <c r="A22" t="s">
        <v>8</v>
      </c>
      <c r="B22" s="2"/>
      <c r="C22" s="2"/>
      <c r="D22" s="2"/>
      <c r="E22" s="2"/>
      <c r="F22" s="2"/>
      <c r="G22" s="2"/>
      <c r="H22" s="13"/>
      <c r="I22" s="13"/>
      <c r="J22" s="13"/>
      <c r="K22" s="13"/>
      <c r="L22" s="13"/>
      <c r="M22" s="13"/>
      <c r="N22" s="2"/>
      <c r="O22" s="2"/>
      <c r="P22" s="2"/>
      <c r="Q22" s="2"/>
      <c r="R22" s="1">
        <v>2312409.5</v>
      </c>
      <c r="S22" s="2"/>
      <c r="T22" s="2"/>
      <c r="U22" s="2"/>
      <c r="V22" s="2"/>
      <c r="W22" s="2"/>
      <c r="X22" s="2"/>
      <c r="Y22" s="2"/>
      <c r="Z22" s="2">
        <f t="shared" si="0"/>
        <v>2312409.5</v>
      </c>
    </row>
    <row r="23" spans="1:26" x14ac:dyDescent="0.35">
      <c r="A23" t="s">
        <v>9</v>
      </c>
      <c r="B23" s="1">
        <v>53</v>
      </c>
      <c r="C23" s="1">
        <v>109</v>
      </c>
      <c r="D23" s="1">
        <v>37263</v>
      </c>
      <c r="E23" s="1">
        <v>0</v>
      </c>
      <c r="F23" s="1">
        <v>1</v>
      </c>
      <c r="G23" s="1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f t="shared" si="0"/>
        <v>37427</v>
      </c>
    </row>
    <row r="24" spans="1:26" x14ac:dyDescent="0.35">
      <c r="A24" t="s">
        <v>27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>
        <v>-908287</v>
      </c>
      <c r="R24" s="20">
        <f>SUM(X2:X7)</f>
        <v>3245549</v>
      </c>
      <c r="S24" s="2"/>
      <c r="T24" s="2"/>
      <c r="U24" s="2"/>
      <c r="V24" s="2"/>
      <c r="W24" s="2"/>
      <c r="X24" s="2"/>
      <c r="Y24" s="7">
        <f>SUM(B25:G25)-SUM(Y2:Y17)</f>
        <v>515295</v>
      </c>
      <c r="Z24" s="2">
        <f t="shared" si="0"/>
        <v>2852557</v>
      </c>
    </row>
    <row r="25" spans="1:26" x14ac:dyDescent="0.35">
      <c r="A25" t="s">
        <v>11</v>
      </c>
      <c r="B25" s="1">
        <v>56606</v>
      </c>
      <c r="C25" s="1">
        <v>122587</v>
      </c>
      <c r="D25" s="1">
        <v>1804985</v>
      </c>
      <c r="E25" s="1">
        <v>36875</v>
      </c>
      <c r="F25" s="1">
        <v>13040</v>
      </c>
      <c r="G25" s="1">
        <v>181090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f t="shared" si="0"/>
        <v>2215183</v>
      </c>
    </row>
    <row r="26" spans="1:26" x14ac:dyDescent="0.35">
      <c r="A26" s="28" t="s">
        <v>12</v>
      </c>
      <c r="B26" s="29">
        <f t="shared" ref="B26:X26" si="3">SUM(B2:B25)</f>
        <v>490470</v>
      </c>
      <c r="C26" s="29">
        <f t="shared" si="3"/>
        <v>2455722</v>
      </c>
      <c r="D26" s="29">
        <f t="shared" si="3"/>
        <v>7724301</v>
      </c>
      <c r="E26" s="29">
        <f t="shared" si="3"/>
        <v>4297660</v>
      </c>
      <c r="F26" s="29">
        <f t="shared" si="3"/>
        <v>1681267</v>
      </c>
      <c r="G26" s="29">
        <f t="shared" si="3"/>
        <v>14697617</v>
      </c>
      <c r="H26" s="29">
        <f t="shared" si="3"/>
        <v>449080.47607621725</v>
      </c>
      <c r="I26" s="29">
        <f t="shared" si="3"/>
        <v>1259226.0314866651</v>
      </c>
      <c r="J26" s="29">
        <f>SUM(J2:J25)</f>
        <v>5715984.5477435561</v>
      </c>
      <c r="K26" s="29">
        <f t="shared" si="3"/>
        <v>2069658.0314866651</v>
      </c>
      <c r="L26" s="29">
        <f t="shared" si="3"/>
        <v>1722441.1431810949</v>
      </c>
      <c r="M26" s="29">
        <f t="shared" si="3"/>
        <v>15217492.770025803</v>
      </c>
      <c r="N26" s="29">
        <f t="shared" si="3"/>
        <v>0</v>
      </c>
      <c r="O26" s="29">
        <f t="shared" si="3"/>
        <v>6326918</v>
      </c>
      <c r="P26" s="29">
        <f t="shared" si="3"/>
        <v>8048645</v>
      </c>
      <c r="Q26" s="29">
        <f t="shared" si="3"/>
        <v>5470170</v>
      </c>
      <c r="R26" s="29">
        <f t="shared" si="3"/>
        <v>18231185.5</v>
      </c>
      <c r="S26" s="29">
        <f t="shared" si="3"/>
        <v>548124</v>
      </c>
      <c r="T26" s="29">
        <f t="shared" si="3"/>
        <v>1246946</v>
      </c>
      <c r="U26" s="29">
        <f t="shared" si="3"/>
        <v>615814</v>
      </c>
      <c r="V26" s="29">
        <f t="shared" si="3"/>
        <v>2312409.5</v>
      </c>
      <c r="W26" s="29">
        <f t="shared" si="3"/>
        <v>37427</v>
      </c>
      <c r="X26" s="29">
        <f t="shared" si="3"/>
        <v>3245549</v>
      </c>
      <c r="Y26" s="29">
        <f>SUM(Y2:Y25)</f>
        <v>2215183</v>
      </c>
      <c r="Z26" s="30">
        <f>SUM(Z2:Z25)-SUM(B26:Y26)</f>
        <v>0</v>
      </c>
    </row>
    <row r="27" spans="1:26" x14ac:dyDescent="0.35">
      <c r="A27" t="s">
        <v>28</v>
      </c>
      <c r="B27" s="2">
        <f>B26-INDEX($Z$2:$Z$26,COLUMN(B27)-1,1)</f>
        <v>-159367</v>
      </c>
      <c r="C27" s="2">
        <f t="shared" ref="C27:Y27" si="4">C26-INDEX($Z$2:$Z$26,COLUMN(C27)-1,1)</f>
        <v>14020</v>
      </c>
      <c r="D27" s="2">
        <f t="shared" si="4"/>
        <v>-2427080</v>
      </c>
      <c r="E27" s="2">
        <f t="shared" si="4"/>
        <v>3427040</v>
      </c>
      <c r="F27" s="2">
        <f t="shared" si="4"/>
        <v>230447</v>
      </c>
      <c r="G27" s="2">
        <f t="shared" si="4"/>
        <v>-1115648</v>
      </c>
      <c r="H27" s="2">
        <f t="shared" si="4"/>
        <v>11832.476076217252</v>
      </c>
      <c r="I27" s="2">
        <f t="shared" si="4"/>
        <v>-1067117.9685133349</v>
      </c>
      <c r="J27" s="2">
        <f t="shared" si="4"/>
        <v>415804.54774355609</v>
      </c>
      <c r="K27" s="2">
        <f t="shared" si="4"/>
        <v>-1992626.9685133349</v>
      </c>
      <c r="L27" s="2">
        <f t="shared" si="4"/>
        <v>419515.1431810949</v>
      </c>
      <c r="M27" s="2">
        <f t="shared" si="4"/>
        <v>167862.77002580278</v>
      </c>
      <c r="N27" s="2">
        <f t="shared" si="4"/>
        <v>-302</v>
      </c>
      <c r="O27" s="2">
        <f>O26-INDEX($Z$2:$Z$26,COLUMN(O27)-1,1)</f>
        <v>0</v>
      </c>
      <c r="P27" s="2">
        <f t="shared" si="4"/>
        <v>0</v>
      </c>
      <c r="Q27" s="2">
        <f t="shared" si="4"/>
        <v>544110.5</v>
      </c>
      <c r="R27" s="2">
        <f t="shared" si="4"/>
        <v>1138517.5</v>
      </c>
      <c r="S27" s="2">
        <f t="shared" si="4"/>
        <v>0</v>
      </c>
      <c r="T27" s="2">
        <f t="shared" si="4"/>
        <v>0</v>
      </c>
      <c r="U27" s="2">
        <f t="shared" si="4"/>
        <v>0</v>
      </c>
      <c r="V27" s="2">
        <f t="shared" si="4"/>
        <v>0</v>
      </c>
      <c r="W27" s="2">
        <f t="shared" si="4"/>
        <v>0</v>
      </c>
      <c r="X27" s="2">
        <f t="shared" si="4"/>
        <v>392992</v>
      </c>
      <c r="Y27" s="2">
        <f t="shared" si="4"/>
        <v>0</v>
      </c>
      <c r="Z27" s="2"/>
    </row>
    <row r="28" spans="1:26" x14ac:dyDescent="0.35">
      <c r="X28" s="14"/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C40D-3F7B-47D6-BC78-BE2F270F344C}">
  <dimension ref="A1"/>
  <sheetViews>
    <sheetView workbookViewId="0"/>
  </sheetViews>
  <sheetFormatPr defaultRowHeight="14.5" x14ac:dyDescent="0.35"/>
  <sheetData>
    <row r="1" spans="1:1" x14ac:dyDescent="0.35">
      <c r="A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SAMdataPlus</vt:lpstr>
      <vt:lpstr>Abs diff</vt:lpstr>
      <vt:lpstr>Perc diff</vt:lpstr>
      <vt:lpstr>SAMdataPlus Original</vt:lpstr>
      <vt:lpstr>Notes and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2020-05-27T23:00:08Z</dcterms:created>
  <dcterms:modified xsi:type="dcterms:W3CDTF">2020-09-15T23:00:32Z</dcterms:modified>
</cp:coreProperties>
</file>